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8.xml" ContentType="application/vnd.openxmlformats-officedocument.drawing+xml"/>
  <Override PartName="/xl/charts/chart20.xml" ContentType="application/vnd.openxmlformats-officedocument.drawingml.chart+xml"/>
  <Override PartName="/xl/drawings/drawing9.xml" ContentType="application/vnd.openxmlformats-officedocument.drawing+xml"/>
  <Override PartName="/xl/charts/chart21.xml" ContentType="application/vnd.openxmlformats-officedocument.drawingml.chart+xml"/>
  <Override PartName="/xl/drawings/drawing10.xml" ContentType="application/vnd.openxmlformats-officedocument.drawing+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drawings/drawing1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1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6.xml" ContentType="application/vnd.openxmlformats-officedocument.drawing+xml"/>
  <Override PartName="/xl/charts/chart5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52.xml" ContentType="application/vnd.openxmlformats-officedocument.drawingml.chart+xml"/>
  <Override PartName="/xl/drawings/drawing18.xml" ContentType="application/vnd.openxmlformats-officedocument.drawing+xml"/>
  <Override PartName="/xl/charts/chart53.xml" ContentType="application/vnd.openxmlformats-officedocument.drawingml.chart+xml"/>
  <Override PartName="/xl/drawings/drawing19.xml" ContentType="application/vnd.openxmlformats-officedocument.drawing+xml"/>
  <Override PartName="/xl/charts/chart54.xml" ContentType="application/vnd.openxmlformats-officedocument.drawingml.chart+xml"/>
  <Override PartName="/xl/drawings/drawing20.xml" ContentType="application/vnd.openxmlformats-officedocument.drawing+xml"/>
  <Override PartName="/xl/charts/chart55.xml" ContentType="application/vnd.openxmlformats-officedocument.drawingml.chart+xml"/>
  <Override PartName="/xl/drawings/drawing21.xml" ContentType="application/vnd.openxmlformats-officedocument.drawing+xml"/>
  <Override PartName="/xl/charts/chart5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Users\AABla\Documents\Osh\IRs\"/>
    </mc:Choice>
  </mc:AlternateContent>
  <xr:revisionPtr revIDLastSave="0" documentId="8_{9BAEAC84-AEE7-417A-91DB-BE2E76C62CB0}" xr6:coauthVersionLast="47" xr6:coauthVersionMax="47" xr10:uidLastSave="{00000000-0000-0000-0000-000000000000}"/>
  <bookViews>
    <workbookView xWindow="-28920" yWindow="-120" windowWidth="29040" windowHeight="15720" tabRatio="899" firstSheet="8" activeTab="9" xr2:uid="{00000000-000D-0000-FFFF-FFFF00000000}"/>
  </bookViews>
  <sheets>
    <sheet name="Load Forecast Summary" sheetId="160" r:id="rId1"/>
    <sheet name="Monthly Data" sheetId="67" r:id="rId2"/>
    <sheet name="Economic" sheetId="65" r:id="rId3"/>
    <sheet name="Weather" sheetId="4" r:id="rId4"/>
    <sheet name="CDM" sheetId="148" r:id="rId5"/>
    <sheet name="Res Predicted Monthly" sheetId="28" r:id="rId6"/>
    <sheet name="GS&lt;50 Predicted Monthly" sheetId="30" r:id="rId7"/>
    <sheet name="GS 50-999 Predicted Monthly" sheetId="32" r:id="rId8"/>
    <sheet name="GS 1k-4,999 Predicted Monthly" sheetId="151" r:id="rId9"/>
    <sheet name="Large Use Predicted Monthly" sheetId="153" r:id="rId10"/>
    <sheet name="EV Data" sheetId="68" r:id="rId11"/>
    <sheet name="EV Forecast" sheetId="69" r:id="rId12"/>
    <sheet name="Heating" sheetId="70" r:id="rId13"/>
    <sheet name="Total Additional-Lost Loads" sheetId="71" r:id="rId14"/>
    <sheet name="Model Summary" sheetId="15" r:id="rId15"/>
    <sheet name="Res Normalized Monthly" sheetId="38" r:id="rId16"/>
    <sheet name="GS&lt;50 Normalized Monthly" sheetId="34" r:id="rId17"/>
    <sheet name="GS 50-999 Normalized Monthly" sheetId="36" r:id="rId18"/>
    <sheet name="GS 1k-4,999 Normalized Monthly" sheetId="152" r:id="rId19"/>
    <sheet name="Large Use Normalized Monthly" sheetId="154" r:id="rId20"/>
    <sheet name="Normalized Annual Summary" sheetId="17" r:id="rId21"/>
    <sheet name="Customer Count" sheetId="23" r:id="rId22"/>
    <sheet name="kW Forecast" sheetId="24" r:id="rId23"/>
    <sheet name="kW Forecast (Weather Normal)" sheetId="57" r:id="rId24"/>
    <sheet name="CDM Framework" sheetId="72" r:id="rId25"/>
    <sheet name="CDM Adjustment" sheetId="73" r:id="rId26"/>
    <sheet name="Summary Tables" sheetId="25" r:id="rId27"/>
    <sheet name="Res Normalized Monthly WN" sheetId="75" r:id="rId28"/>
    <sheet name="GS&lt;50 Normalized Monthly WN" sheetId="76" r:id="rId29"/>
    <sheet name="GS50-999 Normalized Monthly WN" sheetId="77" r:id="rId30"/>
    <sheet name="GS 1k-4,999 Normalized Mont WN" sheetId="155" r:id="rId31"/>
    <sheet name="Large Use Normalized Monthl WN" sheetId="156" r:id="rId32"/>
    <sheet name="Summary Tables (Weather Normal)" sheetId="74" r:id="rId33"/>
  </sheets>
  <definedNames>
    <definedName name="_Fill" hidden="1">#REF!</definedName>
    <definedName name="_Order1" hidden="1">255</definedName>
    <definedName name="_Order2" hidden="1">0</definedName>
    <definedName name="_Parse_Out" hidden="1">#REF!</definedName>
    <definedName name="_Sort" hidden="1">#REF!</definedName>
    <definedName name="ApprovedYr">#REF!</definedName>
    <definedName name="AS2DocOpenMode" hidden="1">"AS2DocumentEdit"</definedName>
    <definedName name="BI_LDCLIST">#REF!</definedName>
    <definedName name="Bridge_Year">#REF!</definedName>
    <definedName name="BridgeYear">#REF!</definedName>
    <definedName name="Cash">#REF!</definedName>
    <definedName name="contactf">#REF!</definedName>
    <definedName name="CRLF">#REF!</definedName>
    <definedName name="CustomerAdministration">#REF!</definedName>
    <definedName name="EBNUMBER">#REF!</definedName>
    <definedName name="Fixed_Charges">#REF!</definedName>
    <definedName name="histdate">#REF!</definedName>
    <definedName name="Incr2000">#REF!</definedName>
    <definedName name="Last_Rebasing_Year">#REF!</definedName>
    <definedName name="LDC_LIST">#REF!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_CLASSES">#REF!</definedName>
    <definedName name="ratedescription">#REF!</definedName>
    <definedName name="RebaseYear">#REF!</definedName>
    <definedName name="RebaseYear_1">#REF!</definedName>
    <definedName name="RenameBridge">#REF!</definedName>
    <definedName name="RenameRebase">#REF!</definedName>
    <definedName name="RenameTest">#REF!</definedName>
    <definedName name="RMpilsVer">#REF!</definedName>
    <definedName name="RMversion">#REF!</definedName>
    <definedName name="SALBENF">#REF!</definedName>
    <definedName name="salreg">#REF!</definedName>
    <definedName name="SALREGF">#REF!</definedName>
    <definedName name="TableName">"Dummy"</definedName>
    <definedName name="TEMPA">#REF!</definedName>
    <definedName name="Test_Year">#REF!</definedName>
    <definedName name="TestYear">#REF!</definedName>
    <definedName name="TestYr">#REF!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#REF!</definedName>
    <definedName name="utitliy1">#REF!</definedName>
    <definedName name="valuevx">42.314159</definedName>
    <definedName name="WAGBENF">#REF!</definedName>
    <definedName name="wagdob">#REF!</definedName>
    <definedName name="wagdobf">#REF!</definedName>
    <definedName name="wagreg">#REF!</definedName>
    <definedName name="wagregf">#REF!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15" l="1"/>
  <c r="U6" i="15"/>
  <c r="U7" i="15"/>
  <c r="U8" i="15"/>
  <c r="U9" i="15"/>
  <c r="U10" i="15"/>
  <c r="U11" i="15"/>
  <c r="U12" i="15"/>
  <c r="U13" i="15"/>
  <c r="U4" i="15"/>
  <c r="E4" i="160"/>
  <c r="C4" i="160"/>
  <c r="D4" i="160"/>
  <c r="B13" i="160"/>
  <c r="AI6" i="57"/>
  <c r="AI7" i="57" s="1"/>
  <c r="X25" i="57"/>
  <c r="S6" i="57"/>
  <c r="J6" i="57"/>
  <c r="B10" i="74"/>
  <c r="B22" i="74" s="1"/>
  <c r="B4" i="74"/>
  <c r="B5" i="74"/>
  <c r="B6" i="74"/>
  <c r="B18" i="74" s="1"/>
  <c r="B28" i="74" s="1"/>
  <c r="B7" i="74"/>
  <c r="B19" i="74" s="1"/>
  <c r="B29" i="74" s="1"/>
  <c r="B8" i="74"/>
  <c r="B20" i="74" s="1"/>
  <c r="B30" i="74" s="1"/>
  <c r="B9" i="74"/>
  <c r="B3" i="74"/>
  <c r="AI8" i="57" l="1"/>
  <c r="S7" i="57"/>
  <c r="S8" i="57" s="1"/>
  <c r="J7" i="57"/>
  <c r="AI9" i="57" l="1"/>
  <c r="S9" i="57"/>
  <c r="J8" i="57"/>
  <c r="AI10" i="57" l="1"/>
  <c r="J9" i="57"/>
  <c r="S10" i="57"/>
  <c r="AI11" i="57" l="1"/>
  <c r="S11" i="57"/>
  <c r="J10" i="57"/>
  <c r="AI12" i="57" l="1"/>
  <c r="J11" i="57"/>
  <c r="S12" i="57"/>
  <c r="AI13" i="57" l="1"/>
  <c r="J12" i="57"/>
  <c r="S13" i="57"/>
  <c r="AI14" i="57" l="1"/>
  <c r="S14" i="57"/>
  <c r="J13" i="57"/>
  <c r="J14" i="57" l="1"/>
  <c r="AT48" i="17" l="1"/>
  <c r="AI48" i="17"/>
  <c r="AI49" i="17" s="1"/>
  <c r="AI50" i="17" s="1"/>
  <c r="E14" i="155"/>
  <c r="T145" i="156"/>
  <c r="O145" i="156"/>
  <c r="C145" i="156"/>
  <c r="B145" i="156"/>
  <c r="T144" i="156"/>
  <c r="O144" i="156"/>
  <c r="C144" i="156"/>
  <c r="B144" i="156"/>
  <c r="T143" i="156"/>
  <c r="O143" i="156"/>
  <c r="C143" i="156"/>
  <c r="B143" i="156"/>
  <c r="T142" i="156"/>
  <c r="O142" i="156"/>
  <c r="C142" i="156"/>
  <c r="B142" i="156"/>
  <c r="T141" i="156"/>
  <c r="O141" i="156"/>
  <c r="C141" i="156"/>
  <c r="B141" i="156"/>
  <c r="T140" i="156"/>
  <c r="O140" i="156"/>
  <c r="C140" i="156"/>
  <c r="B140" i="156"/>
  <c r="T139" i="156"/>
  <c r="O139" i="156"/>
  <c r="C139" i="156"/>
  <c r="B139" i="156"/>
  <c r="T138" i="156"/>
  <c r="O138" i="156"/>
  <c r="C138" i="156"/>
  <c r="B138" i="156"/>
  <c r="T137" i="156"/>
  <c r="O137" i="156"/>
  <c r="C137" i="156"/>
  <c r="B137" i="156"/>
  <c r="T136" i="156"/>
  <c r="O136" i="156"/>
  <c r="C136" i="156"/>
  <c r="B136" i="156"/>
  <c r="T135" i="156"/>
  <c r="O135" i="156"/>
  <c r="C135" i="156"/>
  <c r="B135" i="156"/>
  <c r="T134" i="156"/>
  <c r="O134" i="156"/>
  <c r="C134" i="156"/>
  <c r="B134" i="156"/>
  <c r="T133" i="156"/>
  <c r="O133" i="156"/>
  <c r="C133" i="156"/>
  <c r="B133" i="156"/>
  <c r="T132" i="156"/>
  <c r="O132" i="156"/>
  <c r="C132" i="156"/>
  <c r="B132" i="156"/>
  <c r="T131" i="156"/>
  <c r="O131" i="156"/>
  <c r="C131" i="156"/>
  <c r="B131" i="156"/>
  <c r="T130" i="156"/>
  <c r="O130" i="156"/>
  <c r="C130" i="156"/>
  <c r="B130" i="156"/>
  <c r="T129" i="156"/>
  <c r="O129" i="156"/>
  <c r="C129" i="156"/>
  <c r="B129" i="156"/>
  <c r="T128" i="156"/>
  <c r="O128" i="156"/>
  <c r="C128" i="156"/>
  <c r="B128" i="156"/>
  <c r="T127" i="156"/>
  <c r="O127" i="156"/>
  <c r="C127" i="156"/>
  <c r="B127" i="156"/>
  <c r="T126" i="156"/>
  <c r="O126" i="156"/>
  <c r="C126" i="156"/>
  <c r="B126" i="156"/>
  <c r="T125" i="156"/>
  <c r="O125" i="156"/>
  <c r="C125" i="156"/>
  <c r="B125" i="156"/>
  <c r="T124" i="156"/>
  <c r="O124" i="156"/>
  <c r="C124" i="156"/>
  <c r="B124" i="156"/>
  <c r="T123" i="156"/>
  <c r="O123" i="156"/>
  <c r="C123" i="156"/>
  <c r="B123" i="156"/>
  <c r="T122" i="156"/>
  <c r="O122" i="156"/>
  <c r="C122" i="156"/>
  <c r="B122" i="156"/>
  <c r="K121" i="156"/>
  <c r="C121" i="156"/>
  <c r="B121" i="156"/>
  <c r="K120" i="156"/>
  <c r="C120" i="156"/>
  <c r="B120" i="156"/>
  <c r="K119" i="156"/>
  <c r="C119" i="156"/>
  <c r="B119" i="156"/>
  <c r="K118" i="156"/>
  <c r="C118" i="156"/>
  <c r="B118" i="156"/>
  <c r="K117" i="156"/>
  <c r="C117" i="156"/>
  <c r="B117" i="156"/>
  <c r="K116" i="156"/>
  <c r="C116" i="156"/>
  <c r="B116" i="156"/>
  <c r="K115" i="156"/>
  <c r="A115" i="156"/>
  <c r="C115" i="156" s="1"/>
  <c r="K114" i="156"/>
  <c r="A114" i="156"/>
  <c r="B114" i="156" s="1"/>
  <c r="K113" i="156"/>
  <c r="A113" i="156"/>
  <c r="K112" i="156"/>
  <c r="A112" i="156"/>
  <c r="B112" i="156" s="1"/>
  <c r="K111" i="156"/>
  <c r="A111" i="156"/>
  <c r="C111" i="156" s="1"/>
  <c r="K110" i="156"/>
  <c r="A110" i="156"/>
  <c r="B110" i="156" s="1"/>
  <c r="K109" i="156"/>
  <c r="A109" i="156"/>
  <c r="K108" i="156"/>
  <c r="A108" i="156"/>
  <c r="B108" i="156" s="1"/>
  <c r="K107" i="156"/>
  <c r="A107" i="156"/>
  <c r="C107" i="156" s="1"/>
  <c r="K106" i="156"/>
  <c r="C106" i="156"/>
  <c r="A106" i="156"/>
  <c r="B106" i="156" s="1"/>
  <c r="K105" i="156"/>
  <c r="A105" i="156"/>
  <c r="K104" i="156"/>
  <c r="A104" i="156"/>
  <c r="C104" i="156" s="1"/>
  <c r="K103" i="156"/>
  <c r="A103" i="156"/>
  <c r="B103" i="156" s="1"/>
  <c r="K102" i="156"/>
  <c r="C102" i="156"/>
  <c r="A102" i="156"/>
  <c r="B102" i="156" s="1"/>
  <c r="K101" i="156"/>
  <c r="A101" i="156"/>
  <c r="B101" i="156" s="1"/>
  <c r="K100" i="156"/>
  <c r="A100" i="156"/>
  <c r="C100" i="156" s="1"/>
  <c r="K99" i="156"/>
  <c r="C99" i="156"/>
  <c r="A99" i="156"/>
  <c r="B99" i="156" s="1"/>
  <c r="K98" i="156"/>
  <c r="A98" i="156"/>
  <c r="B98" i="156" s="1"/>
  <c r="K97" i="156"/>
  <c r="A97" i="156"/>
  <c r="B97" i="156" s="1"/>
  <c r="K96" i="156"/>
  <c r="A96" i="156"/>
  <c r="C96" i="156" s="1"/>
  <c r="K95" i="156"/>
  <c r="A95" i="156"/>
  <c r="K94" i="156"/>
  <c r="A94" i="156"/>
  <c r="K93" i="156"/>
  <c r="A93" i="156"/>
  <c r="B93" i="156" s="1"/>
  <c r="K92" i="156"/>
  <c r="A92" i="156"/>
  <c r="C92" i="156" s="1"/>
  <c r="K91" i="156"/>
  <c r="C91" i="156"/>
  <c r="A91" i="156"/>
  <c r="B91" i="156" s="1"/>
  <c r="K90" i="156"/>
  <c r="C90" i="156"/>
  <c r="A90" i="156"/>
  <c r="B90" i="156" s="1"/>
  <c r="K89" i="156"/>
  <c r="B89" i="156"/>
  <c r="A89" i="156"/>
  <c r="C89" i="156" s="1"/>
  <c r="K88" i="156"/>
  <c r="A88" i="156"/>
  <c r="B88" i="156" s="1"/>
  <c r="K87" i="156"/>
  <c r="A87" i="156"/>
  <c r="C87" i="156" s="1"/>
  <c r="K86" i="156"/>
  <c r="C86" i="156"/>
  <c r="A86" i="156"/>
  <c r="B86" i="156" s="1"/>
  <c r="K85" i="156"/>
  <c r="A85" i="156"/>
  <c r="C85" i="156" s="1"/>
  <c r="K84" i="156"/>
  <c r="A84" i="156"/>
  <c r="C84" i="156" s="1"/>
  <c r="K83" i="156"/>
  <c r="C83" i="156"/>
  <c r="B83" i="156"/>
  <c r="A83" i="156"/>
  <c r="K82" i="156"/>
  <c r="A82" i="156"/>
  <c r="B82" i="156" s="1"/>
  <c r="K81" i="156"/>
  <c r="A81" i="156"/>
  <c r="B81" i="156" s="1"/>
  <c r="K80" i="156"/>
  <c r="A80" i="156"/>
  <c r="B80" i="156" s="1"/>
  <c r="K79" i="156"/>
  <c r="B79" i="156"/>
  <c r="A79" i="156"/>
  <c r="C79" i="156" s="1"/>
  <c r="K78" i="156"/>
  <c r="C78" i="156"/>
  <c r="A78" i="156"/>
  <c r="B78" i="156" s="1"/>
  <c r="K77" i="156"/>
  <c r="A77" i="156"/>
  <c r="C77" i="156" s="1"/>
  <c r="K76" i="156"/>
  <c r="B76" i="156"/>
  <c r="A76" i="156"/>
  <c r="C76" i="156" s="1"/>
  <c r="K75" i="156"/>
  <c r="A75" i="156"/>
  <c r="B75" i="156" s="1"/>
  <c r="K74" i="156"/>
  <c r="A74" i="156"/>
  <c r="B74" i="156" s="1"/>
  <c r="K73" i="156"/>
  <c r="A73" i="156"/>
  <c r="C73" i="156" s="1"/>
  <c r="K72" i="156"/>
  <c r="C72" i="156"/>
  <c r="A72" i="156"/>
  <c r="B72" i="156" s="1"/>
  <c r="K71" i="156"/>
  <c r="B71" i="156"/>
  <c r="A71" i="156"/>
  <c r="C71" i="156" s="1"/>
  <c r="K70" i="156"/>
  <c r="A70" i="156"/>
  <c r="B70" i="156" s="1"/>
  <c r="K69" i="156"/>
  <c r="A69" i="156"/>
  <c r="C69" i="156" s="1"/>
  <c r="K68" i="156"/>
  <c r="A68" i="156"/>
  <c r="C68" i="156" s="1"/>
  <c r="K67" i="156"/>
  <c r="C67" i="156"/>
  <c r="A67" i="156"/>
  <c r="B67" i="156" s="1"/>
  <c r="K66" i="156"/>
  <c r="A66" i="156"/>
  <c r="B66" i="156" s="1"/>
  <c r="K65" i="156"/>
  <c r="A65" i="156"/>
  <c r="C65" i="156" s="1"/>
  <c r="K64" i="156"/>
  <c r="C64" i="156"/>
  <c r="B64" i="156"/>
  <c r="A64" i="156"/>
  <c r="K63" i="156"/>
  <c r="A63" i="156"/>
  <c r="C63" i="156" s="1"/>
  <c r="K62" i="156"/>
  <c r="A62" i="156"/>
  <c r="K61" i="156"/>
  <c r="B61" i="156"/>
  <c r="A61" i="156"/>
  <c r="C61" i="156" s="1"/>
  <c r="K60" i="156"/>
  <c r="A60" i="156"/>
  <c r="C60" i="156" s="1"/>
  <c r="K59" i="156"/>
  <c r="C59" i="156"/>
  <c r="A59" i="156"/>
  <c r="B59" i="156" s="1"/>
  <c r="K58" i="156"/>
  <c r="A58" i="156"/>
  <c r="C58" i="156" s="1"/>
  <c r="K57" i="156"/>
  <c r="A57" i="156"/>
  <c r="B57" i="156" s="1"/>
  <c r="K56" i="156"/>
  <c r="A56" i="156"/>
  <c r="C56" i="156" s="1"/>
  <c r="K55" i="156"/>
  <c r="A55" i="156"/>
  <c r="K54" i="156"/>
  <c r="A54" i="156"/>
  <c r="C54" i="156" s="1"/>
  <c r="K53" i="156"/>
  <c r="A53" i="156"/>
  <c r="C53" i="156" s="1"/>
  <c r="K52" i="156"/>
  <c r="A52" i="156"/>
  <c r="C52" i="156" s="1"/>
  <c r="K51" i="156"/>
  <c r="C51" i="156"/>
  <c r="A51" i="156"/>
  <c r="B51" i="156" s="1"/>
  <c r="K50" i="156"/>
  <c r="A50" i="156"/>
  <c r="B50" i="156" s="1"/>
  <c r="L49" i="156"/>
  <c r="K49" i="156"/>
  <c r="J49" i="156"/>
  <c r="C49" i="156"/>
  <c r="A49" i="156"/>
  <c r="B49" i="156" s="1"/>
  <c r="L48" i="156"/>
  <c r="K48" i="156"/>
  <c r="J48" i="156"/>
  <c r="A48" i="156"/>
  <c r="C48" i="156" s="1"/>
  <c r="L47" i="156"/>
  <c r="K47" i="156"/>
  <c r="J47" i="156"/>
  <c r="A47" i="156"/>
  <c r="L46" i="156"/>
  <c r="K46" i="156"/>
  <c r="J46" i="156"/>
  <c r="A46" i="156"/>
  <c r="B46" i="156" s="1"/>
  <c r="L45" i="156"/>
  <c r="K45" i="156"/>
  <c r="J45" i="156"/>
  <c r="A45" i="156"/>
  <c r="C45" i="156" s="1"/>
  <c r="L44" i="156"/>
  <c r="K44" i="156"/>
  <c r="J44" i="156"/>
  <c r="A44" i="156"/>
  <c r="C44" i="156" s="1"/>
  <c r="L43" i="156"/>
  <c r="K43" i="156"/>
  <c r="J43" i="156"/>
  <c r="A43" i="156"/>
  <c r="C43" i="156" s="1"/>
  <c r="L42" i="156"/>
  <c r="K42" i="156"/>
  <c r="J42" i="156"/>
  <c r="A42" i="156"/>
  <c r="C42" i="156" s="1"/>
  <c r="L41" i="156"/>
  <c r="K41" i="156"/>
  <c r="J41" i="156"/>
  <c r="A41" i="156"/>
  <c r="C41" i="156" s="1"/>
  <c r="L40" i="156"/>
  <c r="K40" i="156"/>
  <c r="J40" i="156"/>
  <c r="A40" i="156"/>
  <c r="C40" i="156" s="1"/>
  <c r="L39" i="156"/>
  <c r="K39" i="156"/>
  <c r="J39" i="156"/>
  <c r="A39" i="156"/>
  <c r="B39" i="156" s="1"/>
  <c r="L38" i="156"/>
  <c r="K38" i="156"/>
  <c r="J38" i="156"/>
  <c r="B38" i="156"/>
  <c r="A38" i="156"/>
  <c r="C38" i="156" s="1"/>
  <c r="L37" i="156"/>
  <c r="K37" i="156"/>
  <c r="J37" i="156"/>
  <c r="C37" i="156"/>
  <c r="A37" i="156"/>
  <c r="B37" i="156" s="1"/>
  <c r="L36" i="156"/>
  <c r="K36" i="156"/>
  <c r="J36" i="156"/>
  <c r="A36" i="156"/>
  <c r="B36" i="156" s="1"/>
  <c r="L35" i="156"/>
  <c r="K35" i="156"/>
  <c r="J35" i="156"/>
  <c r="A35" i="156"/>
  <c r="C35" i="156" s="1"/>
  <c r="L34" i="156"/>
  <c r="K34" i="156"/>
  <c r="J34" i="156"/>
  <c r="A34" i="156"/>
  <c r="L33" i="156"/>
  <c r="K33" i="156"/>
  <c r="J33" i="156"/>
  <c r="A33" i="156"/>
  <c r="B33" i="156" s="1"/>
  <c r="L32" i="156"/>
  <c r="K32" i="156"/>
  <c r="J32" i="156"/>
  <c r="A32" i="156"/>
  <c r="C32" i="156" s="1"/>
  <c r="L31" i="156"/>
  <c r="K31" i="156"/>
  <c r="J31" i="156"/>
  <c r="C31" i="156"/>
  <c r="A31" i="156"/>
  <c r="B31" i="156" s="1"/>
  <c r="L30" i="156"/>
  <c r="K30" i="156"/>
  <c r="J30" i="156"/>
  <c r="A30" i="156"/>
  <c r="L29" i="156"/>
  <c r="K29" i="156"/>
  <c r="J29" i="156"/>
  <c r="A29" i="156"/>
  <c r="B29" i="156" s="1"/>
  <c r="L28" i="156"/>
  <c r="K28" i="156"/>
  <c r="J28" i="156"/>
  <c r="A28" i="156"/>
  <c r="C28" i="156" s="1"/>
  <c r="L27" i="156"/>
  <c r="K27" i="156"/>
  <c r="J27" i="156"/>
  <c r="A27" i="156"/>
  <c r="L26" i="156"/>
  <c r="K26" i="156"/>
  <c r="J26" i="156"/>
  <c r="A26" i="156"/>
  <c r="L25" i="156"/>
  <c r="K25" i="156"/>
  <c r="J25" i="156"/>
  <c r="A25" i="156"/>
  <c r="B25" i="156" s="1"/>
  <c r="L24" i="156"/>
  <c r="K24" i="156"/>
  <c r="J24" i="156"/>
  <c r="A24" i="156"/>
  <c r="C24" i="156" s="1"/>
  <c r="L23" i="156"/>
  <c r="K23" i="156"/>
  <c r="J23" i="156"/>
  <c r="C23" i="156"/>
  <c r="A23" i="156"/>
  <c r="B23" i="156" s="1"/>
  <c r="L22" i="156"/>
  <c r="K22" i="156"/>
  <c r="J22" i="156"/>
  <c r="A22" i="156"/>
  <c r="L21" i="156"/>
  <c r="K21" i="156"/>
  <c r="J21" i="156"/>
  <c r="A21" i="156"/>
  <c r="B21" i="156" s="1"/>
  <c r="L20" i="156"/>
  <c r="K20" i="156"/>
  <c r="J20" i="156"/>
  <c r="C20" i="156"/>
  <c r="B20" i="156"/>
  <c r="A20" i="156"/>
  <c r="L19" i="156"/>
  <c r="K19" i="156"/>
  <c r="J19" i="156"/>
  <c r="A19" i="156"/>
  <c r="B19" i="156" s="1"/>
  <c r="L18" i="156"/>
  <c r="K18" i="156"/>
  <c r="J18" i="156"/>
  <c r="A18" i="156"/>
  <c r="L17" i="156"/>
  <c r="K17" i="156"/>
  <c r="J17" i="156"/>
  <c r="A17" i="156"/>
  <c r="B17" i="156" s="1"/>
  <c r="L16" i="156"/>
  <c r="K16" i="156"/>
  <c r="J16" i="156"/>
  <c r="A16" i="156"/>
  <c r="C16" i="156" s="1"/>
  <c r="L15" i="156"/>
  <c r="K15" i="156"/>
  <c r="J15" i="156"/>
  <c r="A15" i="156"/>
  <c r="C15" i="156" s="1"/>
  <c r="L14" i="156"/>
  <c r="K14" i="156"/>
  <c r="J14" i="156"/>
  <c r="A14" i="156"/>
  <c r="L13" i="156"/>
  <c r="K13" i="156"/>
  <c r="J13" i="156"/>
  <c r="A13" i="156"/>
  <c r="B13" i="156" s="1"/>
  <c r="L12" i="156"/>
  <c r="K12" i="156"/>
  <c r="J12" i="156"/>
  <c r="A12" i="156"/>
  <c r="L11" i="156"/>
  <c r="K11" i="156"/>
  <c r="J11" i="156"/>
  <c r="A11" i="156"/>
  <c r="C11" i="156" s="1"/>
  <c r="L10" i="156"/>
  <c r="K10" i="156"/>
  <c r="J10" i="156"/>
  <c r="A10" i="156"/>
  <c r="L9" i="156"/>
  <c r="K9" i="156"/>
  <c r="J9" i="156"/>
  <c r="A9" i="156"/>
  <c r="B9" i="156" s="1"/>
  <c r="L8" i="156"/>
  <c r="K8" i="156"/>
  <c r="J8" i="156"/>
  <c r="A8" i="156"/>
  <c r="C8" i="156" s="1"/>
  <c r="L7" i="156"/>
  <c r="K7" i="156"/>
  <c r="J7" i="156"/>
  <c r="A7" i="156"/>
  <c r="C7" i="156" s="1"/>
  <c r="L6" i="156"/>
  <c r="K6" i="156"/>
  <c r="J6" i="156"/>
  <c r="A6" i="156"/>
  <c r="L5" i="156"/>
  <c r="K5" i="156"/>
  <c r="J5" i="156"/>
  <c r="A5" i="156"/>
  <c r="B5" i="156" s="1"/>
  <c r="L4" i="156"/>
  <c r="K4" i="156"/>
  <c r="J4" i="156"/>
  <c r="A4" i="156"/>
  <c r="B4" i="156" s="1"/>
  <c r="L3" i="156"/>
  <c r="K3" i="156"/>
  <c r="J3" i="156"/>
  <c r="A3" i="156"/>
  <c r="C3" i="156" s="1"/>
  <c r="L2" i="156"/>
  <c r="K2" i="156"/>
  <c r="J2" i="156"/>
  <c r="I2" i="156"/>
  <c r="A2" i="156"/>
  <c r="U1" i="156"/>
  <c r="S1" i="156"/>
  <c r="M1" i="156"/>
  <c r="V1" i="156" s="1"/>
  <c r="L1" i="156"/>
  <c r="K1" i="156"/>
  <c r="T1" i="156" s="1"/>
  <c r="J1" i="156"/>
  <c r="I1" i="156"/>
  <c r="R1" i="156" s="1"/>
  <c r="H1" i="156"/>
  <c r="G1" i="156"/>
  <c r="D1" i="156"/>
  <c r="A1" i="156"/>
  <c r="K145" i="155"/>
  <c r="C145" i="155"/>
  <c r="B145" i="155"/>
  <c r="K144" i="155"/>
  <c r="C144" i="155"/>
  <c r="B144" i="155"/>
  <c r="K143" i="155"/>
  <c r="C143" i="155"/>
  <c r="B143" i="155"/>
  <c r="K142" i="155"/>
  <c r="C142" i="155"/>
  <c r="B142" i="155"/>
  <c r="K141" i="155"/>
  <c r="C141" i="155"/>
  <c r="B141" i="155"/>
  <c r="K140" i="155"/>
  <c r="C140" i="155"/>
  <c r="B140" i="155"/>
  <c r="K139" i="155"/>
  <c r="C139" i="155"/>
  <c r="B139" i="155"/>
  <c r="K138" i="155"/>
  <c r="C138" i="155"/>
  <c r="B138" i="155"/>
  <c r="K137" i="155"/>
  <c r="C137" i="155"/>
  <c r="B137" i="155"/>
  <c r="K136" i="155"/>
  <c r="C136" i="155"/>
  <c r="B136" i="155"/>
  <c r="K135" i="155"/>
  <c r="C135" i="155"/>
  <c r="B135" i="155"/>
  <c r="K134" i="155"/>
  <c r="C134" i="155"/>
  <c r="B134" i="155"/>
  <c r="K133" i="155"/>
  <c r="C133" i="155"/>
  <c r="B133" i="155"/>
  <c r="K132" i="155"/>
  <c r="C132" i="155"/>
  <c r="B132" i="155"/>
  <c r="K131" i="155"/>
  <c r="C131" i="155"/>
  <c r="B131" i="155"/>
  <c r="K130" i="155"/>
  <c r="C130" i="155"/>
  <c r="B130" i="155"/>
  <c r="K129" i="155"/>
  <c r="C129" i="155"/>
  <c r="B129" i="155"/>
  <c r="K128" i="155"/>
  <c r="C128" i="155"/>
  <c r="B128" i="155"/>
  <c r="K127" i="155"/>
  <c r="C127" i="155"/>
  <c r="B127" i="155"/>
  <c r="K126" i="155"/>
  <c r="C126" i="155"/>
  <c r="B126" i="155"/>
  <c r="K125" i="155"/>
  <c r="C125" i="155"/>
  <c r="B125" i="155"/>
  <c r="K124" i="155"/>
  <c r="G124" i="155"/>
  <c r="C124" i="155"/>
  <c r="B124" i="155"/>
  <c r="K123" i="155"/>
  <c r="C123" i="155"/>
  <c r="B123" i="155"/>
  <c r="K122" i="155"/>
  <c r="C122" i="155"/>
  <c r="B122" i="155"/>
  <c r="G121" i="155"/>
  <c r="C121" i="155"/>
  <c r="B121" i="155"/>
  <c r="G120" i="155"/>
  <c r="G132" i="155" s="1"/>
  <c r="C120" i="155"/>
  <c r="B120" i="155"/>
  <c r="G119" i="155"/>
  <c r="G131" i="155" s="1"/>
  <c r="C119" i="155"/>
  <c r="B119" i="155"/>
  <c r="G118" i="155"/>
  <c r="C118" i="155"/>
  <c r="B118" i="155"/>
  <c r="G117" i="155"/>
  <c r="G129" i="155" s="1"/>
  <c r="C117" i="155"/>
  <c r="B117" i="155"/>
  <c r="G116" i="155"/>
  <c r="G128" i="155" s="1"/>
  <c r="C116" i="155"/>
  <c r="B116" i="155"/>
  <c r="G115" i="155"/>
  <c r="G127" i="155" s="1"/>
  <c r="A115" i="155"/>
  <c r="C115" i="155" s="1"/>
  <c r="G114" i="155"/>
  <c r="A114" i="155"/>
  <c r="C114" i="155" s="1"/>
  <c r="G113" i="155"/>
  <c r="G125" i="155" s="1"/>
  <c r="A113" i="155"/>
  <c r="C113" i="155" s="1"/>
  <c r="G112" i="155"/>
  <c r="C112" i="155"/>
  <c r="A112" i="155"/>
  <c r="B112" i="155" s="1"/>
  <c r="G111" i="155"/>
  <c r="A111" i="155"/>
  <c r="G110" i="155"/>
  <c r="G122" i="155" s="1"/>
  <c r="G134" i="155" s="1"/>
  <c r="M134" i="155" s="1"/>
  <c r="A110" i="155"/>
  <c r="C110" i="155" s="1"/>
  <c r="G109" i="155"/>
  <c r="A109" i="155"/>
  <c r="C109" i="155" s="1"/>
  <c r="G108" i="155"/>
  <c r="A108" i="155"/>
  <c r="C108" i="155" s="1"/>
  <c r="G107" i="155"/>
  <c r="A107" i="155"/>
  <c r="B107" i="155" s="1"/>
  <c r="G106" i="155"/>
  <c r="A106" i="155"/>
  <c r="G105" i="155"/>
  <c r="A105" i="155"/>
  <c r="B105" i="155" s="1"/>
  <c r="G104" i="155"/>
  <c r="A104" i="155"/>
  <c r="C104" i="155" s="1"/>
  <c r="G103" i="155"/>
  <c r="A103" i="155"/>
  <c r="C103" i="155" s="1"/>
  <c r="G102" i="155"/>
  <c r="A102" i="155"/>
  <c r="G101" i="155"/>
  <c r="A101" i="155"/>
  <c r="C101" i="155" s="1"/>
  <c r="G100" i="155"/>
  <c r="A100" i="155"/>
  <c r="C100" i="155" s="1"/>
  <c r="G99" i="155"/>
  <c r="C99" i="155"/>
  <c r="A99" i="155"/>
  <c r="B99" i="155" s="1"/>
  <c r="G98" i="155"/>
  <c r="A98" i="155"/>
  <c r="C98" i="155" s="1"/>
  <c r="G97" i="155"/>
  <c r="A97" i="155"/>
  <c r="C97" i="155" s="1"/>
  <c r="G96" i="155"/>
  <c r="A96" i="155"/>
  <c r="G95" i="155"/>
  <c r="A95" i="155"/>
  <c r="C95" i="155" s="1"/>
  <c r="G94" i="155"/>
  <c r="A94" i="155"/>
  <c r="B94" i="155" s="1"/>
  <c r="G93" i="155"/>
  <c r="A93" i="155"/>
  <c r="C93" i="155" s="1"/>
  <c r="G92" i="155"/>
  <c r="A92" i="155"/>
  <c r="C92" i="155" s="1"/>
  <c r="G91" i="155"/>
  <c r="A91" i="155"/>
  <c r="B91" i="155" s="1"/>
  <c r="G90" i="155"/>
  <c r="A90" i="155"/>
  <c r="C90" i="155" s="1"/>
  <c r="G89" i="155"/>
  <c r="A89" i="155"/>
  <c r="C89" i="155" s="1"/>
  <c r="G88" i="155"/>
  <c r="A88" i="155"/>
  <c r="C88" i="155" s="1"/>
  <c r="G87" i="155"/>
  <c r="A87" i="155"/>
  <c r="C87" i="155" s="1"/>
  <c r="G86" i="155"/>
  <c r="A86" i="155"/>
  <c r="C86" i="155" s="1"/>
  <c r="G85" i="155"/>
  <c r="A85" i="155"/>
  <c r="C85" i="155" s="1"/>
  <c r="G84" i="155"/>
  <c r="A84" i="155"/>
  <c r="B84" i="155" s="1"/>
  <c r="G83" i="155"/>
  <c r="A83" i="155"/>
  <c r="C83" i="155" s="1"/>
  <c r="G82" i="155"/>
  <c r="A82" i="155"/>
  <c r="G81" i="155"/>
  <c r="A81" i="155"/>
  <c r="C81" i="155" s="1"/>
  <c r="G80" i="155"/>
  <c r="B80" i="155"/>
  <c r="A80" i="155"/>
  <c r="C80" i="155" s="1"/>
  <c r="G79" i="155"/>
  <c r="A79" i="155"/>
  <c r="C79" i="155" s="1"/>
  <c r="G78" i="155"/>
  <c r="A78" i="155"/>
  <c r="C78" i="155" s="1"/>
  <c r="G77" i="155"/>
  <c r="A77" i="155"/>
  <c r="C77" i="155" s="1"/>
  <c r="G76" i="155"/>
  <c r="A76" i="155"/>
  <c r="B76" i="155" s="1"/>
  <c r="G75" i="155"/>
  <c r="A75" i="155"/>
  <c r="C75" i="155" s="1"/>
  <c r="G74" i="155"/>
  <c r="A74" i="155"/>
  <c r="G73" i="155"/>
  <c r="A73" i="155"/>
  <c r="C73" i="155" s="1"/>
  <c r="G72" i="155"/>
  <c r="A72" i="155"/>
  <c r="B72" i="155" s="1"/>
  <c r="G71" i="155"/>
  <c r="C71" i="155"/>
  <c r="B71" i="155"/>
  <c r="A71" i="155"/>
  <c r="G70" i="155"/>
  <c r="B70" i="155"/>
  <c r="A70" i="155"/>
  <c r="C70" i="155" s="1"/>
  <c r="G69" i="155"/>
  <c r="A69" i="155"/>
  <c r="B69" i="155" s="1"/>
  <c r="G68" i="155"/>
  <c r="A68" i="155"/>
  <c r="C68" i="155" s="1"/>
  <c r="G67" i="155"/>
  <c r="A67" i="155"/>
  <c r="C67" i="155" s="1"/>
  <c r="G66" i="155"/>
  <c r="A66" i="155"/>
  <c r="G65" i="155"/>
  <c r="A65" i="155"/>
  <c r="C65" i="155" s="1"/>
  <c r="G64" i="155"/>
  <c r="C64" i="155"/>
  <c r="B64" i="155"/>
  <c r="A64" i="155"/>
  <c r="G63" i="155"/>
  <c r="A63" i="155"/>
  <c r="C63" i="155" s="1"/>
  <c r="G62" i="155"/>
  <c r="A62" i="155"/>
  <c r="B62" i="155" s="1"/>
  <c r="G61" i="155"/>
  <c r="A61" i="155"/>
  <c r="C61" i="155" s="1"/>
  <c r="G60" i="155"/>
  <c r="A60" i="155"/>
  <c r="C60" i="155" s="1"/>
  <c r="G59" i="155"/>
  <c r="A59" i="155"/>
  <c r="C59" i="155" s="1"/>
  <c r="G58" i="155"/>
  <c r="A58" i="155"/>
  <c r="G57" i="155"/>
  <c r="A57" i="155"/>
  <c r="C57" i="155" s="1"/>
  <c r="G56" i="155"/>
  <c r="B56" i="155"/>
  <c r="A56" i="155"/>
  <c r="C56" i="155" s="1"/>
  <c r="G55" i="155"/>
  <c r="A55" i="155"/>
  <c r="B55" i="155" s="1"/>
  <c r="G54" i="155"/>
  <c r="A54" i="155"/>
  <c r="C54" i="155" s="1"/>
  <c r="G53" i="155"/>
  <c r="A53" i="155"/>
  <c r="C53" i="155" s="1"/>
  <c r="G52" i="155"/>
  <c r="A52" i="155"/>
  <c r="B52" i="155" s="1"/>
  <c r="G51" i="155"/>
  <c r="A51" i="155"/>
  <c r="G50" i="155"/>
  <c r="A50" i="155"/>
  <c r="I49" i="155"/>
  <c r="G49" i="155"/>
  <c r="A49" i="155"/>
  <c r="C49" i="155" s="1"/>
  <c r="I48" i="155"/>
  <c r="G48" i="155"/>
  <c r="A48" i="155"/>
  <c r="C48" i="155" s="1"/>
  <c r="I47" i="155"/>
  <c r="G47" i="155"/>
  <c r="C47" i="155"/>
  <c r="B47" i="155"/>
  <c r="A47" i="155"/>
  <c r="I46" i="155"/>
  <c r="G46" i="155"/>
  <c r="A46" i="155"/>
  <c r="C46" i="155" s="1"/>
  <c r="I45" i="155"/>
  <c r="G45" i="155"/>
  <c r="A45" i="155"/>
  <c r="C45" i="155" s="1"/>
  <c r="I44" i="155"/>
  <c r="G44" i="155"/>
  <c r="A44" i="155"/>
  <c r="C44" i="155" s="1"/>
  <c r="I43" i="155"/>
  <c r="G43" i="155"/>
  <c r="A43" i="155"/>
  <c r="B43" i="155" s="1"/>
  <c r="I42" i="155"/>
  <c r="G42" i="155"/>
  <c r="A42" i="155"/>
  <c r="I41" i="155"/>
  <c r="G41" i="155"/>
  <c r="A41" i="155"/>
  <c r="C41" i="155" s="1"/>
  <c r="I40" i="155"/>
  <c r="G40" i="155"/>
  <c r="A40" i="155"/>
  <c r="C40" i="155" s="1"/>
  <c r="I39" i="155"/>
  <c r="G39" i="155"/>
  <c r="C39" i="155"/>
  <c r="A39" i="155"/>
  <c r="B39" i="155" s="1"/>
  <c r="I38" i="155"/>
  <c r="G38" i="155"/>
  <c r="A38" i="155"/>
  <c r="C38" i="155" s="1"/>
  <c r="I37" i="155"/>
  <c r="G37" i="155"/>
  <c r="A37" i="155"/>
  <c r="I36" i="155"/>
  <c r="G36" i="155"/>
  <c r="A36" i="155"/>
  <c r="C36" i="155" s="1"/>
  <c r="I35" i="155"/>
  <c r="G35" i="155"/>
  <c r="A35" i="155"/>
  <c r="C35" i="155" s="1"/>
  <c r="I34" i="155"/>
  <c r="G34" i="155"/>
  <c r="A34" i="155"/>
  <c r="I33" i="155"/>
  <c r="G33" i="155"/>
  <c r="A33" i="155"/>
  <c r="C33" i="155" s="1"/>
  <c r="I32" i="155"/>
  <c r="G32" i="155"/>
  <c r="A32" i="155"/>
  <c r="C32" i="155" s="1"/>
  <c r="I31" i="155"/>
  <c r="G31" i="155"/>
  <c r="C31" i="155"/>
  <c r="B31" i="155"/>
  <c r="A31" i="155"/>
  <c r="I30" i="155"/>
  <c r="G30" i="155"/>
  <c r="A30" i="155"/>
  <c r="B30" i="155" s="1"/>
  <c r="I29" i="155"/>
  <c r="G29" i="155"/>
  <c r="A29" i="155"/>
  <c r="C29" i="155" s="1"/>
  <c r="I28" i="155"/>
  <c r="G28" i="155"/>
  <c r="A28" i="155"/>
  <c r="C28" i="155" s="1"/>
  <c r="I27" i="155"/>
  <c r="G27" i="155"/>
  <c r="A27" i="155"/>
  <c r="C27" i="155" s="1"/>
  <c r="I26" i="155"/>
  <c r="G26" i="155"/>
  <c r="A26" i="155"/>
  <c r="I25" i="155"/>
  <c r="G25" i="155"/>
  <c r="A25" i="155"/>
  <c r="B25" i="155" s="1"/>
  <c r="I24" i="155"/>
  <c r="G24" i="155"/>
  <c r="A24" i="155"/>
  <c r="C24" i="155" s="1"/>
  <c r="I23" i="155"/>
  <c r="G23" i="155"/>
  <c r="B23" i="155"/>
  <c r="A23" i="155"/>
  <c r="C23" i="155" s="1"/>
  <c r="I22" i="155"/>
  <c r="G22" i="155"/>
  <c r="A22" i="155"/>
  <c r="C22" i="155" s="1"/>
  <c r="I21" i="155"/>
  <c r="G21" i="155"/>
  <c r="A21" i="155"/>
  <c r="C21" i="155" s="1"/>
  <c r="I20" i="155"/>
  <c r="G20" i="155"/>
  <c r="A20" i="155"/>
  <c r="C20" i="155" s="1"/>
  <c r="I19" i="155"/>
  <c r="G19" i="155"/>
  <c r="B19" i="155"/>
  <c r="A19" i="155"/>
  <c r="C19" i="155" s="1"/>
  <c r="I18" i="155"/>
  <c r="G18" i="155"/>
  <c r="A18" i="155"/>
  <c r="C18" i="155" s="1"/>
  <c r="I17" i="155"/>
  <c r="G17" i="155"/>
  <c r="A17" i="155"/>
  <c r="C17" i="155" s="1"/>
  <c r="I16" i="155"/>
  <c r="G16" i="155"/>
  <c r="A16" i="155"/>
  <c r="C16" i="155" s="1"/>
  <c r="I15" i="155"/>
  <c r="G15" i="155"/>
  <c r="A15" i="155"/>
  <c r="C15" i="155" s="1"/>
  <c r="I14" i="155"/>
  <c r="G14" i="155"/>
  <c r="A14" i="155"/>
  <c r="C14" i="155" s="1"/>
  <c r="I13" i="155"/>
  <c r="G13" i="155"/>
  <c r="A13" i="155"/>
  <c r="C13" i="155" s="1"/>
  <c r="I12" i="155"/>
  <c r="G12" i="155"/>
  <c r="C12" i="155"/>
  <c r="A12" i="155"/>
  <c r="B12" i="155" s="1"/>
  <c r="I11" i="155"/>
  <c r="G11" i="155"/>
  <c r="A11" i="155"/>
  <c r="B11" i="155" s="1"/>
  <c r="I10" i="155"/>
  <c r="G10" i="155"/>
  <c r="A10" i="155"/>
  <c r="C10" i="155" s="1"/>
  <c r="I9" i="155"/>
  <c r="G9" i="155"/>
  <c r="A9" i="155"/>
  <c r="C9" i="155" s="1"/>
  <c r="I8" i="155"/>
  <c r="G8" i="155"/>
  <c r="A8" i="155"/>
  <c r="C8" i="155" s="1"/>
  <c r="I7" i="155"/>
  <c r="G7" i="155"/>
  <c r="C7" i="155"/>
  <c r="A7" i="155"/>
  <c r="B7" i="155" s="1"/>
  <c r="I6" i="155"/>
  <c r="G6" i="155"/>
  <c r="A6" i="155"/>
  <c r="C6" i="155" s="1"/>
  <c r="I5" i="155"/>
  <c r="G5" i="155"/>
  <c r="A5" i="155"/>
  <c r="C5" i="155" s="1"/>
  <c r="I4" i="155"/>
  <c r="G4" i="155"/>
  <c r="A4" i="155"/>
  <c r="C4" i="155" s="1"/>
  <c r="I3" i="155"/>
  <c r="G3" i="155"/>
  <c r="A3" i="155"/>
  <c r="B3" i="155" s="1"/>
  <c r="I2" i="155"/>
  <c r="G2" i="155"/>
  <c r="A2" i="155"/>
  <c r="C2" i="155" s="1"/>
  <c r="I1" i="155"/>
  <c r="O1" i="155" s="1"/>
  <c r="H1" i="155"/>
  <c r="N1" i="155" s="1"/>
  <c r="G1" i="155"/>
  <c r="M1" i="155" s="1"/>
  <c r="F1" i="155"/>
  <c r="L1" i="155" s="1"/>
  <c r="D1" i="155"/>
  <c r="A1" i="155"/>
  <c r="J1" i="77"/>
  <c r="I3" i="77"/>
  <c r="I4" i="77"/>
  <c r="I5" i="77"/>
  <c r="I6" i="77"/>
  <c r="I7" i="77"/>
  <c r="I8" i="77"/>
  <c r="I9" i="77"/>
  <c r="I10" i="77"/>
  <c r="I11" i="77"/>
  <c r="I12" i="77"/>
  <c r="I13" i="77"/>
  <c r="I14" i="77"/>
  <c r="I15" i="77"/>
  <c r="I16" i="77"/>
  <c r="I17" i="77"/>
  <c r="I18"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8" i="77"/>
  <c r="I49" i="77"/>
  <c r="I50" i="77"/>
  <c r="I51" i="77"/>
  <c r="I52" i="77"/>
  <c r="I53" i="77"/>
  <c r="I54" i="77"/>
  <c r="I55" i="77"/>
  <c r="I56" i="77"/>
  <c r="I57" i="77"/>
  <c r="I58" i="77"/>
  <c r="I59" i="77"/>
  <c r="I60" i="77"/>
  <c r="I61" i="77"/>
  <c r="I62" i="77"/>
  <c r="I63" i="77"/>
  <c r="I64" i="77"/>
  <c r="I65" i="77"/>
  <c r="I66" i="77"/>
  <c r="I67" i="77"/>
  <c r="I68" i="77"/>
  <c r="I69" i="77"/>
  <c r="I70" i="77"/>
  <c r="I71" i="77"/>
  <c r="I72" i="77"/>
  <c r="I73" i="77"/>
  <c r="I74" i="77"/>
  <c r="I75" i="77"/>
  <c r="I76" i="77"/>
  <c r="I77" i="77"/>
  <c r="I78" i="77"/>
  <c r="I79" i="77"/>
  <c r="I80" i="77"/>
  <c r="I81" i="77"/>
  <c r="I82" i="77"/>
  <c r="I83" i="77"/>
  <c r="I84" i="77"/>
  <c r="I85" i="77"/>
  <c r="I86" i="77"/>
  <c r="I87" i="77"/>
  <c r="I88" i="77"/>
  <c r="I89" i="77"/>
  <c r="I90" i="77"/>
  <c r="I91" i="77"/>
  <c r="I92" i="77"/>
  <c r="I93" i="77"/>
  <c r="I94" i="77"/>
  <c r="I95" i="77"/>
  <c r="I96" i="77"/>
  <c r="I97" i="77"/>
  <c r="I98" i="77"/>
  <c r="I99" i="77"/>
  <c r="I100" i="77"/>
  <c r="I101" i="77"/>
  <c r="I102" i="77"/>
  <c r="I103" i="77"/>
  <c r="I104" i="77"/>
  <c r="I105" i="77"/>
  <c r="I106" i="77"/>
  <c r="I107" i="77"/>
  <c r="I108" i="77"/>
  <c r="I109" i="77"/>
  <c r="I110" i="77"/>
  <c r="I111" i="77"/>
  <c r="I112" i="77"/>
  <c r="I113" i="77"/>
  <c r="I114" i="77"/>
  <c r="I115" i="77"/>
  <c r="I116" i="77"/>
  <c r="I117" i="77"/>
  <c r="I118" i="77"/>
  <c r="I119" i="77"/>
  <c r="I120" i="77"/>
  <c r="I121" i="77"/>
  <c r="I122" i="77"/>
  <c r="I123" i="77"/>
  <c r="I124" i="77"/>
  <c r="I125" i="77"/>
  <c r="I126" i="77"/>
  <c r="I127" i="77"/>
  <c r="I128" i="77"/>
  <c r="I129" i="77"/>
  <c r="I130" i="77"/>
  <c r="I131" i="77"/>
  <c r="I132" i="77"/>
  <c r="I133" i="77"/>
  <c r="I134" i="77"/>
  <c r="I135" i="77"/>
  <c r="I136" i="77"/>
  <c r="I137" i="77"/>
  <c r="I138" i="77"/>
  <c r="I139" i="77"/>
  <c r="I140" i="77"/>
  <c r="I141" i="77"/>
  <c r="I142" i="77"/>
  <c r="I143" i="77"/>
  <c r="I144" i="77"/>
  <c r="I145" i="77"/>
  <c r="I2" i="77"/>
  <c r="I1" i="77"/>
  <c r="G1" i="77"/>
  <c r="E1" i="77" s="1"/>
  <c r="H1" i="77"/>
  <c r="K1" i="76"/>
  <c r="J3" i="76"/>
  <c r="J4" i="76"/>
  <c r="J5" i="76"/>
  <c r="J6" i="76"/>
  <c r="J7" i="76"/>
  <c r="J8" i="76"/>
  <c r="J9" i="76"/>
  <c r="J10" i="76"/>
  <c r="J11" i="76"/>
  <c r="J12" i="76"/>
  <c r="J13" i="76"/>
  <c r="J14" i="76"/>
  <c r="J15" i="76"/>
  <c r="J16" i="76"/>
  <c r="J17" i="76"/>
  <c r="J18" i="76"/>
  <c r="J19" i="76"/>
  <c r="J20" i="76"/>
  <c r="J21" i="76"/>
  <c r="J22" i="76"/>
  <c r="J23" i="76"/>
  <c r="J24" i="76"/>
  <c r="J25" i="76"/>
  <c r="J26" i="76"/>
  <c r="J27" i="76"/>
  <c r="J28" i="76"/>
  <c r="J29" i="76"/>
  <c r="J30" i="76"/>
  <c r="J31" i="76"/>
  <c r="J32" i="76"/>
  <c r="J33" i="76"/>
  <c r="J34" i="76"/>
  <c r="J35" i="76"/>
  <c r="J36" i="76"/>
  <c r="J37" i="76"/>
  <c r="J38" i="76"/>
  <c r="J39" i="76"/>
  <c r="J40" i="76"/>
  <c r="J41" i="76"/>
  <c r="J42" i="76"/>
  <c r="J43" i="76"/>
  <c r="J44" i="76"/>
  <c r="J45" i="76"/>
  <c r="J46" i="76"/>
  <c r="J47" i="76"/>
  <c r="J48" i="76"/>
  <c r="J49" i="76"/>
  <c r="J2" i="76"/>
  <c r="J1" i="76"/>
  <c r="I3" i="76"/>
  <c r="I4" i="76"/>
  <c r="I5" i="76"/>
  <c r="I6" i="76"/>
  <c r="I7" i="76"/>
  <c r="I8" i="76"/>
  <c r="I9" i="76"/>
  <c r="I10" i="76"/>
  <c r="I11" i="76"/>
  <c r="I12" i="76"/>
  <c r="I13" i="76"/>
  <c r="I14" i="76"/>
  <c r="I15" i="76"/>
  <c r="I16" i="76"/>
  <c r="I17" i="76"/>
  <c r="I18" i="76"/>
  <c r="I19" i="76"/>
  <c r="I20" i="76"/>
  <c r="I21" i="76"/>
  <c r="I22" i="76"/>
  <c r="I23" i="76"/>
  <c r="I24" i="76"/>
  <c r="I25" i="76"/>
  <c r="I26" i="76"/>
  <c r="I27" i="76"/>
  <c r="I28" i="76"/>
  <c r="I29" i="76"/>
  <c r="I30" i="76"/>
  <c r="I31" i="76"/>
  <c r="I32" i="76"/>
  <c r="I33" i="76"/>
  <c r="I34" i="76"/>
  <c r="I35" i="76"/>
  <c r="I36" i="76"/>
  <c r="I37" i="76"/>
  <c r="I38" i="76"/>
  <c r="I39" i="76"/>
  <c r="I40" i="76"/>
  <c r="I41" i="76"/>
  <c r="I42" i="76"/>
  <c r="I43" i="76"/>
  <c r="I44" i="76"/>
  <c r="I45" i="76"/>
  <c r="I46" i="76"/>
  <c r="I47" i="76"/>
  <c r="I48" i="76"/>
  <c r="I49" i="76"/>
  <c r="I50" i="76"/>
  <c r="I51" i="76"/>
  <c r="I52" i="76"/>
  <c r="I53" i="76"/>
  <c r="I54" i="76"/>
  <c r="I55" i="76"/>
  <c r="I56" i="76"/>
  <c r="I57" i="76"/>
  <c r="I58" i="76"/>
  <c r="I59" i="76"/>
  <c r="I60" i="76"/>
  <c r="I61" i="76"/>
  <c r="I62" i="76"/>
  <c r="I63" i="76"/>
  <c r="I64" i="76"/>
  <c r="I65" i="76"/>
  <c r="I66" i="76"/>
  <c r="I67" i="76"/>
  <c r="I68" i="76"/>
  <c r="I69" i="76"/>
  <c r="I70" i="76"/>
  <c r="I71" i="76"/>
  <c r="I72" i="76"/>
  <c r="I73" i="76"/>
  <c r="I74" i="76"/>
  <c r="I75" i="76"/>
  <c r="I76" i="76"/>
  <c r="I77" i="76"/>
  <c r="I78" i="76"/>
  <c r="I79" i="76"/>
  <c r="I80" i="76"/>
  <c r="I81" i="76"/>
  <c r="I82" i="76"/>
  <c r="I83" i="76"/>
  <c r="I84" i="76"/>
  <c r="I85" i="76"/>
  <c r="I86" i="76"/>
  <c r="I87" i="76"/>
  <c r="I88" i="76"/>
  <c r="I89" i="76"/>
  <c r="I90" i="76"/>
  <c r="I91" i="76"/>
  <c r="I92" i="76"/>
  <c r="I93" i="76"/>
  <c r="I94" i="76"/>
  <c r="I95" i="76"/>
  <c r="I96" i="76"/>
  <c r="I97" i="76"/>
  <c r="I98" i="76"/>
  <c r="I99" i="76"/>
  <c r="I100" i="76"/>
  <c r="I101" i="76"/>
  <c r="I102" i="76"/>
  <c r="I103" i="76"/>
  <c r="I104" i="76"/>
  <c r="I105" i="76"/>
  <c r="I106" i="76"/>
  <c r="I107" i="76"/>
  <c r="I108" i="76"/>
  <c r="I109" i="76"/>
  <c r="I110" i="76"/>
  <c r="I111" i="76"/>
  <c r="I112" i="76"/>
  <c r="I113" i="76"/>
  <c r="I114" i="76"/>
  <c r="I115" i="76"/>
  <c r="I116" i="76"/>
  <c r="I117" i="76"/>
  <c r="I118" i="76"/>
  <c r="I119" i="76"/>
  <c r="I120" i="76"/>
  <c r="I121" i="76"/>
  <c r="I122" i="76"/>
  <c r="I123" i="76"/>
  <c r="I124" i="76"/>
  <c r="I125" i="76"/>
  <c r="I126" i="76"/>
  <c r="I127" i="76"/>
  <c r="I128" i="76"/>
  <c r="I129" i="76"/>
  <c r="I130" i="76"/>
  <c r="I131" i="76"/>
  <c r="I132" i="76"/>
  <c r="I133" i="76"/>
  <c r="I134" i="76"/>
  <c r="I135" i="76"/>
  <c r="I136" i="76"/>
  <c r="I137" i="76"/>
  <c r="I138" i="76"/>
  <c r="I139" i="76"/>
  <c r="I140" i="76"/>
  <c r="I141" i="76"/>
  <c r="I142" i="76"/>
  <c r="I143" i="76"/>
  <c r="I144" i="76"/>
  <c r="I145" i="76"/>
  <c r="I2" i="76"/>
  <c r="I1" i="76"/>
  <c r="G1" i="76"/>
  <c r="G1" i="152"/>
  <c r="G1" i="151"/>
  <c r="P11" i="36"/>
  <c r="P19" i="36"/>
  <c r="P31" i="36"/>
  <c r="P35" i="36"/>
  <c r="P40" i="36"/>
  <c r="P48" i="36"/>
  <c r="I4" i="36"/>
  <c r="P4" i="36" s="1"/>
  <c r="I5" i="36"/>
  <c r="P5" i="36" s="1"/>
  <c r="I6" i="36"/>
  <c r="P6" i="36" s="1"/>
  <c r="I7" i="36"/>
  <c r="P7" i="36" s="1"/>
  <c r="I8" i="36"/>
  <c r="P8" i="36" s="1"/>
  <c r="I9" i="36"/>
  <c r="P9" i="36" s="1"/>
  <c r="I10" i="36"/>
  <c r="P10" i="36" s="1"/>
  <c r="I11" i="36"/>
  <c r="I12" i="36"/>
  <c r="P12" i="36" s="1"/>
  <c r="I13" i="36"/>
  <c r="P13" i="36" s="1"/>
  <c r="I14" i="36"/>
  <c r="P14" i="36" s="1"/>
  <c r="I15" i="36"/>
  <c r="P15" i="36" s="1"/>
  <c r="I16" i="36"/>
  <c r="P16" i="36" s="1"/>
  <c r="I17" i="36"/>
  <c r="P17" i="36" s="1"/>
  <c r="I18" i="36"/>
  <c r="P18" i="36" s="1"/>
  <c r="I19" i="36"/>
  <c r="I20" i="36"/>
  <c r="P20" i="36" s="1"/>
  <c r="I21" i="36"/>
  <c r="P21" i="36" s="1"/>
  <c r="I22" i="36"/>
  <c r="P22" i="36" s="1"/>
  <c r="I23" i="36"/>
  <c r="P23" i="36" s="1"/>
  <c r="I24" i="36"/>
  <c r="P24" i="36" s="1"/>
  <c r="I25" i="36"/>
  <c r="P25" i="36" s="1"/>
  <c r="I26" i="36"/>
  <c r="P26" i="36" s="1"/>
  <c r="I27" i="36"/>
  <c r="P27" i="36" s="1"/>
  <c r="I28" i="36"/>
  <c r="P28" i="36" s="1"/>
  <c r="I29" i="36"/>
  <c r="P29" i="36" s="1"/>
  <c r="I30" i="36"/>
  <c r="P30" i="36" s="1"/>
  <c r="I31" i="36"/>
  <c r="I32" i="36"/>
  <c r="P32" i="36" s="1"/>
  <c r="I33" i="36"/>
  <c r="P33" i="36" s="1"/>
  <c r="I34" i="36"/>
  <c r="P34" i="36" s="1"/>
  <c r="I35" i="36"/>
  <c r="I36" i="36"/>
  <c r="P36" i="36" s="1"/>
  <c r="I37" i="36"/>
  <c r="P37" i="36" s="1"/>
  <c r="I38" i="36"/>
  <c r="P38" i="36" s="1"/>
  <c r="I39" i="36"/>
  <c r="P39" i="36" s="1"/>
  <c r="I40" i="36"/>
  <c r="I41" i="36"/>
  <c r="P41" i="36" s="1"/>
  <c r="I42" i="36"/>
  <c r="P42" i="36" s="1"/>
  <c r="I43" i="36"/>
  <c r="P43" i="36" s="1"/>
  <c r="I44" i="36"/>
  <c r="P44" i="36" s="1"/>
  <c r="I45" i="36"/>
  <c r="P45" i="36" s="1"/>
  <c r="I46" i="36"/>
  <c r="P46" i="36" s="1"/>
  <c r="I47" i="36"/>
  <c r="P47" i="36" s="1"/>
  <c r="I48" i="36"/>
  <c r="I49" i="36"/>
  <c r="P49" i="36" s="1"/>
  <c r="I2" i="36"/>
  <c r="P2" i="36" s="1"/>
  <c r="I3" i="36"/>
  <c r="P3" i="36" s="1"/>
  <c r="I1" i="36"/>
  <c r="P1" i="36" s="1"/>
  <c r="H1" i="36"/>
  <c r="O1" i="36" s="1"/>
  <c r="G1" i="36"/>
  <c r="F1" i="36"/>
  <c r="E1" i="36"/>
  <c r="D1" i="36"/>
  <c r="E1" i="32"/>
  <c r="P5" i="32"/>
  <c r="P9" i="32"/>
  <c r="P13" i="32"/>
  <c r="P17" i="32"/>
  <c r="P20" i="32"/>
  <c r="P21" i="32"/>
  <c r="P25" i="32"/>
  <c r="P29" i="32"/>
  <c r="P33" i="32"/>
  <c r="P37" i="32"/>
  <c r="P41" i="32"/>
  <c r="P45" i="32"/>
  <c r="P49" i="32"/>
  <c r="P1" i="32"/>
  <c r="I4" i="32"/>
  <c r="P4" i="32" s="1"/>
  <c r="I5" i="32"/>
  <c r="I6" i="32"/>
  <c r="P6" i="32" s="1"/>
  <c r="I7" i="32"/>
  <c r="P7" i="32" s="1"/>
  <c r="I8" i="32"/>
  <c r="P8" i="32" s="1"/>
  <c r="I9" i="32"/>
  <c r="I10" i="32"/>
  <c r="P10" i="32" s="1"/>
  <c r="I11" i="32"/>
  <c r="P11" i="32" s="1"/>
  <c r="I12" i="32"/>
  <c r="P12" i="32" s="1"/>
  <c r="I13" i="32"/>
  <c r="I14" i="32"/>
  <c r="P14" i="32" s="1"/>
  <c r="I15" i="32"/>
  <c r="P15" i="32" s="1"/>
  <c r="I16" i="32"/>
  <c r="P16" i="32" s="1"/>
  <c r="I17" i="32"/>
  <c r="I18" i="32"/>
  <c r="P18" i="32" s="1"/>
  <c r="I19" i="32"/>
  <c r="P19" i="32" s="1"/>
  <c r="I20" i="32"/>
  <c r="I21" i="32"/>
  <c r="I22" i="32"/>
  <c r="P22" i="32" s="1"/>
  <c r="I23" i="32"/>
  <c r="P23" i="32" s="1"/>
  <c r="I24" i="32"/>
  <c r="P24" i="32" s="1"/>
  <c r="I25" i="32"/>
  <c r="I26" i="32"/>
  <c r="P26" i="32" s="1"/>
  <c r="I27" i="32"/>
  <c r="P27" i="32" s="1"/>
  <c r="I28" i="32"/>
  <c r="P28" i="32" s="1"/>
  <c r="I29" i="32"/>
  <c r="I30" i="32"/>
  <c r="P30" i="32" s="1"/>
  <c r="I31" i="32"/>
  <c r="P31" i="32" s="1"/>
  <c r="I32" i="32"/>
  <c r="P32" i="32" s="1"/>
  <c r="I33" i="32"/>
  <c r="I34" i="32"/>
  <c r="P34" i="32" s="1"/>
  <c r="I35" i="32"/>
  <c r="P35" i="32" s="1"/>
  <c r="I36" i="32"/>
  <c r="P36" i="32" s="1"/>
  <c r="I37" i="32"/>
  <c r="I38" i="32"/>
  <c r="P38" i="32" s="1"/>
  <c r="I39" i="32"/>
  <c r="P39" i="32" s="1"/>
  <c r="I40" i="32"/>
  <c r="P40" i="32" s="1"/>
  <c r="I41" i="32"/>
  <c r="I42" i="32"/>
  <c r="P42" i="32" s="1"/>
  <c r="I43" i="32"/>
  <c r="P43" i="32" s="1"/>
  <c r="I44" i="32"/>
  <c r="P44" i="32" s="1"/>
  <c r="I45" i="32"/>
  <c r="I46" i="32"/>
  <c r="P46" i="32" s="1"/>
  <c r="I47" i="32"/>
  <c r="P47" i="32" s="1"/>
  <c r="I48" i="32"/>
  <c r="P48" i="32" s="1"/>
  <c r="I49" i="32"/>
  <c r="I2" i="32"/>
  <c r="P2" i="32" s="1"/>
  <c r="I3" i="32"/>
  <c r="P3" i="32" s="1"/>
  <c r="I1" i="32"/>
  <c r="H1" i="32"/>
  <c r="O1" i="32" s="1"/>
  <c r="AE19" i="65"/>
  <c r="AE18" i="65"/>
  <c r="AE17" i="65"/>
  <c r="AE16" i="65"/>
  <c r="AE10" i="65"/>
  <c r="AE11" i="65"/>
  <c r="AE12" i="65"/>
  <c r="AE9" i="65"/>
  <c r="M125" i="155" l="1"/>
  <c r="G137" i="155"/>
  <c r="M137" i="155" s="1"/>
  <c r="C12" i="156"/>
  <c r="B12" i="156"/>
  <c r="B94" i="156"/>
  <c r="C94" i="156"/>
  <c r="C47" i="156"/>
  <c r="B47" i="156"/>
  <c r="C95" i="156"/>
  <c r="B95" i="156"/>
  <c r="C55" i="156"/>
  <c r="B55" i="156"/>
  <c r="B3" i="156"/>
  <c r="P1" i="156"/>
  <c r="E1" i="156"/>
  <c r="Q1" i="156"/>
  <c r="F1" i="156"/>
  <c r="C37" i="155"/>
  <c r="B37" i="155"/>
  <c r="C102" i="155"/>
  <c r="B102" i="155"/>
  <c r="B62" i="156"/>
  <c r="C62" i="156"/>
  <c r="C113" i="156"/>
  <c r="B113" i="156"/>
  <c r="B92" i="155"/>
  <c r="C27" i="156"/>
  <c r="B27" i="156"/>
  <c r="C51" i="155"/>
  <c r="B51" i="155"/>
  <c r="C80" i="156"/>
  <c r="M122" i="155"/>
  <c r="E1" i="155"/>
  <c r="C98" i="156"/>
  <c r="C55" i="155"/>
  <c r="C36" i="156"/>
  <c r="B63" i="156"/>
  <c r="C75" i="156"/>
  <c r="C82" i="156"/>
  <c r="C114" i="156"/>
  <c r="C112" i="156"/>
  <c r="AT49" i="17"/>
  <c r="AI51" i="17"/>
  <c r="C5" i="156"/>
  <c r="C19" i="156"/>
  <c r="C33" i="156"/>
  <c r="B40" i="156"/>
  <c r="C46" i="156"/>
  <c r="C50" i="156"/>
  <c r="B54" i="156"/>
  <c r="B58" i="156"/>
  <c r="C66" i="156"/>
  <c r="C70" i="156"/>
  <c r="C74" i="156"/>
  <c r="C101" i="156"/>
  <c r="B45" i="156"/>
  <c r="B69" i="156"/>
  <c r="C93" i="156"/>
  <c r="C97" i="156"/>
  <c r="B11" i="156"/>
  <c r="C4" i="156"/>
  <c r="B15" i="156"/>
  <c r="B44" i="156"/>
  <c r="C57" i="156"/>
  <c r="B77" i="156"/>
  <c r="C88" i="156"/>
  <c r="B100" i="156"/>
  <c r="B104" i="156"/>
  <c r="C108" i="156"/>
  <c r="B28" i="156"/>
  <c r="C39" i="156"/>
  <c r="B84" i="156"/>
  <c r="B92" i="156"/>
  <c r="B96" i="156"/>
  <c r="B7" i="156"/>
  <c r="C21" i="156"/>
  <c r="B35" i="156"/>
  <c r="B43" i="156"/>
  <c r="B68" i="156"/>
  <c r="B48" i="156"/>
  <c r="B56" i="156"/>
  <c r="B60" i="156"/>
  <c r="B42" i="156"/>
  <c r="B52" i="156"/>
  <c r="B87" i="156"/>
  <c r="C29" i="156"/>
  <c r="C17" i="156"/>
  <c r="C103" i="156"/>
  <c r="C81" i="156"/>
  <c r="C13" i="156"/>
  <c r="C110" i="156"/>
  <c r="M128" i="155"/>
  <c r="G140" i="155"/>
  <c r="M140" i="155" s="1"/>
  <c r="M132" i="155"/>
  <c r="G144" i="155"/>
  <c r="M144" i="155" s="1"/>
  <c r="M129" i="155"/>
  <c r="G141" i="155"/>
  <c r="M141" i="155" s="1"/>
  <c r="B5" i="155"/>
  <c r="B20" i="155"/>
  <c r="C72" i="155"/>
  <c r="B78" i="155"/>
  <c r="B103" i="155"/>
  <c r="C107" i="155"/>
  <c r="B115" i="155"/>
  <c r="B22" i="155"/>
  <c r="B59" i="155"/>
  <c r="C105" i="155"/>
  <c r="B24" i="155"/>
  <c r="B40" i="155"/>
  <c r="B63" i="155"/>
  <c r="B9" i="155"/>
  <c r="C11" i="155"/>
  <c r="B15" i="155"/>
  <c r="C30" i="155"/>
  <c r="B32" i="155"/>
  <c r="B48" i="155"/>
  <c r="B67" i="155"/>
  <c r="B86" i="155"/>
  <c r="B88" i="155"/>
  <c r="C94" i="155"/>
  <c r="B100" i="155"/>
  <c r="C3" i="155"/>
  <c r="B109" i="155"/>
  <c r="B28" i="155"/>
  <c r="B2" i="155"/>
  <c r="B4" i="155"/>
  <c r="C69" i="155"/>
  <c r="B6" i="155"/>
  <c r="C52" i="155"/>
  <c r="B77" i="155"/>
  <c r="B79" i="155"/>
  <c r="B108" i="155"/>
  <c r="B114" i="155"/>
  <c r="G133" i="155"/>
  <c r="B21" i="155"/>
  <c r="B83" i="155"/>
  <c r="C62" i="155"/>
  <c r="B87" i="155"/>
  <c r="B97" i="155"/>
  <c r="B10" i="155"/>
  <c r="C25" i="155"/>
  <c r="B60" i="155"/>
  <c r="B85" i="155"/>
  <c r="B16" i="155"/>
  <c r="B18" i="155"/>
  <c r="C43" i="155"/>
  <c r="C91" i="155"/>
  <c r="C58" i="155"/>
  <c r="B58" i="155"/>
  <c r="C34" i="156"/>
  <c r="B34" i="156"/>
  <c r="B38" i="155"/>
  <c r="B45" i="155"/>
  <c r="C84" i="155"/>
  <c r="B98" i="155"/>
  <c r="B104" i="155"/>
  <c r="B13" i="155"/>
  <c r="B68" i="155"/>
  <c r="C74" i="155"/>
  <c r="B74" i="155"/>
  <c r="C106" i="155"/>
  <c r="B106" i="155"/>
  <c r="B16" i="156"/>
  <c r="C34" i="155"/>
  <c r="B34" i="155"/>
  <c r="B27" i="155"/>
  <c r="B44" i="155"/>
  <c r="B54" i="155"/>
  <c r="B61" i="155"/>
  <c r="G126" i="155"/>
  <c r="B32" i="156"/>
  <c r="C105" i="156"/>
  <c r="B105" i="156"/>
  <c r="C109" i="156"/>
  <c r="B109" i="156"/>
  <c r="C50" i="155"/>
  <c r="B50" i="155"/>
  <c r="B111" i="155"/>
  <c r="C111" i="155"/>
  <c r="C26" i="155"/>
  <c r="B26" i="155"/>
  <c r="C82" i="155"/>
  <c r="B82" i="155"/>
  <c r="G123" i="155"/>
  <c r="C66" i="155"/>
  <c r="B66" i="155"/>
  <c r="M124" i="155"/>
  <c r="G136" i="155"/>
  <c r="M136" i="155" s="1"/>
  <c r="C14" i="156"/>
  <c r="B14" i="156"/>
  <c r="B36" i="155"/>
  <c r="B46" i="155"/>
  <c r="B53" i="155"/>
  <c r="C76" i="155"/>
  <c r="B110" i="155"/>
  <c r="C42" i="155"/>
  <c r="B42" i="155"/>
  <c r="C96" i="155"/>
  <c r="B96" i="155"/>
  <c r="G130" i="155"/>
  <c r="M131" i="155"/>
  <c r="G143" i="155"/>
  <c r="M143" i="155" s="1"/>
  <c r="C2" i="156"/>
  <c r="B2" i="156"/>
  <c r="C30" i="156"/>
  <c r="B30" i="156"/>
  <c r="B8" i="155"/>
  <c r="B14" i="155"/>
  <c r="B29" i="155"/>
  <c r="B35" i="155"/>
  <c r="B75" i="155"/>
  <c r="M127" i="155"/>
  <c r="G139" i="155"/>
  <c r="M139" i="155" s="1"/>
  <c r="C18" i="156"/>
  <c r="B18" i="156"/>
  <c r="B90" i="155"/>
  <c r="B93" i="155"/>
  <c r="B101" i="155"/>
  <c r="B113" i="155"/>
  <c r="B8" i="156"/>
  <c r="C9" i="156"/>
  <c r="C10" i="156"/>
  <c r="B10" i="156"/>
  <c r="B24" i="156"/>
  <c r="C25" i="156"/>
  <c r="C26" i="156"/>
  <c r="B26" i="156"/>
  <c r="B73" i="156"/>
  <c r="B17" i="155"/>
  <c r="B33" i="155"/>
  <c r="B41" i="155"/>
  <c r="B49" i="155"/>
  <c r="B57" i="155"/>
  <c r="B65" i="155"/>
  <c r="B73" i="155"/>
  <c r="B81" i="155"/>
  <c r="B89" i="155"/>
  <c r="B95" i="155"/>
  <c r="B41" i="156"/>
  <c r="B53" i="156"/>
  <c r="C6" i="156"/>
  <c r="B6" i="156"/>
  <c r="C22" i="156"/>
  <c r="B22" i="156"/>
  <c r="B65" i="156"/>
  <c r="B85" i="156"/>
  <c r="B107" i="156"/>
  <c r="B111" i="156"/>
  <c r="B115" i="156"/>
  <c r="AT50" i="17" l="1"/>
  <c r="AI52" i="17"/>
  <c r="G145" i="155"/>
  <c r="M145" i="155" s="1"/>
  <c r="M133" i="155"/>
  <c r="G142" i="155"/>
  <c r="M142" i="155" s="1"/>
  <c r="M130" i="155"/>
  <c r="G138" i="155"/>
  <c r="M138" i="155" s="1"/>
  <c r="M126" i="155"/>
  <c r="M123" i="155"/>
  <c r="G135" i="155"/>
  <c r="M135" i="155" s="1"/>
  <c r="AT51" i="17" l="1"/>
  <c r="AI53" i="17"/>
  <c r="R10" i="25"/>
  <c r="R11" i="25"/>
  <c r="R6" i="25"/>
  <c r="R7" i="25"/>
  <c r="R8" i="25"/>
  <c r="R9" i="25"/>
  <c r="E32" i="70"/>
  <c r="F32" i="70" s="1"/>
  <c r="G32" i="70" s="1"/>
  <c r="H32" i="70" s="1"/>
  <c r="E21" i="70"/>
  <c r="F21" i="70" s="1"/>
  <c r="G21" i="70" s="1"/>
  <c r="H21" i="70" s="1"/>
  <c r="B62" i="25"/>
  <c r="B10" i="160" s="1"/>
  <c r="B17" i="25"/>
  <c r="B27" i="25" s="1"/>
  <c r="B18" i="25"/>
  <c r="B28" i="25" s="1"/>
  <c r="B37" i="25" s="1"/>
  <c r="B19" i="25"/>
  <c r="B29" i="25" s="1"/>
  <c r="B38" i="25" s="1"/>
  <c r="B20" i="25"/>
  <c r="B50" i="25" s="1"/>
  <c r="B21" i="25"/>
  <c r="B31" i="25" s="1"/>
  <c r="B40" i="25" s="1"/>
  <c r="P13" i="72"/>
  <c r="I26" i="73"/>
  <c r="I27" i="73"/>
  <c r="D26" i="73"/>
  <c r="D27" i="73"/>
  <c r="B26" i="73"/>
  <c r="B27" i="73"/>
  <c r="AJ6" i="24"/>
  <c r="AJ7" i="24" s="1"/>
  <c r="AA6" i="24"/>
  <c r="AA7" i="24" s="1"/>
  <c r="AA8" i="24" s="1"/>
  <c r="AA9" i="24" s="1"/>
  <c r="AA10" i="24" s="1"/>
  <c r="AA11" i="24" s="1"/>
  <c r="AA12" i="24" s="1"/>
  <c r="AA13" i="24" s="1"/>
  <c r="AA14" i="24" s="1"/>
  <c r="S6" i="24"/>
  <c r="S7" i="24" s="1"/>
  <c r="J6" i="24"/>
  <c r="J7" i="24" s="1"/>
  <c r="J8" i="24" s="1"/>
  <c r="O34" i="23"/>
  <c r="Z5" i="23"/>
  <c r="Z6" i="23" s="1"/>
  <c r="Z7" i="23" s="1"/>
  <c r="Z8" i="23" s="1"/>
  <c r="Z9" i="23" s="1"/>
  <c r="Z10" i="23" s="1"/>
  <c r="Z11" i="23" s="1"/>
  <c r="Z12" i="23" s="1"/>
  <c r="Z13" i="23" s="1"/>
  <c r="R6" i="23"/>
  <c r="R7" i="23" s="1"/>
  <c r="R8" i="23" s="1"/>
  <c r="R9" i="23" s="1"/>
  <c r="R10" i="23" s="1"/>
  <c r="R11" i="23" s="1"/>
  <c r="R12" i="23" s="1"/>
  <c r="R13" i="23" s="1"/>
  <c r="R5" i="23"/>
  <c r="N5" i="23"/>
  <c r="N6" i="23" s="1"/>
  <c r="N7" i="23" s="1"/>
  <c r="N8" i="23" s="1"/>
  <c r="N9" i="23" s="1"/>
  <c r="N10" i="23" s="1"/>
  <c r="N11" i="23" s="1"/>
  <c r="N12" i="23" s="1"/>
  <c r="N13" i="23" s="1"/>
  <c r="BK6" i="17"/>
  <c r="AT6" i="17"/>
  <c r="AI6" i="17"/>
  <c r="AI7" i="17" s="1"/>
  <c r="AI8" i="17" s="1"/>
  <c r="AI9" i="17" s="1"/>
  <c r="AI10" i="17" s="1"/>
  <c r="AI11" i="17" s="1"/>
  <c r="AI12" i="17" s="1"/>
  <c r="AI13" i="17" s="1"/>
  <c r="AI14" i="17" s="1"/>
  <c r="AI15" i="17" s="1"/>
  <c r="AI16" i="17" s="1"/>
  <c r="S7" i="154"/>
  <c r="Q14" i="154"/>
  <c r="R17" i="154"/>
  <c r="R18" i="154"/>
  <c r="Q19" i="154"/>
  <c r="R19" i="154"/>
  <c r="S19" i="154"/>
  <c r="Q22" i="154"/>
  <c r="S23" i="154"/>
  <c r="R26" i="154"/>
  <c r="R34" i="154"/>
  <c r="R40" i="154"/>
  <c r="R41" i="154"/>
  <c r="R42" i="154"/>
  <c r="R46" i="154"/>
  <c r="S46" i="154"/>
  <c r="R48" i="154"/>
  <c r="R51" i="154"/>
  <c r="R56" i="154"/>
  <c r="R58" i="154"/>
  <c r="R66" i="154"/>
  <c r="R74" i="154"/>
  <c r="R75" i="154"/>
  <c r="R80" i="154"/>
  <c r="R81" i="154"/>
  <c r="R83" i="154"/>
  <c r="R92" i="154"/>
  <c r="R102" i="154"/>
  <c r="R104" i="154"/>
  <c r="R112" i="154"/>
  <c r="R122" i="154"/>
  <c r="R123" i="154"/>
  <c r="R124" i="154"/>
  <c r="R125" i="154"/>
  <c r="R126" i="154"/>
  <c r="R127" i="154"/>
  <c r="R128" i="154"/>
  <c r="R129" i="154"/>
  <c r="R130" i="154"/>
  <c r="R131" i="154"/>
  <c r="R132" i="154"/>
  <c r="R133" i="154"/>
  <c r="R134" i="154"/>
  <c r="R135" i="154"/>
  <c r="R136" i="154"/>
  <c r="R137" i="154"/>
  <c r="R138" i="154"/>
  <c r="R139" i="154"/>
  <c r="R140" i="154"/>
  <c r="R141" i="154"/>
  <c r="R142" i="154"/>
  <c r="R143" i="154"/>
  <c r="R144" i="154"/>
  <c r="R145" i="154"/>
  <c r="R3" i="154"/>
  <c r="H5" i="154"/>
  <c r="Q5" i="154" s="1"/>
  <c r="I5" i="154"/>
  <c r="R5" i="154" s="1"/>
  <c r="J5" i="154"/>
  <c r="S5" i="154" s="1"/>
  <c r="H6" i="154"/>
  <c r="Q6" i="154" s="1"/>
  <c r="I6" i="154"/>
  <c r="R6" i="154" s="1"/>
  <c r="J6" i="154"/>
  <c r="S6" i="154" s="1"/>
  <c r="H7" i="154"/>
  <c r="Q7" i="154" s="1"/>
  <c r="I7" i="154"/>
  <c r="R7" i="154" s="1"/>
  <c r="J7" i="154"/>
  <c r="H8" i="154"/>
  <c r="Q8" i="154" s="1"/>
  <c r="I8" i="154"/>
  <c r="R8" i="154" s="1"/>
  <c r="J8" i="154"/>
  <c r="S8" i="154" s="1"/>
  <c r="H9" i="154"/>
  <c r="Q9" i="154" s="1"/>
  <c r="I9" i="154"/>
  <c r="R9" i="154" s="1"/>
  <c r="J9" i="154"/>
  <c r="S9" i="154" s="1"/>
  <c r="H10" i="154"/>
  <c r="Q10" i="154" s="1"/>
  <c r="I10" i="154"/>
  <c r="R10" i="154" s="1"/>
  <c r="J10" i="154"/>
  <c r="S10" i="154" s="1"/>
  <c r="H11" i="154"/>
  <c r="Q11" i="154" s="1"/>
  <c r="I11" i="154"/>
  <c r="R11" i="154" s="1"/>
  <c r="J11" i="154"/>
  <c r="S11" i="154" s="1"/>
  <c r="H12" i="154"/>
  <c r="Q12" i="154" s="1"/>
  <c r="I12" i="154"/>
  <c r="R12" i="154" s="1"/>
  <c r="J12" i="154"/>
  <c r="S12" i="154" s="1"/>
  <c r="H13" i="154"/>
  <c r="Q13" i="154" s="1"/>
  <c r="I13" i="154"/>
  <c r="R13" i="154" s="1"/>
  <c r="J13" i="154"/>
  <c r="S13" i="154" s="1"/>
  <c r="H14" i="154"/>
  <c r="I14" i="154"/>
  <c r="R14" i="154" s="1"/>
  <c r="J14" i="154"/>
  <c r="S14" i="154" s="1"/>
  <c r="H15" i="154"/>
  <c r="Q15" i="154" s="1"/>
  <c r="I15" i="154"/>
  <c r="R15" i="154" s="1"/>
  <c r="J15" i="154"/>
  <c r="S15" i="154" s="1"/>
  <c r="H16" i="154"/>
  <c r="Q16" i="154" s="1"/>
  <c r="I16" i="154"/>
  <c r="R16" i="154" s="1"/>
  <c r="J16" i="154"/>
  <c r="S16" i="154" s="1"/>
  <c r="H17" i="154"/>
  <c r="Q17" i="154" s="1"/>
  <c r="I17" i="154"/>
  <c r="J17" i="154"/>
  <c r="S17" i="154" s="1"/>
  <c r="H18" i="154"/>
  <c r="Q18" i="154" s="1"/>
  <c r="I18" i="154"/>
  <c r="J18" i="154"/>
  <c r="S18" i="154" s="1"/>
  <c r="H19" i="154"/>
  <c r="I19" i="154"/>
  <c r="J19" i="154"/>
  <c r="H20" i="154"/>
  <c r="Q20" i="154" s="1"/>
  <c r="I20" i="154"/>
  <c r="R20" i="154" s="1"/>
  <c r="J20" i="154"/>
  <c r="S20" i="154" s="1"/>
  <c r="H21" i="154"/>
  <c r="Q21" i="154" s="1"/>
  <c r="I21" i="154"/>
  <c r="R21" i="154" s="1"/>
  <c r="J21" i="154"/>
  <c r="S21" i="154" s="1"/>
  <c r="H22" i="154"/>
  <c r="I22" i="154"/>
  <c r="R22" i="154" s="1"/>
  <c r="J22" i="154"/>
  <c r="S22" i="154" s="1"/>
  <c r="H23" i="154"/>
  <c r="Q23" i="154" s="1"/>
  <c r="I23" i="154"/>
  <c r="R23" i="154" s="1"/>
  <c r="J23" i="154"/>
  <c r="H24" i="154"/>
  <c r="Q24" i="154" s="1"/>
  <c r="I24" i="154"/>
  <c r="R24" i="154" s="1"/>
  <c r="J24" i="154"/>
  <c r="S24" i="154" s="1"/>
  <c r="H25" i="154"/>
  <c r="Q25" i="154" s="1"/>
  <c r="I25" i="154"/>
  <c r="R25" i="154" s="1"/>
  <c r="J25" i="154"/>
  <c r="S25" i="154" s="1"/>
  <c r="H26" i="154"/>
  <c r="Q26" i="154" s="1"/>
  <c r="I26" i="154"/>
  <c r="J26" i="154"/>
  <c r="S26" i="154" s="1"/>
  <c r="H27" i="154"/>
  <c r="Q27" i="154" s="1"/>
  <c r="I27" i="154"/>
  <c r="R27" i="154" s="1"/>
  <c r="J27" i="154"/>
  <c r="S27" i="154" s="1"/>
  <c r="H28" i="154"/>
  <c r="Q28" i="154" s="1"/>
  <c r="I28" i="154"/>
  <c r="R28" i="154" s="1"/>
  <c r="J28" i="154"/>
  <c r="S28" i="154" s="1"/>
  <c r="H29" i="154"/>
  <c r="Q29" i="154" s="1"/>
  <c r="I29" i="154"/>
  <c r="R29" i="154" s="1"/>
  <c r="J29" i="154"/>
  <c r="S29" i="154" s="1"/>
  <c r="H30" i="154"/>
  <c r="Q30" i="154" s="1"/>
  <c r="I30" i="154"/>
  <c r="R30" i="154" s="1"/>
  <c r="J30" i="154"/>
  <c r="S30" i="154" s="1"/>
  <c r="H31" i="154"/>
  <c r="Q31" i="154" s="1"/>
  <c r="I31" i="154"/>
  <c r="R31" i="154" s="1"/>
  <c r="J31" i="154"/>
  <c r="S31" i="154" s="1"/>
  <c r="H32" i="154"/>
  <c r="Q32" i="154" s="1"/>
  <c r="I32" i="154"/>
  <c r="R32" i="154" s="1"/>
  <c r="J32" i="154"/>
  <c r="S32" i="154" s="1"/>
  <c r="H33" i="154"/>
  <c r="Q33" i="154" s="1"/>
  <c r="I33" i="154"/>
  <c r="R33" i="154" s="1"/>
  <c r="J33" i="154"/>
  <c r="S33" i="154" s="1"/>
  <c r="H34" i="154"/>
  <c r="Q34" i="154" s="1"/>
  <c r="I34" i="154"/>
  <c r="J34" i="154"/>
  <c r="S34" i="154" s="1"/>
  <c r="H35" i="154"/>
  <c r="Q35" i="154" s="1"/>
  <c r="I35" i="154"/>
  <c r="R35" i="154" s="1"/>
  <c r="J35" i="154"/>
  <c r="S35" i="154" s="1"/>
  <c r="H36" i="154"/>
  <c r="Q36" i="154" s="1"/>
  <c r="I36" i="154"/>
  <c r="R36" i="154" s="1"/>
  <c r="J36" i="154"/>
  <c r="S36" i="154" s="1"/>
  <c r="H37" i="154"/>
  <c r="Q37" i="154" s="1"/>
  <c r="I37" i="154"/>
  <c r="R37" i="154" s="1"/>
  <c r="J37" i="154"/>
  <c r="S37" i="154" s="1"/>
  <c r="H38" i="154"/>
  <c r="Q38" i="154" s="1"/>
  <c r="I38" i="154"/>
  <c r="R38" i="154" s="1"/>
  <c r="J38" i="154"/>
  <c r="S38" i="154" s="1"/>
  <c r="H39" i="154"/>
  <c r="Q39" i="154" s="1"/>
  <c r="I39" i="154"/>
  <c r="R39" i="154" s="1"/>
  <c r="J39" i="154"/>
  <c r="S39" i="154" s="1"/>
  <c r="H40" i="154"/>
  <c r="Q40" i="154" s="1"/>
  <c r="I40" i="154"/>
  <c r="J40" i="154"/>
  <c r="S40" i="154" s="1"/>
  <c r="H41" i="154"/>
  <c r="Q41" i="154" s="1"/>
  <c r="I41" i="154"/>
  <c r="J41" i="154"/>
  <c r="S41" i="154" s="1"/>
  <c r="H42" i="154"/>
  <c r="Q42" i="154" s="1"/>
  <c r="I42" i="154"/>
  <c r="J42" i="154"/>
  <c r="S42" i="154" s="1"/>
  <c r="H43" i="154"/>
  <c r="Q43" i="154" s="1"/>
  <c r="I43" i="154"/>
  <c r="R43" i="154" s="1"/>
  <c r="J43" i="154"/>
  <c r="S43" i="154" s="1"/>
  <c r="H44" i="154"/>
  <c r="Q44" i="154" s="1"/>
  <c r="I44" i="154"/>
  <c r="R44" i="154" s="1"/>
  <c r="J44" i="154"/>
  <c r="S44" i="154" s="1"/>
  <c r="H45" i="154"/>
  <c r="Q45" i="154" s="1"/>
  <c r="I45" i="154"/>
  <c r="R45" i="154" s="1"/>
  <c r="J45" i="154"/>
  <c r="S45" i="154" s="1"/>
  <c r="H46" i="154"/>
  <c r="Q46" i="154" s="1"/>
  <c r="I46" i="154"/>
  <c r="J46" i="154"/>
  <c r="H47" i="154"/>
  <c r="Q47" i="154" s="1"/>
  <c r="I47" i="154"/>
  <c r="R47" i="154" s="1"/>
  <c r="J47" i="154"/>
  <c r="S47" i="154" s="1"/>
  <c r="H48" i="154"/>
  <c r="Q48" i="154" s="1"/>
  <c r="I48" i="154"/>
  <c r="J48" i="154"/>
  <c r="S48" i="154" s="1"/>
  <c r="H49" i="154"/>
  <c r="Q49" i="154" s="1"/>
  <c r="I49" i="154"/>
  <c r="R49" i="154" s="1"/>
  <c r="J49" i="154"/>
  <c r="S49" i="154" s="1"/>
  <c r="I50" i="154"/>
  <c r="R50" i="154" s="1"/>
  <c r="I51" i="154"/>
  <c r="I52" i="154"/>
  <c r="R52" i="154" s="1"/>
  <c r="I53" i="154"/>
  <c r="R53" i="154" s="1"/>
  <c r="I54" i="154"/>
  <c r="R54" i="154" s="1"/>
  <c r="I55" i="154"/>
  <c r="R55" i="154" s="1"/>
  <c r="I56" i="154"/>
  <c r="I57" i="154"/>
  <c r="R57" i="154" s="1"/>
  <c r="I58" i="154"/>
  <c r="I59" i="154"/>
  <c r="R59" i="154" s="1"/>
  <c r="I60" i="154"/>
  <c r="R60" i="154" s="1"/>
  <c r="I61" i="154"/>
  <c r="R61" i="154" s="1"/>
  <c r="I62" i="154"/>
  <c r="R62" i="154" s="1"/>
  <c r="I63" i="154"/>
  <c r="R63" i="154" s="1"/>
  <c r="I64" i="154"/>
  <c r="R64" i="154" s="1"/>
  <c r="I65" i="154"/>
  <c r="R65" i="154" s="1"/>
  <c r="I66" i="154"/>
  <c r="I67" i="154"/>
  <c r="R67" i="154" s="1"/>
  <c r="I68" i="154"/>
  <c r="R68" i="154" s="1"/>
  <c r="I69" i="154"/>
  <c r="R69" i="154" s="1"/>
  <c r="I70" i="154"/>
  <c r="R70" i="154" s="1"/>
  <c r="I71" i="154"/>
  <c r="R71" i="154" s="1"/>
  <c r="I72" i="154"/>
  <c r="R72" i="154" s="1"/>
  <c r="I73" i="154"/>
  <c r="R73" i="154" s="1"/>
  <c r="I74" i="154"/>
  <c r="I75" i="154"/>
  <c r="I76" i="154"/>
  <c r="R76" i="154" s="1"/>
  <c r="I77" i="154"/>
  <c r="R77" i="154" s="1"/>
  <c r="I78" i="154"/>
  <c r="R78" i="154" s="1"/>
  <c r="I79" i="154"/>
  <c r="R79" i="154" s="1"/>
  <c r="I80" i="154"/>
  <c r="I81" i="154"/>
  <c r="I82" i="154"/>
  <c r="R82" i="154" s="1"/>
  <c r="I83" i="154"/>
  <c r="I84" i="154"/>
  <c r="R84" i="154" s="1"/>
  <c r="I85" i="154"/>
  <c r="R85" i="154" s="1"/>
  <c r="I86" i="154"/>
  <c r="R86" i="154" s="1"/>
  <c r="I87" i="154"/>
  <c r="R87" i="154" s="1"/>
  <c r="I88" i="154"/>
  <c r="R88" i="154" s="1"/>
  <c r="I89" i="154"/>
  <c r="R89" i="154" s="1"/>
  <c r="I90" i="154"/>
  <c r="R90" i="154" s="1"/>
  <c r="I91" i="154"/>
  <c r="R91" i="154" s="1"/>
  <c r="I92" i="154"/>
  <c r="I93" i="154"/>
  <c r="R93" i="154" s="1"/>
  <c r="I94" i="154"/>
  <c r="R94" i="154" s="1"/>
  <c r="I95" i="154"/>
  <c r="R95" i="154" s="1"/>
  <c r="I96" i="154"/>
  <c r="R96" i="154" s="1"/>
  <c r="I97" i="154"/>
  <c r="R97" i="154" s="1"/>
  <c r="I98" i="154"/>
  <c r="R98" i="154" s="1"/>
  <c r="I99" i="154"/>
  <c r="R99" i="154" s="1"/>
  <c r="I100" i="154"/>
  <c r="R100" i="154" s="1"/>
  <c r="I101" i="154"/>
  <c r="R101" i="154" s="1"/>
  <c r="I102" i="154"/>
  <c r="I103" i="154"/>
  <c r="R103" i="154" s="1"/>
  <c r="I104" i="154"/>
  <c r="I105" i="154"/>
  <c r="R105" i="154" s="1"/>
  <c r="I106" i="154"/>
  <c r="R106" i="154" s="1"/>
  <c r="I107" i="154"/>
  <c r="R107" i="154" s="1"/>
  <c r="I108" i="154"/>
  <c r="R108" i="154" s="1"/>
  <c r="I109" i="154"/>
  <c r="R109" i="154" s="1"/>
  <c r="I110" i="154"/>
  <c r="R110" i="154" s="1"/>
  <c r="I111" i="154"/>
  <c r="R111" i="154" s="1"/>
  <c r="I112" i="154"/>
  <c r="I113" i="154"/>
  <c r="R113" i="154" s="1"/>
  <c r="I114" i="154"/>
  <c r="R114" i="154" s="1"/>
  <c r="I115" i="154"/>
  <c r="R115" i="154" s="1"/>
  <c r="I116" i="154"/>
  <c r="R116" i="154" s="1"/>
  <c r="I117" i="154"/>
  <c r="R117" i="154" s="1"/>
  <c r="I118" i="154"/>
  <c r="R118" i="154" s="1"/>
  <c r="I119" i="154"/>
  <c r="R119" i="154" s="1"/>
  <c r="I120" i="154"/>
  <c r="R120" i="154" s="1"/>
  <c r="I121" i="154"/>
  <c r="R121" i="154" s="1"/>
  <c r="H2" i="154"/>
  <c r="Q2" i="154" s="1"/>
  <c r="I2" i="154"/>
  <c r="R2" i="154" s="1"/>
  <c r="J2" i="154"/>
  <c r="S2" i="154" s="1"/>
  <c r="H3" i="154"/>
  <c r="Q3" i="154" s="1"/>
  <c r="I3" i="154"/>
  <c r="J3" i="154"/>
  <c r="S3" i="154" s="1"/>
  <c r="H4" i="154"/>
  <c r="Q4" i="154" s="1"/>
  <c r="I4" i="154"/>
  <c r="R4" i="154" s="1"/>
  <c r="J4" i="154"/>
  <c r="S4" i="154" s="1"/>
  <c r="G2" i="154"/>
  <c r="K1" i="154"/>
  <c r="T1" i="154" s="1"/>
  <c r="J1" i="154"/>
  <c r="S1" i="154" s="1"/>
  <c r="I1" i="154"/>
  <c r="R1" i="154" s="1"/>
  <c r="H1" i="154"/>
  <c r="Q1" i="154" s="1"/>
  <c r="G1" i="154"/>
  <c r="F1" i="154"/>
  <c r="O1" i="154" s="1"/>
  <c r="E1" i="154"/>
  <c r="D1" i="154"/>
  <c r="S5" i="153"/>
  <c r="R9" i="153"/>
  <c r="S13" i="153"/>
  <c r="R17" i="153"/>
  <c r="S21" i="153"/>
  <c r="Q24" i="153"/>
  <c r="S25" i="153"/>
  <c r="Q32" i="153"/>
  <c r="R32" i="153"/>
  <c r="S37" i="153"/>
  <c r="Q44" i="153"/>
  <c r="S45" i="153"/>
  <c r="Q48" i="153"/>
  <c r="R50" i="153"/>
  <c r="R53" i="153"/>
  <c r="R60" i="153"/>
  <c r="R66" i="153"/>
  <c r="R98" i="153"/>
  <c r="R113" i="153"/>
  <c r="R114" i="153"/>
  <c r="J4" i="153"/>
  <c r="S4" i="153" s="1"/>
  <c r="J5" i="153"/>
  <c r="J6" i="153"/>
  <c r="S6" i="153" s="1"/>
  <c r="J7" i="153"/>
  <c r="S7" i="153" s="1"/>
  <c r="J8" i="153"/>
  <c r="S8" i="153" s="1"/>
  <c r="J9" i="153"/>
  <c r="S9" i="153" s="1"/>
  <c r="J10" i="153"/>
  <c r="S10" i="153" s="1"/>
  <c r="J11" i="153"/>
  <c r="S11" i="153" s="1"/>
  <c r="J12" i="153"/>
  <c r="S12" i="153" s="1"/>
  <c r="J13" i="153"/>
  <c r="J14" i="153"/>
  <c r="S14" i="153" s="1"/>
  <c r="J15" i="153"/>
  <c r="S15" i="153" s="1"/>
  <c r="J16" i="153"/>
  <c r="S16" i="153" s="1"/>
  <c r="J17" i="153"/>
  <c r="S17" i="153" s="1"/>
  <c r="J18" i="153"/>
  <c r="S18" i="153" s="1"/>
  <c r="J19" i="153"/>
  <c r="S19" i="153" s="1"/>
  <c r="J20" i="153"/>
  <c r="S20" i="153" s="1"/>
  <c r="J21" i="153"/>
  <c r="J22" i="153"/>
  <c r="S22" i="153" s="1"/>
  <c r="J23" i="153"/>
  <c r="S23" i="153" s="1"/>
  <c r="J24" i="153"/>
  <c r="S24" i="153" s="1"/>
  <c r="J25" i="153"/>
  <c r="J26" i="153"/>
  <c r="S26" i="153" s="1"/>
  <c r="J27" i="153"/>
  <c r="S27" i="153" s="1"/>
  <c r="J28" i="153"/>
  <c r="S28" i="153" s="1"/>
  <c r="J29" i="153"/>
  <c r="S29" i="153" s="1"/>
  <c r="J30" i="153"/>
  <c r="S30" i="153" s="1"/>
  <c r="J31" i="153"/>
  <c r="S31" i="153" s="1"/>
  <c r="J32" i="153"/>
  <c r="S32" i="153" s="1"/>
  <c r="J33" i="153"/>
  <c r="S33" i="153" s="1"/>
  <c r="J34" i="153"/>
  <c r="S34" i="153" s="1"/>
  <c r="J35" i="153"/>
  <c r="S35" i="153" s="1"/>
  <c r="J36" i="153"/>
  <c r="S36" i="153" s="1"/>
  <c r="J37" i="153"/>
  <c r="J38" i="153"/>
  <c r="S38" i="153" s="1"/>
  <c r="J39" i="153"/>
  <c r="S39" i="153" s="1"/>
  <c r="J40" i="153"/>
  <c r="S40" i="153" s="1"/>
  <c r="J41" i="153"/>
  <c r="S41" i="153" s="1"/>
  <c r="J42" i="153"/>
  <c r="S42" i="153" s="1"/>
  <c r="J43" i="153"/>
  <c r="S43" i="153" s="1"/>
  <c r="J44" i="153"/>
  <c r="S44" i="153" s="1"/>
  <c r="J45" i="153"/>
  <c r="J46" i="153"/>
  <c r="S46" i="153" s="1"/>
  <c r="J47" i="153"/>
  <c r="S47" i="153" s="1"/>
  <c r="J48" i="153"/>
  <c r="S48" i="153" s="1"/>
  <c r="J49" i="153"/>
  <c r="S49" i="153" s="1"/>
  <c r="J2" i="153"/>
  <c r="S2" i="153" s="1"/>
  <c r="J3" i="153"/>
  <c r="S3" i="153" s="1"/>
  <c r="K1" i="153"/>
  <c r="T1" i="153" s="1"/>
  <c r="J1" i="153"/>
  <c r="S1" i="153" s="1"/>
  <c r="I3" i="153"/>
  <c r="R3" i="153" s="1"/>
  <c r="I4" i="153"/>
  <c r="R4" i="153" s="1"/>
  <c r="I5" i="153"/>
  <c r="R5" i="153" s="1"/>
  <c r="I6" i="153"/>
  <c r="R6" i="153" s="1"/>
  <c r="I7" i="153"/>
  <c r="R7" i="153" s="1"/>
  <c r="I8" i="153"/>
  <c r="R8" i="153" s="1"/>
  <c r="I9" i="153"/>
  <c r="I10" i="153"/>
  <c r="R10" i="153" s="1"/>
  <c r="I11" i="153"/>
  <c r="R11" i="153" s="1"/>
  <c r="I12" i="153"/>
  <c r="R12" i="153" s="1"/>
  <c r="I13" i="153"/>
  <c r="R13" i="153" s="1"/>
  <c r="I14" i="153"/>
  <c r="R14" i="153" s="1"/>
  <c r="I15" i="153"/>
  <c r="R15" i="153" s="1"/>
  <c r="I16" i="153"/>
  <c r="R16" i="153" s="1"/>
  <c r="I17" i="153"/>
  <c r="I18" i="153"/>
  <c r="R18" i="153" s="1"/>
  <c r="I19" i="153"/>
  <c r="R19" i="153" s="1"/>
  <c r="I20" i="153"/>
  <c r="R20" i="153" s="1"/>
  <c r="I21" i="153"/>
  <c r="R21" i="153" s="1"/>
  <c r="I22" i="153"/>
  <c r="R22" i="153" s="1"/>
  <c r="I23" i="153"/>
  <c r="R23" i="153" s="1"/>
  <c r="I24" i="153"/>
  <c r="R24" i="153" s="1"/>
  <c r="I25" i="153"/>
  <c r="R25" i="153" s="1"/>
  <c r="I26" i="153"/>
  <c r="R26" i="153" s="1"/>
  <c r="I27" i="153"/>
  <c r="R27" i="153" s="1"/>
  <c r="I28" i="153"/>
  <c r="R28" i="153" s="1"/>
  <c r="I29" i="153"/>
  <c r="R29" i="153" s="1"/>
  <c r="I30" i="153"/>
  <c r="R30" i="153" s="1"/>
  <c r="I31" i="153"/>
  <c r="R31" i="153" s="1"/>
  <c r="I32" i="153"/>
  <c r="I33" i="153"/>
  <c r="R33" i="153" s="1"/>
  <c r="I34" i="153"/>
  <c r="R34" i="153" s="1"/>
  <c r="I35" i="153"/>
  <c r="R35" i="153" s="1"/>
  <c r="I36" i="153"/>
  <c r="R36" i="153" s="1"/>
  <c r="I37" i="153"/>
  <c r="R37" i="153" s="1"/>
  <c r="I38" i="153"/>
  <c r="R38" i="153" s="1"/>
  <c r="I39" i="153"/>
  <c r="R39" i="153" s="1"/>
  <c r="I40" i="153"/>
  <c r="R40" i="153" s="1"/>
  <c r="I41" i="153"/>
  <c r="R41" i="153" s="1"/>
  <c r="I42" i="153"/>
  <c r="R42" i="153" s="1"/>
  <c r="I43" i="153"/>
  <c r="R43" i="153" s="1"/>
  <c r="I44" i="153"/>
  <c r="R44" i="153" s="1"/>
  <c r="I45" i="153"/>
  <c r="R45" i="153" s="1"/>
  <c r="I46" i="153"/>
  <c r="R46" i="153" s="1"/>
  <c r="I47" i="153"/>
  <c r="R47" i="153" s="1"/>
  <c r="I48" i="153"/>
  <c r="R48" i="153" s="1"/>
  <c r="I49" i="153"/>
  <c r="R49" i="153" s="1"/>
  <c r="I50" i="153"/>
  <c r="I51" i="153"/>
  <c r="R51" i="153" s="1"/>
  <c r="I52" i="153"/>
  <c r="R52" i="153" s="1"/>
  <c r="I53" i="153"/>
  <c r="I54" i="153"/>
  <c r="R54" i="153" s="1"/>
  <c r="I55" i="153"/>
  <c r="R55" i="153" s="1"/>
  <c r="I56" i="153"/>
  <c r="R56" i="153" s="1"/>
  <c r="I57" i="153"/>
  <c r="R57" i="153" s="1"/>
  <c r="I58" i="153"/>
  <c r="R58" i="153" s="1"/>
  <c r="I59" i="153"/>
  <c r="R59" i="153" s="1"/>
  <c r="I60" i="153"/>
  <c r="I61" i="153"/>
  <c r="R61" i="153" s="1"/>
  <c r="I62" i="153"/>
  <c r="R62" i="153" s="1"/>
  <c r="I63" i="153"/>
  <c r="R63" i="153" s="1"/>
  <c r="I64" i="153"/>
  <c r="R64" i="153" s="1"/>
  <c r="I65" i="153"/>
  <c r="R65" i="153" s="1"/>
  <c r="I66" i="153"/>
  <c r="I67" i="153"/>
  <c r="R67" i="153" s="1"/>
  <c r="I68" i="153"/>
  <c r="R68" i="153" s="1"/>
  <c r="I69" i="153"/>
  <c r="R69" i="153" s="1"/>
  <c r="I70" i="153"/>
  <c r="R70" i="153" s="1"/>
  <c r="I71" i="153"/>
  <c r="R71" i="153" s="1"/>
  <c r="I72" i="153"/>
  <c r="R72" i="153" s="1"/>
  <c r="I73" i="153"/>
  <c r="R73" i="153" s="1"/>
  <c r="I74" i="153"/>
  <c r="R74" i="153" s="1"/>
  <c r="I75" i="153"/>
  <c r="R75" i="153" s="1"/>
  <c r="I76" i="153"/>
  <c r="R76" i="153" s="1"/>
  <c r="I77" i="153"/>
  <c r="R77" i="153" s="1"/>
  <c r="I78" i="153"/>
  <c r="R78" i="153" s="1"/>
  <c r="I79" i="153"/>
  <c r="R79" i="153" s="1"/>
  <c r="I80" i="153"/>
  <c r="R80" i="153" s="1"/>
  <c r="I81" i="153"/>
  <c r="R81" i="153" s="1"/>
  <c r="I82" i="153"/>
  <c r="R82" i="153" s="1"/>
  <c r="I83" i="153"/>
  <c r="R83" i="153" s="1"/>
  <c r="I84" i="153"/>
  <c r="R84" i="153" s="1"/>
  <c r="I85" i="153"/>
  <c r="R85" i="153" s="1"/>
  <c r="I86" i="153"/>
  <c r="R86" i="153" s="1"/>
  <c r="I87" i="153"/>
  <c r="R87" i="153" s="1"/>
  <c r="I88" i="153"/>
  <c r="R88" i="153" s="1"/>
  <c r="I89" i="153"/>
  <c r="R89" i="153" s="1"/>
  <c r="I90" i="153"/>
  <c r="R90" i="153" s="1"/>
  <c r="I91" i="153"/>
  <c r="R91" i="153" s="1"/>
  <c r="I92" i="153"/>
  <c r="R92" i="153" s="1"/>
  <c r="I93" i="153"/>
  <c r="R93" i="153" s="1"/>
  <c r="I94" i="153"/>
  <c r="R94" i="153" s="1"/>
  <c r="I95" i="153"/>
  <c r="R95" i="153" s="1"/>
  <c r="I96" i="153"/>
  <c r="R96" i="153" s="1"/>
  <c r="I97" i="153"/>
  <c r="R97" i="153" s="1"/>
  <c r="I98" i="153"/>
  <c r="I99" i="153"/>
  <c r="R99" i="153" s="1"/>
  <c r="I100" i="153"/>
  <c r="R100" i="153" s="1"/>
  <c r="I101" i="153"/>
  <c r="R101" i="153" s="1"/>
  <c r="I102" i="153"/>
  <c r="R102" i="153" s="1"/>
  <c r="I103" i="153"/>
  <c r="R103" i="153" s="1"/>
  <c r="I104" i="153"/>
  <c r="R104" i="153" s="1"/>
  <c r="I105" i="153"/>
  <c r="R105" i="153" s="1"/>
  <c r="I106" i="153"/>
  <c r="R106" i="153" s="1"/>
  <c r="I107" i="153"/>
  <c r="R107" i="153" s="1"/>
  <c r="I108" i="153"/>
  <c r="R108" i="153" s="1"/>
  <c r="I109" i="153"/>
  <c r="R109" i="153" s="1"/>
  <c r="I110" i="153"/>
  <c r="R110" i="153" s="1"/>
  <c r="I111" i="153"/>
  <c r="R111" i="153" s="1"/>
  <c r="I112" i="153"/>
  <c r="R112" i="153" s="1"/>
  <c r="I113" i="153"/>
  <c r="I114" i="153"/>
  <c r="I115" i="153"/>
  <c r="R115" i="153" s="1"/>
  <c r="I116" i="153"/>
  <c r="R116" i="153" s="1"/>
  <c r="I117" i="153"/>
  <c r="R117" i="153" s="1"/>
  <c r="I118" i="153"/>
  <c r="R118" i="153" s="1"/>
  <c r="I119" i="153"/>
  <c r="R119" i="153" s="1"/>
  <c r="I120" i="153"/>
  <c r="R120" i="153" s="1"/>
  <c r="I121" i="153"/>
  <c r="R121" i="153" s="1"/>
  <c r="H3" i="153"/>
  <c r="Q3" i="153" s="1"/>
  <c r="H4" i="153"/>
  <c r="Q4" i="153" s="1"/>
  <c r="H5" i="153"/>
  <c r="Q5" i="153" s="1"/>
  <c r="H6" i="153"/>
  <c r="Q6" i="153" s="1"/>
  <c r="H7" i="153"/>
  <c r="Q7" i="153" s="1"/>
  <c r="H8" i="153"/>
  <c r="Q8" i="153" s="1"/>
  <c r="H9" i="153"/>
  <c r="Q9" i="153" s="1"/>
  <c r="H10" i="153"/>
  <c r="Q10" i="153" s="1"/>
  <c r="H11" i="153"/>
  <c r="Q11" i="153" s="1"/>
  <c r="H12" i="153"/>
  <c r="Q12" i="153" s="1"/>
  <c r="H13" i="153"/>
  <c r="Q13" i="153" s="1"/>
  <c r="H14" i="153"/>
  <c r="Q14" i="153" s="1"/>
  <c r="H15" i="153"/>
  <c r="Q15" i="153" s="1"/>
  <c r="H16" i="153"/>
  <c r="Q16" i="153" s="1"/>
  <c r="H17" i="153"/>
  <c r="Q17" i="153" s="1"/>
  <c r="H18" i="153"/>
  <c r="Q18" i="153" s="1"/>
  <c r="H19" i="153"/>
  <c r="Q19" i="153" s="1"/>
  <c r="H20" i="153"/>
  <c r="Q20" i="153" s="1"/>
  <c r="H21" i="153"/>
  <c r="Q21" i="153" s="1"/>
  <c r="H22" i="153"/>
  <c r="Q22" i="153" s="1"/>
  <c r="H23" i="153"/>
  <c r="Q23" i="153" s="1"/>
  <c r="H24" i="153"/>
  <c r="H25" i="153"/>
  <c r="Q25" i="153" s="1"/>
  <c r="H26" i="153"/>
  <c r="Q26" i="153" s="1"/>
  <c r="H27" i="153"/>
  <c r="Q27" i="153" s="1"/>
  <c r="H28" i="153"/>
  <c r="Q28" i="153" s="1"/>
  <c r="H29" i="153"/>
  <c r="Q29" i="153" s="1"/>
  <c r="H30" i="153"/>
  <c r="Q30" i="153" s="1"/>
  <c r="H31" i="153"/>
  <c r="Q31" i="153" s="1"/>
  <c r="H32" i="153"/>
  <c r="H33" i="153"/>
  <c r="Q33" i="153" s="1"/>
  <c r="H34" i="153"/>
  <c r="Q34" i="153" s="1"/>
  <c r="H35" i="153"/>
  <c r="Q35" i="153" s="1"/>
  <c r="H36" i="153"/>
  <c r="Q36" i="153" s="1"/>
  <c r="H37" i="153"/>
  <c r="Q37" i="153" s="1"/>
  <c r="H38" i="153"/>
  <c r="Q38" i="153" s="1"/>
  <c r="H39" i="153"/>
  <c r="Q39" i="153" s="1"/>
  <c r="H40" i="153"/>
  <c r="Q40" i="153" s="1"/>
  <c r="H41" i="153"/>
  <c r="Q41" i="153" s="1"/>
  <c r="H42" i="153"/>
  <c r="Q42" i="153" s="1"/>
  <c r="H43" i="153"/>
  <c r="Q43" i="153" s="1"/>
  <c r="H44" i="153"/>
  <c r="H45" i="153"/>
  <c r="Q45" i="153" s="1"/>
  <c r="H46" i="153"/>
  <c r="Q46" i="153" s="1"/>
  <c r="H47" i="153"/>
  <c r="Q47" i="153" s="1"/>
  <c r="H48" i="153"/>
  <c r="H49" i="153"/>
  <c r="Q49" i="153" s="1"/>
  <c r="H2" i="153"/>
  <c r="Q2" i="153" s="1"/>
  <c r="H1" i="153"/>
  <c r="Q1" i="153" s="1"/>
  <c r="G2" i="153"/>
  <c r="P2" i="153" s="1"/>
  <c r="G1" i="153"/>
  <c r="I2" i="153"/>
  <c r="R2" i="153" s="1"/>
  <c r="I1" i="153"/>
  <c r="R1" i="153" s="1"/>
  <c r="F1" i="153"/>
  <c r="E1" i="153"/>
  <c r="N1" i="153" s="1"/>
  <c r="D1" i="153"/>
  <c r="N6" i="152"/>
  <c r="N20" i="152"/>
  <c r="N28" i="152"/>
  <c r="N29" i="152"/>
  <c r="N36" i="152"/>
  <c r="N41" i="152"/>
  <c r="N43" i="152"/>
  <c r="N44" i="152"/>
  <c r="F3" i="152"/>
  <c r="H3" i="152"/>
  <c r="N3" i="152" s="1"/>
  <c r="F4" i="152"/>
  <c r="H4" i="152"/>
  <c r="N4" i="152" s="1"/>
  <c r="F5" i="152"/>
  <c r="H5" i="152"/>
  <c r="N5" i="152" s="1"/>
  <c r="F6" i="152"/>
  <c r="H6" i="152"/>
  <c r="F7" i="152"/>
  <c r="H7" i="152"/>
  <c r="N7" i="152" s="1"/>
  <c r="F8" i="152"/>
  <c r="H8" i="152"/>
  <c r="N8" i="152" s="1"/>
  <c r="F9" i="152"/>
  <c r="H9" i="152"/>
  <c r="N9" i="152" s="1"/>
  <c r="F10" i="152"/>
  <c r="H10" i="152"/>
  <c r="N10" i="152" s="1"/>
  <c r="F11" i="152"/>
  <c r="H11" i="152"/>
  <c r="N11" i="152" s="1"/>
  <c r="F12" i="152"/>
  <c r="H12" i="152"/>
  <c r="N12" i="152" s="1"/>
  <c r="F13" i="152"/>
  <c r="H13" i="152"/>
  <c r="N13" i="152" s="1"/>
  <c r="F14" i="152"/>
  <c r="H14" i="152"/>
  <c r="N14" i="152" s="1"/>
  <c r="F15" i="152"/>
  <c r="H15" i="152"/>
  <c r="N15" i="152" s="1"/>
  <c r="F16" i="152"/>
  <c r="H16" i="152"/>
  <c r="N16" i="152" s="1"/>
  <c r="F17" i="152"/>
  <c r="H17" i="152"/>
  <c r="N17" i="152" s="1"/>
  <c r="F18" i="152"/>
  <c r="H18" i="152"/>
  <c r="N18" i="152" s="1"/>
  <c r="F19" i="152"/>
  <c r="H19" i="152"/>
  <c r="N19" i="152" s="1"/>
  <c r="F20" i="152"/>
  <c r="H20" i="152"/>
  <c r="F21" i="152"/>
  <c r="H21" i="152"/>
  <c r="N21" i="152" s="1"/>
  <c r="F22" i="152"/>
  <c r="H22" i="152"/>
  <c r="N22" i="152" s="1"/>
  <c r="F23" i="152"/>
  <c r="H23" i="152"/>
  <c r="N23" i="152" s="1"/>
  <c r="F24" i="152"/>
  <c r="H24" i="152"/>
  <c r="N24" i="152" s="1"/>
  <c r="F25" i="152"/>
  <c r="H25" i="152"/>
  <c r="N25" i="152" s="1"/>
  <c r="F26" i="152"/>
  <c r="H26" i="152"/>
  <c r="N26" i="152" s="1"/>
  <c r="F27" i="152"/>
  <c r="H27" i="152"/>
  <c r="N27" i="152" s="1"/>
  <c r="F28" i="152"/>
  <c r="H28" i="152"/>
  <c r="F29" i="152"/>
  <c r="H29" i="152"/>
  <c r="F30" i="152"/>
  <c r="H30" i="152"/>
  <c r="N30" i="152" s="1"/>
  <c r="F31" i="152"/>
  <c r="H31" i="152"/>
  <c r="N31" i="152" s="1"/>
  <c r="F32" i="152"/>
  <c r="H32" i="152"/>
  <c r="N32" i="152" s="1"/>
  <c r="F33" i="152"/>
  <c r="H33" i="152"/>
  <c r="N33" i="152" s="1"/>
  <c r="F34" i="152"/>
  <c r="H34" i="152"/>
  <c r="N34" i="152" s="1"/>
  <c r="F35" i="152"/>
  <c r="H35" i="152"/>
  <c r="N35" i="152" s="1"/>
  <c r="F36" i="152"/>
  <c r="H36" i="152"/>
  <c r="F37" i="152"/>
  <c r="H37" i="152"/>
  <c r="N37" i="152" s="1"/>
  <c r="F38" i="152"/>
  <c r="H38" i="152"/>
  <c r="N38" i="152" s="1"/>
  <c r="F39" i="152"/>
  <c r="H39" i="152"/>
  <c r="N39" i="152" s="1"/>
  <c r="F40" i="152"/>
  <c r="H40" i="152"/>
  <c r="N40" i="152" s="1"/>
  <c r="F41" i="152"/>
  <c r="H41" i="152"/>
  <c r="F42" i="152"/>
  <c r="H42" i="152"/>
  <c r="N42" i="152" s="1"/>
  <c r="F43" i="152"/>
  <c r="H43" i="152"/>
  <c r="F44" i="152"/>
  <c r="H44" i="152"/>
  <c r="F45" i="152"/>
  <c r="H45" i="152"/>
  <c r="N45" i="152" s="1"/>
  <c r="F46" i="152"/>
  <c r="H46" i="152"/>
  <c r="N46" i="152" s="1"/>
  <c r="F47" i="152"/>
  <c r="H47" i="152"/>
  <c r="N47" i="152" s="1"/>
  <c r="F48" i="152"/>
  <c r="H48" i="152"/>
  <c r="N48" i="152" s="1"/>
  <c r="F49" i="152"/>
  <c r="H49" i="152"/>
  <c r="N49" i="152" s="1"/>
  <c r="F50" i="152"/>
  <c r="F51" i="152"/>
  <c r="F52" i="152"/>
  <c r="F53" i="152"/>
  <c r="F54" i="152"/>
  <c r="F55" i="152"/>
  <c r="F56" i="152"/>
  <c r="F57" i="152"/>
  <c r="F58" i="152"/>
  <c r="F59" i="152"/>
  <c r="F60" i="152"/>
  <c r="F61" i="152"/>
  <c r="F62" i="152"/>
  <c r="F63" i="152"/>
  <c r="F64" i="152"/>
  <c r="F65" i="152"/>
  <c r="F66" i="152"/>
  <c r="F67" i="152"/>
  <c r="F68" i="152"/>
  <c r="F69" i="152"/>
  <c r="F70" i="152"/>
  <c r="F71" i="152"/>
  <c r="F72" i="152"/>
  <c r="F73" i="152"/>
  <c r="F74" i="152"/>
  <c r="F75" i="152"/>
  <c r="F76" i="152"/>
  <c r="F77" i="152"/>
  <c r="F78" i="152"/>
  <c r="F79" i="152"/>
  <c r="F80" i="152"/>
  <c r="F81" i="152"/>
  <c r="F82" i="152"/>
  <c r="F83" i="152"/>
  <c r="F84" i="152"/>
  <c r="F85" i="152"/>
  <c r="F86" i="152"/>
  <c r="F87" i="152"/>
  <c r="F88" i="152"/>
  <c r="F89" i="152"/>
  <c r="F90" i="152"/>
  <c r="F91" i="152"/>
  <c r="F92" i="152"/>
  <c r="F93" i="152"/>
  <c r="F94" i="152"/>
  <c r="F95" i="152"/>
  <c r="F96" i="152"/>
  <c r="F97" i="152"/>
  <c r="F98" i="152"/>
  <c r="F99" i="152"/>
  <c r="F100" i="152"/>
  <c r="F101" i="152"/>
  <c r="F102" i="152"/>
  <c r="F103" i="152"/>
  <c r="F104" i="152"/>
  <c r="F105" i="152"/>
  <c r="F106" i="152"/>
  <c r="F107" i="152"/>
  <c r="F108" i="152"/>
  <c r="F109" i="152"/>
  <c r="F110" i="152"/>
  <c r="F111" i="152"/>
  <c r="F112" i="152"/>
  <c r="F113" i="152"/>
  <c r="F114" i="152"/>
  <c r="F115" i="152"/>
  <c r="F116" i="152"/>
  <c r="F117" i="152"/>
  <c r="F118" i="152"/>
  <c r="F119" i="152"/>
  <c r="F120" i="152"/>
  <c r="F121" i="152"/>
  <c r="H2" i="152"/>
  <c r="N2" i="152" s="1"/>
  <c r="F2" i="152"/>
  <c r="H1" i="152"/>
  <c r="N1" i="152" s="1"/>
  <c r="F1" i="152"/>
  <c r="L1" i="152" s="1"/>
  <c r="E1" i="152"/>
  <c r="D1" i="152"/>
  <c r="D1" i="151"/>
  <c r="J2" i="151"/>
  <c r="N7" i="151"/>
  <c r="N12" i="151"/>
  <c r="N17" i="151"/>
  <c r="N23" i="151"/>
  <c r="N26" i="151"/>
  <c r="N32" i="151"/>
  <c r="N33" i="151"/>
  <c r="N36" i="151"/>
  <c r="N39" i="151"/>
  <c r="N49" i="151"/>
  <c r="H4" i="151"/>
  <c r="N4" i="151" s="1"/>
  <c r="H5" i="151"/>
  <c r="N5" i="151" s="1"/>
  <c r="H6" i="151"/>
  <c r="N6" i="151" s="1"/>
  <c r="H7" i="151"/>
  <c r="H8" i="151"/>
  <c r="N8" i="151" s="1"/>
  <c r="H9" i="151"/>
  <c r="N9" i="151" s="1"/>
  <c r="H10" i="151"/>
  <c r="N10" i="151" s="1"/>
  <c r="H11" i="151"/>
  <c r="N11" i="151" s="1"/>
  <c r="H12" i="151"/>
  <c r="H13" i="151"/>
  <c r="N13" i="151" s="1"/>
  <c r="H14" i="151"/>
  <c r="N14" i="151" s="1"/>
  <c r="H15" i="151"/>
  <c r="N15" i="151" s="1"/>
  <c r="H16" i="151"/>
  <c r="N16" i="151" s="1"/>
  <c r="H17" i="151"/>
  <c r="H18" i="151"/>
  <c r="N18" i="151" s="1"/>
  <c r="H19" i="151"/>
  <c r="N19" i="151" s="1"/>
  <c r="H20" i="151"/>
  <c r="N20" i="151" s="1"/>
  <c r="H21" i="151"/>
  <c r="N21" i="151" s="1"/>
  <c r="H22" i="151"/>
  <c r="N22" i="151" s="1"/>
  <c r="H23" i="151"/>
  <c r="H24" i="151"/>
  <c r="N24" i="151" s="1"/>
  <c r="H25" i="151"/>
  <c r="N25" i="151" s="1"/>
  <c r="H26" i="151"/>
  <c r="H27" i="151"/>
  <c r="N27" i="151" s="1"/>
  <c r="H28" i="151"/>
  <c r="N28" i="151" s="1"/>
  <c r="H29" i="151"/>
  <c r="N29" i="151" s="1"/>
  <c r="H30" i="151"/>
  <c r="N30" i="151" s="1"/>
  <c r="H31" i="151"/>
  <c r="N31" i="151" s="1"/>
  <c r="H32" i="151"/>
  <c r="H33" i="151"/>
  <c r="H34" i="151"/>
  <c r="N34" i="151" s="1"/>
  <c r="H35" i="151"/>
  <c r="N35" i="151" s="1"/>
  <c r="H36" i="151"/>
  <c r="H37" i="151"/>
  <c r="N37" i="151" s="1"/>
  <c r="H38" i="151"/>
  <c r="N38" i="151" s="1"/>
  <c r="H39" i="151"/>
  <c r="H40" i="151"/>
  <c r="N40" i="151" s="1"/>
  <c r="H41" i="151"/>
  <c r="N41" i="151" s="1"/>
  <c r="H42" i="151"/>
  <c r="N42" i="151" s="1"/>
  <c r="H43" i="151"/>
  <c r="N43" i="151" s="1"/>
  <c r="H44" i="151"/>
  <c r="N44" i="151" s="1"/>
  <c r="H45" i="151"/>
  <c r="N45" i="151" s="1"/>
  <c r="H46" i="151"/>
  <c r="N46" i="151" s="1"/>
  <c r="H47" i="151"/>
  <c r="N47" i="151" s="1"/>
  <c r="H48" i="151"/>
  <c r="N48" i="151" s="1"/>
  <c r="H49" i="151"/>
  <c r="H2" i="151"/>
  <c r="N2" i="151" s="1"/>
  <c r="H3" i="151"/>
  <c r="N3" i="151" s="1"/>
  <c r="H1" i="151"/>
  <c r="N1" i="151"/>
  <c r="F3" i="151"/>
  <c r="F4" i="151"/>
  <c r="L4" i="151" s="1"/>
  <c r="F5" i="151"/>
  <c r="L5" i="151" s="1"/>
  <c r="F6" i="151"/>
  <c r="L6" i="151" s="1"/>
  <c r="F7" i="151"/>
  <c r="F8" i="151"/>
  <c r="F9" i="151"/>
  <c r="F10" i="151"/>
  <c r="L10" i="151" s="1"/>
  <c r="F11" i="151"/>
  <c r="F12" i="151"/>
  <c r="F13" i="151"/>
  <c r="F14" i="151"/>
  <c r="F15" i="151"/>
  <c r="L15" i="151" s="1"/>
  <c r="F16" i="151"/>
  <c r="F17" i="151"/>
  <c r="F18" i="151"/>
  <c r="L18" i="151" s="1"/>
  <c r="F19" i="151"/>
  <c r="F20" i="151"/>
  <c r="L20" i="151" s="1"/>
  <c r="F21" i="151"/>
  <c r="L21" i="151" s="1"/>
  <c r="F22" i="151"/>
  <c r="L22" i="151" s="1"/>
  <c r="F23" i="151"/>
  <c r="L23" i="151" s="1"/>
  <c r="F24" i="151"/>
  <c r="L24" i="151" s="1"/>
  <c r="F25" i="151"/>
  <c r="F26" i="151"/>
  <c r="L26" i="151" s="1"/>
  <c r="F27" i="151"/>
  <c r="F28" i="151"/>
  <c r="F29" i="151"/>
  <c r="F30" i="151"/>
  <c r="F31" i="151"/>
  <c r="L31" i="151" s="1"/>
  <c r="F32" i="151"/>
  <c r="L32" i="151" s="1"/>
  <c r="F33" i="151"/>
  <c r="F34" i="151"/>
  <c r="L34" i="151" s="1"/>
  <c r="F35" i="151"/>
  <c r="L35" i="151" s="1"/>
  <c r="F36" i="151"/>
  <c r="L36" i="151" s="1"/>
  <c r="F37" i="151"/>
  <c r="L37" i="151" s="1"/>
  <c r="F38" i="151"/>
  <c r="L38" i="151" s="1"/>
  <c r="F39" i="151"/>
  <c r="F40" i="151"/>
  <c r="L40" i="151" s="1"/>
  <c r="F41" i="151"/>
  <c r="F42" i="151"/>
  <c r="L42" i="151" s="1"/>
  <c r="F43" i="151"/>
  <c r="F44" i="151"/>
  <c r="F45" i="151"/>
  <c r="F46" i="151"/>
  <c r="F47" i="151"/>
  <c r="L47" i="151" s="1"/>
  <c r="F48" i="151"/>
  <c r="L48" i="151" s="1"/>
  <c r="F49" i="151"/>
  <c r="F50" i="151"/>
  <c r="L50" i="151" s="1"/>
  <c r="F51" i="151"/>
  <c r="F52" i="151"/>
  <c r="L52" i="151" s="1"/>
  <c r="F53" i="151"/>
  <c r="L53" i="151" s="1"/>
  <c r="F54" i="151"/>
  <c r="L54" i="151" s="1"/>
  <c r="F55" i="151"/>
  <c r="L55" i="151" s="1"/>
  <c r="F56" i="151"/>
  <c r="F57" i="151"/>
  <c r="F58" i="151"/>
  <c r="L58" i="151" s="1"/>
  <c r="F59" i="151"/>
  <c r="F60" i="151"/>
  <c r="L60" i="151" s="1"/>
  <c r="F61" i="151"/>
  <c r="F62" i="151"/>
  <c r="F63" i="151"/>
  <c r="L63" i="151" s="1"/>
  <c r="F64" i="151"/>
  <c r="F65" i="151"/>
  <c r="F66" i="151"/>
  <c r="L66" i="151" s="1"/>
  <c r="F67" i="151"/>
  <c r="F68" i="151"/>
  <c r="F69" i="151"/>
  <c r="L69" i="151" s="1"/>
  <c r="F70" i="151"/>
  <c r="L70" i="151" s="1"/>
  <c r="F71" i="151"/>
  <c r="L71" i="151" s="1"/>
  <c r="F72" i="151"/>
  <c r="L72" i="151" s="1"/>
  <c r="F73" i="151"/>
  <c r="F74" i="151"/>
  <c r="L74" i="151" s="1"/>
  <c r="F75" i="151"/>
  <c r="F76" i="151"/>
  <c r="L76" i="151" s="1"/>
  <c r="F77" i="151"/>
  <c r="F78" i="151"/>
  <c r="F79" i="151"/>
  <c r="L79" i="151" s="1"/>
  <c r="F80" i="151"/>
  <c r="L80" i="151" s="1"/>
  <c r="F81" i="151"/>
  <c r="F82" i="151"/>
  <c r="L82" i="151" s="1"/>
  <c r="F83" i="151"/>
  <c r="F84" i="151"/>
  <c r="L84" i="151" s="1"/>
  <c r="F85" i="151"/>
  <c r="L85" i="151" s="1"/>
  <c r="F86" i="151"/>
  <c r="L86" i="151" s="1"/>
  <c r="F87" i="151"/>
  <c r="L87" i="151" s="1"/>
  <c r="F88" i="151"/>
  <c r="L88" i="151" s="1"/>
  <c r="F89" i="151"/>
  <c r="F90" i="151"/>
  <c r="L90" i="151" s="1"/>
  <c r="F91" i="151"/>
  <c r="F92" i="151"/>
  <c r="L92" i="151" s="1"/>
  <c r="F93" i="151"/>
  <c r="F94" i="151"/>
  <c r="F95" i="151"/>
  <c r="L95" i="151" s="1"/>
  <c r="F96" i="151"/>
  <c r="L96" i="151" s="1"/>
  <c r="F97" i="151"/>
  <c r="F98" i="151"/>
  <c r="L98" i="151" s="1"/>
  <c r="F99" i="151"/>
  <c r="F100" i="151"/>
  <c r="L100" i="151" s="1"/>
  <c r="F101" i="151"/>
  <c r="L101" i="151" s="1"/>
  <c r="F102" i="151"/>
  <c r="L102" i="151" s="1"/>
  <c r="F103" i="151"/>
  <c r="F104" i="151"/>
  <c r="L104" i="151" s="1"/>
  <c r="F105" i="151"/>
  <c r="F106" i="151"/>
  <c r="L106" i="151" s="1"/>
  <c r="F107" i="151"/>
  <c r="F108" i="151"/>
  <c r="L108" i="151" s="1"/>
  <c r="F109" i="151"/>
  <c r="F110" i="151"/>
  <c r="L110" i="151" s="1"/>
  <c r="F111" i="151"/>
  <c r="L111" i="151" s="1"/>
  <c r="F112" i="151"/>
  <c r="L112" i="151" s="1"/>
  <c r="F113" i="151"/>
  <c r="F114" i="151"/>
  <c r="L114" i="151" s="1"/>
  <c r="F115" i="151"/>
  <c r="F116" i="151"/>
  <c r="L116" i="151" s="1"/>
  <c r="F117" i="151"/>
  <c r="L117" i="151" s="1"/>
  <c r="F118" i="151"/>
  <c r="L118" i="151" s="1"/>
  <c r="F119" i="151"/>
  <c r="L119" i="151" s="1"/>
  <c r="F120" i="151"/>
  <c r="L120" i="151" s="1"/>
  <c r="F121" i="151"/>
  <c r="F2" i="151"/>
  <c r="L2" i="151" s="1"/>
  <c r="F1" i="151"/>
  <c r="E1" i="151"/>
  <c r="M3" i="154"/>
  <c r="M4" i="154"/>
  <c r="M5" i="154"/>
  <c r="M6" i="154"/>
  <c r="M7" i="154"/>
  <c r="M8" i="154"/>
  <c r="M9" i="154"/>
  <c r="M10" i="154"/>
  <c r="M11" i="154"/>
  <c r="M12" i="154"/>
  <c r="M13" i="154"/>
  <c r="M14" i="154"/>
  <c r="M15" i="154"/>
  <c r="M16" i="154"/>
  <c r="M17" i="154"/>
  <c r="M18" i="154"/>
  <c r="M19" i="154"/>
  <c r="M20" i="154"/>
  <c r="M21" i="154"/>
  <c r="M22" i="154"/>
  <c r="M23" i="154"/>
  <c r="M24" i="154"/>
  <c r="M25" i="154"/>
  <c r="M26" i="154"/>
  <c r="M27" i="154"/>
  <c r="M28" i="154"/>
  <c r="M29" i="154"/>
  <c r="M30" i="154"/>
  <c r="M31" i="154"/>
  <c r="M32" i="154"/>
  <c r="M33" i="154"/>
  <c r="M34" i="154"/>
  <c r="M35" i="154"/>
  <c r="M36" i="154"/>
  <c r="M37" i="154"/>
  <c r="M38" i="154"/>
  <c r="M39" i="154"/>
  <c r="M40" i="154"/>
  <c r="M41" i="154"/>
  <c r="M42" i="154"/>
  <c r="M43" i="154"/>
  <c r="M44" i="154"/>
  <c r="M45" i="154"/>
  <c r="M46" i="154"/>
  <c r="M47" i="154"/>
  <c r="M48" i="154"/>
  <c r="M49" i="154"/>
  <c r="M50" i="154"/>
  <c r="M51" i="154"/>
  <c r="M52" i="154"/>
  <c r="M53" i="154"/>
  <c r="M54" i="154"/>
  <c r="M55" i="154"/>
  <c r="M56" i="154"/>
  <c r="M57" i="154"/>
  <c r="M58" i="154"/>
  <c r="M59" i="154"/>
  <c r="M60" i="154"/>
  <c r="M61" i="154"/>
  <c r="M62" i="154"/>
  <c r="M63" i="154"/>
  <c r="M64" i="154"/>
  <c r="M65" i="154"/>
  <c r="M66" i="154"/>
  <c r="M67" i="154"/>
  <c r="M68" i="154"/>
  <c r="M69" i="154"/>
  <c r="M70" i="154"/>
  <c r="M71" i="154"/>
  <c r="M72" i="154"/>
  <c r="M73" i="154"/>
  <c r="M74" i="154"/>
  <c r="M75" i="154"/>
  <c r="M76" i="154"/>
  <c r="M77" i="154"/>
  <c r="M78" i="154"/>
  <c r="M79" i="154"/>
  <c r="M80" i="154"/>
  <c r="M81" i="154"/>
  <c r="M82" i="154"/>
  <c r="M83" i="154"/>
  <c r="M84" i="154"/>
  <c r="M85" i="154"/>
  <c r="M86" i="154"/>
  <c r="M87" i="154"/>
  <c r="M88" i="154"/>
  <c r="M89" i="154"/>
  <c r="M90" i="154"/>
  <c r="M91" i="154"/>
  <c r="M92" i="154"/>
  <c r="M93" i="154"/>
  <c r="M94" i="154"/>
  <c r="M95" i="154"/>
  <c r="M96" i="154"/>
  <c r="M97" i="154"/>
  <c r="M98" i="154"/>
  <c r="M99" i="154"/>
  <c r="M100" i="154"/>
  <c r="M101" i="154"/>
  <c r="M102" i="154"/>
  <c r="M103" i="154"/>
  <c r="M104" i="154"/>
  <c r="M105" i="154"/>
  <c r="M106" i="154"/>
  <c r="M107" i="154"/>
  <c r="M108" i="154"/>
  <c r="M109" i="154"/>
  <c r="M110" i="154"/>
  <c r="M111" i="154"/>
  <c r="M112" i="154"/>
  <c r="M113" i="154"/>
  <c r="M114" i="154"/>
  <c r="M115" i="154"/>
  <c r="M116" i="154"/>
  <c r="M117" i="154"/>
  <c r="M118" i="154"/>
  <c r="M119" i="154"/>
  <c r="M120" i="154"/>
  <c r="M121" i="154"/>
  <c r="M122" i="154"/>
  <c r="M123" i="154"/>
  <c r="M124" i="154"/>
  <c r="M125" i="154"/>
  <c r="M126" i="154"/>
  <c r="M127" i="154"/>
  <c r="M128" i="154"/>
  <c r="M129" i="154"/>
  <c r="M130" i="154"/>
  <c r="M131" i="154"/>
  <c r="M132" i="154"/>
  <c r="M133" i="154"/>
  <c r="M134" i="154"/>
  <c r="M135" i="154"/>
  <c r="M136" i="154"/>
  <c r="M137" i="154"/>
  <c r="M138" i="154"/>
  <c r="M139" i="154"/>
  <c r="M140" i="154"/>
  <c r="M141" i="154"/>
  <c r="M142" i="154"/>
  <c r="M143" i="154"/>
  <c r="M144" i="154"/>
  <c r="M145" i="154"/>
  <c r="M2" i="154"/>
  <c r="C145" i="154"/>
  <c r="B145" i="154"/>
  <c r="C144" i="154"/>
  <c r="B144" i="154"/>
  <c r="C143" i="154"/>
  <c r="B143" i="154"/>
  <c r="C142" i="154"/>
  <c r="B142" i="154"/>
  <c r="C141" i="154"/>
  <c r="B141" i="154"/>
  <c r="C140" i="154"/>
  <c r="B140" i="154"/>
  <c r="C139" i="154"/>
  <c r="B139" i="154"/>
  <c r="C138" i="154"/>
  <c r="B138" i="154"/>
  <c r="C137" i="154"/>
  <c r="B137" i="154"/>
  <c r="C136" i="154"/>
  <c r="B136" i="154"/>
  <c r="C135" i="154"/>
  <c r="B135" i="154"/>
  <c r="C134" i="154"/>
  <c r="B134" i="154"/>
  <c r="C133" i="154"/>
  <c r="B133" i="154"/>
  <c r="C132" i="154"/>
  <c r="B132" i="154"/>
  <c r="C131" i="154"/>
  <c r="B131" i="154"/>
  <c r="C130" i="154"/>
  <c r="B130" i="154"/>
  <c r="C129" i="154"/>
  <c r="B129" i="154"/>
  <c r="C128" i="154"/>
  <c r="B128" i="154"/>
  <c r="C127" i="154"/>
  <c r="B127" i="154"/>
  <c r="C126" i="154"/>
  <c r="B126" i="154"/>
  <c r="C125" i="154"/>
  <c r="B125" i="154"/>
  <c r="C124" i="154"/>
  <c r="B124" i="154"/>
  <c r="C123" i="154"/>
  <c r="B123" i="154"/>
  <c r="C122" i="154"/>
  <c r="B122" i="154"/>
  <c r="C121" i="154"/>
  <c r="B121" i="154"/>
  <c r="C120" i="154"/>
  <c r="B120" i="154"/>
  <c r="C119" i="154"/>
  <c r="B119" i="154"/>
  <c r="C118" i="154"/>
  <c r="B118" i="154"/>
  <c r="C117" i="154"/>
  <c r="B117" i="154"/>
  <c r="C116" i="154"/>
  <c r="B116" i="154"/>
  <c r="A115" i="154"/>
  <c r="B115" i="154" s="1"/>
  <c r="A114" i="154"/>
  <c r="B114" i="154" s="1"/>
  <c r="A113" i="154"/>
  <c r="C113" i="154" s="1"/>
  <c r="A112" i="154"/>
  <c r="C112" i="154" s="1"/>
  <c r="A111" i="154"/>
  <c r="C111" i="154" s="1"/>
  <c r="A110" i="154"/>
  <c r="B110" i="154" s="1"/>
  <c r="A109" i="154"/>
  <c r="C109" i="154" s="1"/>
  <c r="A108" i="154"/>
  <c r="B108" i="154" s="1"/>
  <c r="A107" i="154"/>
  <c r="C107" i="154" s="1"/>
  <c r="A106" i="154"/>
  <c r="B106" i="154" s="1"/>
  <c r="A105" i="154"/>
  <c r="C105" i="154" s="1"/>
  <c r="A104" i="154"/>
  <c r="C104" i="154" s="1"/>
  <c r="A103" i="154"/>
  <c r="B103" i="154" s="1"/>
  <c r="A102" i="154"/>
  <c r="B102" i="154" s="1"/>
  <c r="A101" i="154"/>
  <c r="C101" i="154" s="1"/>
  <c r="A100" i="154"/>
  <c r="C100" i="154" s="1"/>
  <c r="A99" i="154"/>
  <c r="C99" i="154" s="1"/>
  <c r="A98" i="154"/>
  <c r="B98" i="154" s="1"/>
  <c r="A97" i="154"/>
  <c r="C97" i="154" s="1"/>
  <c r="A96" i="154"/>
  <c r="C96" i="154" s="1"/>
  <c r="A95" i="154"/>
  <c r="B95" i="154" s="1"/>
  <c r="A94" i="154"/>
  <c r="B94" i="154" s="1"/>
  <c r="A93" i="154"/>
  <c r="C93" i="154" s="1"/>
  <c r="A92" i="154"/>
  <c r="B92" i="154" s="1"/>
  <c r="A91" i="154"/>
  <c r="C91" i="154" s="1"/>
  <c r="A90" i="154"/>
  <c r="B90" i="154" s="1"/>
  <c r="A89" i="154"/>
  <c r="C89" i="154" s="1"/>
  <c r="A88" i="154"/>
  <c r="C88" i="154" s="1"/>
  <c r="C87" i="154"/>
  <c r="A87" i="154"/>
  <c r="B87" i="154" s="1"/>
  <c r="A86" i="154"/>
  <c r="B86" i="154" s="1"/>
  <c r="A85" i="154"/>
  <c r="C85" i="154" s="1"/>
  <c r="A84" i="154"/>
  <c r="C84" i="154" s="1"/>
  <c r="A83" i="154"/>
  <c r="C83" i="154" s="1"/>
  <c r="A82" i="154"/>
  <c r="B82" i="154" s="1"/>
  <c r="A81" i="154"/>
  <c r="C81" i="154" s="1"/>
  <c r="A80" i="154"/>
  <c r="B80" i="154" s="1"/>
  <c r="A79" i="154"/>
  <c r="C79" i="154" s="1"/>
  <c r="A78" i="154"/>
  <c r="B78" i="154" s="1"/>
  <c r="A77" i="154"/>
  <c r="C77" i="154" s="1"/>
  <c r="A76" i="154"/>
  <c r="C76" i="154" s="1"/>
  <c r="A75" i="154"/>
  <c r="C75" i="154" s="1"/>
  <c r="A74" i="154"/>
  <c r="B74" i="154" s="1"/>
  <c r="A73" i="154"/>
  <c r="C73" i="154" s="1"/>
  <c r="B72" i="154"/>
  <c r="A72" i="154"/>
  <c r="C72" i="154" s="1"/>
  <c r="A71" i="154"/>
  <c r="C71" i="154" s="1"/>
  <c r="A70" i="154"/>
  <c r="B70" i="154" s="1"/>
  <c r="A69" i="154"/>
  <c r="C69" i="154" s="1"/>
  <c r="A68" i="154"/>
  <c r="C68" i="154" s="1"/>
  <c r="A67" i="154"/>
  <c r="B67" i="154" s="1"/>
  <c r="A66" i="154"/>
  <c r="B66" i="154" s="1"/>
  <c r="A65" i="154"/>
  <c r="C65" i="154" s="1"/>
  <c r="A64" i="154"/>
  <c r="B64" i="154" s="1"/>
  <c r="A63" i="154"/>
  <c r="C63" i="154" s="1"/>
  <c r="A62" i="154"/>
  <c r="B62" i="154" s="1"/>
  <c r="A61" i="154"/>
  <c r="C61" i="154" s="1"/>
  <c r="C60" i="154"/>
  <c r="B60" i="154"/>
  <c r="A60" i="154"/>
  <c r="A59" i="154"/>
  <c r="C59" i="154" s="1"/>
  <c r="A58" i="154"/>
  <c r="B58" i="154" s="1"/>
  <c r="A57" i="154"/>
  <c r="C57" i="154" s="1"/>
  <c r="A56" i="154"/>
  <c r="C56" i="154" s="1"/>
  <c r="A55" i="154"/>
  <c r="C55" i="154" s="1"/>
  <c r="A54" i="154"/>
  <c r="B54" i="154" s="1"/>
  <c r="B53" i="154"/>
  <c r="A53" i="154"/>
  <c r="C53" i="154" s="1"/>
  <c r="A52" i="154"/>
  <c r="C52" i="154" s="1"/>
  <c r="A51" i="154"/>
  <c r="C51" i="154" s="1"/>
  <c r="A50" i="154"/>
  <c r="B50" i="154" s="1"/>
  <c r="A49" i="154"/>
  <c r="C49" i="154" s="1"/>
  <c r="A48" i="154"/>
  <c r="C48" i="154" s="1"/>
  <c r="A47" i="154"/>
  <c r="C47" i="154" s="1"/>
  <c r="A46" i="154"/>
  <c r="B46" i="154" s="1"/>
  <c r="A45" i="154"/>
  <c r="C45" i="154" s="1"/>
  <c r="A44" i="154"/>
  <c r="C44" i="154" s="1"/>
  <c r="A43" i="154"/>
  <c r="C43" i="154" s="1"/>
  <c r="A42" i="154"/>
  <c r="B42" i="154" s="1"/>
  <c r="A41" i="154"/>
  <c r="C41" i="154" s="1"/>
  <c r="B40" i="154"/>
  <c r="A40" i="154"/>
  <c r="C40" i="154" s="1"/>
  <c r="A39" i="154"/>
  <c r="B39" i="154" s="1"/>
  <c r="A38" i="154"/>
  <c r="B38" i="154" s="1"/>
  <c r="A37" i="154"/>
  <c r="C37" i="154" s="1"/>
  <c r="A36" i="154"/>
  <c r="C36" i="154" s="1"/>
  <c r="A35" i="154"/>
  <c r="A34" i="154"/>
  <c r="B34" i="154" s="1"/>
  <c r="A33" i="154"/>
  <c r="C33" i="154" s="1"/>
  <c r="A32" i="154"/>
  <c r="C32" i="154" s="1"/>
  <c r="A31" i="154"/>
  <c r="B31" i="154" s="1"/>
  <c r="A30" i="154"/>
  <c r="B30" i="154" s="1"/>
  <c r="A29" i="154"/>
  <c r="B29" i="154" s="1"/>
  <c r="A28" i="154"/>
  <c r="C28" i="154" s="1"/>
  <c r="A27" i="154"/>
  <c r="B27" i="154" s="1"/>
  <c r="A26" i="154"/>
  <c r="B26" i="154" s="1"/>
  <c r="A25" i="154"/>
  <c r="B25" i="154" s="1"/>
  <c r="A24" i="154"/>
  <c r="C24" i="154" s="1"/>
  <c r="A23" i="154"/>
  <c r="C23" i="154" s="1"/>
  <c r="A22" i="154"/>
  <c r="B22" i="154" s="1"/>
  <c r="A21" i="154"/>
  <c r="C21" i="154" s="1"/>
  <c r="A20" i="154"/>
  <c r="C20" i="154" s="1"/>
  <c r="A19" i="154"/>
  <c r="B19" i="154" s="1"/>
  <c r="A18" i="154"/>
  <c r="B18" i="154" s="1"/>
  <c r="A17" i="154"/>
  <c r="C17" i="154" s="1"/>
  <c r="A16" i="154"/>
  <c r="C16" i="154" s="1"/>
  <c r="A15" i="154"/>
  <c r="B15" i="154" s="1"/>
  <c r="A14" i="154"/>
  <c r="C14" i="154" s="1"/>
  <c r="A13" i="154"/>
  <c r="C13" i="154" s="1"/>
  <c r="A12" i="154"/>
  <c r="C12" i="154" s="1"/>
  <c r="C11" i="154"/>
  <c r="A11" i="154"/>
  <c r="B11" i="154" s="1"/>
  <c r="A10" i="154"/>
  <c r="C10" i="154" s="1"/>
  <c r="A9" i="154"/>
  <c r="C9" i="154" s="1"/>
  <c r="A8" i="154"/>
  <c r="C8" i="154" s="1"/>
  <c r="A7" i="154"/>
  <c r="C7" i="154" s="1"/>
  <c r="A6" i="154"/>
  <c r="C6" i="154" s="1"/>
  <c r="A5" i="154"/>
  <c r="C5" i="154" s="1"/>
  <c r="A4" i="154"/>
  <c r="C4" i="154" s="1"/>
  <c r="A3" i="154"/>
  <c r="C3" i="154" s="1"/>
  <c r="P2" i="154"/>
  <c r="A2" i="154"/>
  <c r="C2" i="154" s="1"/>
  <c r="P1" i="154"/>
  <c r="N1" i="154"/>
  <c r="A1" i="154"/>
  <c r="M121" i="153"/>
  <c r="A121" i="153"/>
  <c r="C121" i="153" s="1"/>
  <c r="M120" i="153"/>
  <c r="A120" i="153"/>
  <c r="B120" i="153" s="1"/>
  <c r="M119" i="153"/>
  <c r="A119" i="153"/>
  <c r="C119" i="153" s="1"/>
  <c r="M118" i="153"/>
  <c r="A118" i="153"/>
  <c r="C118" i="153" s="1"/>
  <c r="M117" i="153"/>
  <c r="A117" i="153"/>
  <c r="C117" i="153" s="1"/>
  <c r="M116" i="153"/>
  <c r="A116" i="153"/>
  <c r="C116" i="153" s="1"/>
  <c r="M115" i="153"/>
  <c r="A115" i="153"/>
  <c r="C115" i="153" s="1"/>
  <c r="M114" i="153"/>
  <c r="A114" i="153"/>
  <c r="C114" i="153" s="1"/>
  <c r="M113" i="153"/>
  <c r="A113" i="153"/>
  <c r="C113" i="153" s="1"/>
  <c r="M112" i="153"/>
  <c r="A112" i="153"/>
  <c r="C112" i="153" s="1"/>
  <c r="M111" i="153"/>
  <c r="A111" i="153"/>
  <c r="C111" i="153" s="1"/>
  <c r="M110" i="153"/>
  <c r="A110" i="153"/>
  <c r="C110" i="153" s="1"/>
  <c r="M109" i="153"/>
  <c r="A109" i="153"/>
  <c r="C109" i="153" s="1"/>
  <c r="M108" i="153"/>
  <c r="A108" i="153"/>
  <c r="B108" i="153" s="1"/>
  <c r="M107" i="153"/>
  <c r="A107" i="153"/>
  <c r="C107" i="153" s="1"/>
  <c r="M106" i="153"/>
  <c r="A106" i="153"/>
  <c r="C106" i="153" s="1"/>
  <c r="M105" i="153"/>
  <c r="A105" i="153"/>
  <c r="C105" i="153" s="1"/>
  <c r="M104" i="153"/>
  <c r="A104" i="153"/>
  <c r="B104" i="153" s="1"/>
  <c r="M103" i="153"/>
  <c r="A103" i="153"/>
  <c r="C103" i="153" s="1"/>
  <c r="M102" i="153"/>
  <c r="A102" i="153"/>
  <c r="C102" i="153" s="1"/>
  <c r="M101" i="153"/>
  <c r="A101" i="153"/>
  <c r="C101" i="153" s="1"/>
  <c r="M100" i="153"/>
  <c r="A100" i="153"/>
  <c r="C100" i="153" s="1"/>
  <c r="M99" i="153"/>
  <c r="A99" i="153"/>
  <c r="C99" i="153" s="1"/>
  <c r="M98" i="153"/>
  <c r="A98" i="153"/>
  <c r="C98" i="153" s="1"/>
  <c r="M97" i="153"/>
  <c r="A97" i="153"/>
  <c r="C97" i="153" s="1"/>
  <c r="M96" i="153"/>
  <c r="A96" i="153"/>
  <c r="B96" i="153" s="1"/>
  <c r="M95" i="153"/>
  <c r="A95" i="153"/>
  <c r="C95" i="153" s="1"/>
  <c r="M94" i="153"/>
  <c r="A94" i="153"/>
  <c r="B94" i="153" s="1"/>
  <c r="M93" i="153"/>
  <c r="A93" i="153"/>
  <c r="C93" i="153" s="1"/>
  <c r="M92" i="153"/>
  <c r="A92" i="153"/>
  <c r="C92" i="153" s="1"/>
  <c r="M91" i="153"/>
  <c r="A91" i="153"/>
  <c r="C91" i="153" s="1"/>
  <c r="M90" i="153"/>
  <c r="A90" i="153"/>
  <c r="C90" i="153" s="1"/>
  <c r="M89" i="153"/>
  <c r="A89" i="153"/>
  <c r="C89" i="153" s="1"/>
  <c r="M88" i="153"/>
  <c r="B88" i="153"/>
  <c r="A88" i="153"/>
  <c r="C88" i="153" s="1"/>
  <c r="M87" i="153"/>
  <c r="A87" i="153"/>
  <c r="C87" i="153" s="1"/>
  <c r="M86" i="153"/>
  <c r="A86" i="153"/>
  <c r="B86" i="153" s="1"/>
  <c r="M85" i="153"/>
  <c r="A85" i="153"/>
  <c r="C85" i="153" s="1"/>
  <c r="M84" i="153"/>
  <c r="A84" i="153"/>
  <c r="B84" i="153" s="1"/>
  <c r="M83" i="153"/>
  <c r="A83" i="153"/>
  <c r="C83" i="153" s="1"/>
  <c r="M82" i="153"/>
  <c r="A82" i="153"/>
  <c r="C82" i="153" s="1"/>
  <c r="M81" i="153"/>
  <c r="A81" i="153"/>
  <c r="C81" i="153" s="1"/>
  <c r="M80" i="153"/>
  <c r="A80" i="153"/>
  <c r="C80" i="153" s="1"/>
  <c r="M79" i="153"/>
  <c r="A79" i="153"/>
  <c r="C79" i="153" s="1"/>
  <c r="M78" i="153"/>
  <c r="A78" i="153"/>
  <c r="C78" i="153" s="1"/>
  <c r="M77" i="153"/>
  <c r="A77" i="153"/>
  <c r="C77" i="153" s="1"/>
  <c r="M76" i="153"/>
  <c r="A76" i="153"/>
  <c r="C76" i="153" s="1"/>
  <c r="M75" i="153"/>
  <c r="A75" i="153"/>
  <c r="C75" i="153" s="1"/>
  <c r="M74" i="153"/>
  <c r="A74" i="153"/>
  <c r="C74" i="153" s="1"/>
  <c r="M73" i="153"/>
  <c r="A73" i="153"/>
  <c r="C73" i="153" s="1"/>
  <c r="M72" i="153"/>
  <c r="A72" i="153"/>
  <c r="C72" i="153" s="1"/>
  <c r="M71" i="153"/>
  <c r="A71" i="153"/>
  <c r="C71" i="153" s="1"/>
  <c r="M70" i="153"/>
  <c r="A70" i="153"/>
  <c r="C70" i="153" s="1"/>
  <c r="M69" i="153"/>
  <c r="A69" i="153"/>
  <c r="C69" i="153" s="1"/>
  <c r="M68" i="153"/>
  <c r="A68" i="153"/>
  <c r="B68" i="153" s="1"/>
  <c r="M67" i="153"/>
  <c r="A67" i="153"/>
  <c r="C67" i="153" s="1"/>
  <c r="M66" i="153"/>
  <c r="B66" i="153"/>
  <c r="A66" i="153"/>
  <c r="C66" i="153" s="1"/>
  <c r="M65" i="153"/>
  <c r="A65" i="153"/>
  <c r="C65" i="153" s="1"/>
  <c r="M64" i="153"/>
  <c r="A64" i="153"/>
  <c r="C64" i="153" s="1"/>
  <c r="M63" i="153"/>
  <c r="A63" i="153"/>
  <c r="C63" i="153" s="1"/>
  <c r="M62" i="153"/>
  <c r="A62" i="153"/>
  <c r="C62" i="153" s="1"/>
  <c r="M61" i="153"/>
  <c r="A61" i="153"/>
  <c r="C61" i="153" s="1"/>
  <c r="M60" i="153"/>
  <c r="A60" i="153"/>
  <c r="B60" i="153" s="1"/>
  <c r="M59" i="153"/>
  <c r="A59" i="153"/>
  <c r="C59" i="153" s="1"/>
  <c r="M58" i="153"/>
  <c r="A58" i="153"/>
  <c r="C58" i="153" s="1"/>
  <c r="M57" i="153"/>
  <c r="A57" i="153"/>
  <c r="C57" i="153" s="1"/>
  <c r="M56" i="153"/>
  <c r="A56" i="153"/>
  <c r="C56" i="153" s="1"/>
  <c r="M55" i="153"/>
  <c r="A55" i="153"/>
  <c r="C55" i="153" s="1"/>
  <c r="M54" i="153"/>
  <c r="A54" i="153"/>
  <c r="B54" i="153" s="1"/>
  <c r="M53" i="153"/>
  <c r="A53" i="153"/>
  <c r="C53" i="153" s="1"/>
  <c r="M52" i="153"/>
  <c r="A52" i="153"/>
  <c r="C52" i="153" s="1"/>
  <c r="M51" i="153"/>
  <c r="A51" i="153"/>
  <c r="C51" i="153" s="1"/>
  <c r="M50" i="153"/>
  <c r="A50" i="153"/>
  <c r="C50" i="153" s="1"/>
  <c r="M49" i="153"/>
  <c r="A49" i="153"/>
  <c r="C49" i="153" s="1"/>
  <c r="M48" i="153"/>
  <c r="A48" i="153"/>
  <c r="C48" i="153" s="1"/>
  <c r="M47" i="153"/>
  <c r="A47" i="153"/>
  <c r="C47" i="153" s="1"/>
  <c r="M46" i="153"/>
  <c r="A46" i="153"/>
  <c r="C46" i="153" s="1"/>
  <c r="M45" i="153"/>
  <c r="A45" i="153"/>
  <c r="C45" i="153" s="1"/>
  <c r="M44" i="153"/>
  <c r="A44" i="153"/>
  <c r="C44" i="153" s="1"/>
  <c r="M43" i="153"/>
  <c r="A43" i="153"/>
  <c r="C43" i="153" s="1"/>
  <c r="M42" i="153"/>
  <c r="A42" i="153"/>
  <c r="C42" i="153" s="1"/>
  <c r="M41" i="153"/>
  <c r="A41" i="153"/>
  <c r="C41" i="153" s="1"/>
  <c r="M40" i="153"/>
  <c r="A40" i="153"/>
  <c r="C40" i="153" s="1"/>
  <c r="M39" i="153"/>
  <c r="A39" i="153"/>
  <c r="C39" i="153" s="1"/>
  <c r="M38" i="153"/>
  <c r="A38" i="153"/>
  <c r="B38" i="153" s="1"/>
  <c r="M37" i="153"/>
  <c r="A37" i="153"/>
  <c r="C37" i="153" s="1"/>
  <c r="M36" i="153"/>
  <c r="A36" i="153"/>
  <c r="C36" i="153" s="1"/>
  <c r="M35" i="153"/>
  <c r="A35" i="153"/>
  <c r="C35" i="153" s="1"/>
  <c r="M34" i="153"/>
  <c r="A34" i="153"/>
  <c r="C34" i="153" s="1"/>
  <c r="M33" i="153"/>
  <c r="A33" i="153"/>
  <c r="C33" i="153" s="1"/>
  <c r="M32" i="153"/>
  <c r="A32" i="153"/>
  <c r="C32" i="153" s="1"/>
  <c r="M31" i="153"/>
  <c r="A31" i="153"/>
  <c r="C31" i="153" s="1"/>
  <c r="M30" i="153"/>
  <c r="A30" i="153"/>
  <c r="C30" i="153" s="1"/>
  <c r="M29" i="153"/>
  <c r="A29" i="153"/>
  <c r="C29" i="153" s="1"/>
  <c r="M28" i="153"/>
  <c r="A28" i="153"/>
  <c r="C28" i="153" s="1"/>
  <c r="M27" i="153"/>
  <c r="A27" i="153"/>
  <c r="C27" i="153" s="1"/>
  <c r="M26" i="153"/>
  <c r="A26" i="153"/>
  <c r="C26" i="153" s="1"/>
  <c r="M25" i="153"/>
  <c r="A25" i="153"/>
  <c r="C25" i="153" s="1"/>
  <c r="M24" i="153"/>
  <c r="A24" i="153"/>
  <c r="C24" i="153" s="1"/>
  <c r="M23" i="153"/>
  <c r="A23" i="153"/>
  <c r="C23" i="153" s="1"/>
  <c r="M22" i="153"/>
  <c r="A22" i="153"/>
  <c r="C22" i="153" s="1"/>
  <c r="M21" i="153"/>
  <c r="A21" i="153"/>
  <c r="C21" i="153" s="1"/>
  <c r="M20" i="153"/>
  <c r="A20" i="153"/>
  <c r="C20" i="153" s="1"/>
  <c r="M19" i="153"/>
  <c r="A19" i="153"/>
  <c r="C19" i="153" s="1"/>
  <c r="M18" i="153"/>
  <c r="A18" i="153"/>
  <c r="C18" i="153" s="1"/>
  <c r="M17" i="153"/>
  <c r="A17" i="153"/>
  <c r="C17" i="153" s="1"/>
  <c r="M16" i="153"/>
  <c r="A16" i="153"/>
  <c r="C16" i="153" s="1"/>
  <c r="M15" i="153"/>
  <c r="A15" i="153"/>
  <c r="C15" i="153" s="1"/>
  <c r="M14" i="153"/>
  <c r="A14" i="153"/>
  <c r="C14" i="153" s="1"/>
  <c r="M13" i="153"/>
  <c r="A13" i="153"/>
  <c r="C13" i="153" s="1"/>
  <c r="M12" i="153"/>
  <c r="A12" i="153"/>
  <c r="C12" i="153" s="1"/>
  <c r="M11" i="153"/>
  <c r="A11" i="153"/>
  <c r="C11" i="153" s="1"/>
  <c r="M10" i="153"/>
  <c r="A10" i="153"/>
  <c r="C10" i="153" s="1"/>
  <c r="M9" i="153"/>
  <c r="A9" i="153"/>
  <c r="C9" i="153" s="1"/>
  <c r="M8" i="153"/>
  <c r="B8" i="153"/>
  <c r="A8" i="153"/>
  <c r="C8" i="153" s="1"/>
  <c r="M7" i="153"/>
  <c r="A7" i="153"/>
  <c r="C7" i="153" s="1"/>
  <c r="M6" i="153"/>
  <c r="A6" i="153"/>
  <c r="B6" i="153" s="1"/>
  <c r="M5" i="153"/>
  <c r="A5" i="153"/>
  <c r="C5" i="153" s="1"/>
  <c r="M4" i="153"/>
  <c r="A4" i="153"/>
  <c r="C4" i="153" s="1"/>
  <c r="M3" i="153"/>
  <c r="A3" i="153"/>
  <c r="C3" i="153" s="1"/>
  <c r="M2" i="153"/>
  <c r="A2" i="153"/>
  <c r="C2" i="153" s="1"/>
  <c r="P1" i="153"/>
  <c r="O1" i="153"/>
  <c r="A1" i="153"/>
  <c r="J3" i="152"/>
  <c r="J4" i="152"/>
  <c r="J5" i="152"/>
  <c r="J6" i="152"/>
  <c r="J7" i="152"/>
  <c r="J8" i="152"/>
  <c r="J9" i="152"/>
  <c r="J10" i="152"/>
  <c r="J11" i="152"/>
  <c r="J12" i="152"/>
  <c r="J13" i="152"/>
  <c r="J14" i="152"/>
  <c r="J15" i="152"/>
  <c r="J16" i="152"/>
  <c r="J17" i="152"/>
  <c r="J18" i="152"/>
  <c r="J19" i="152"/>
  <c r="J20" i="152"/>
  <c r="J21" i="152"/>
  <c r="J22" i="152"/>
  <c r="J23" i="152"/>
  <c r="J24" i="152"/>
  <c r="J25" i="152"/>
  <c r="J26" i="152"/>
  <c r="J27" i="152"/>
  <c r="J28" i="152"/>
  <c r="J29" i="152"/>
  <c r="J30" i="152"/>
  <c r="J31" i="152"/>
  <c r="J32" i="152"/>
  <c r="J33" i="152"/>
  <c r="J34" i="152"/>
  <c r="J35" i="152"/>
  <c r="J36" i="152"/>
  <c r="J37" i="152"/>
  <c r="J38" i="152"/>
  <c r="J39" i="152"/>
  <c r="J40" i="152"/>
  <c r="J41" i="152"/>
  <c r="J42" i="152"/>
  <c r="J43" i="152"/>
  <c r="J44" i="152"/>
  <c r="J45" i="152"/>
  <c r="J46" i="152"/>
  <c r="J47" i="152"/>
  <c r="J48" i="152"/>
  <c r="J49" i="152"/>
  <c r="J50" i="152"/>
  <c r="J51" i="152"/>
  <c r="J52" i="152"/>
  <c r="J53" i="152"/>
  <c r="J54" i="152"/>
  <c r="J55" i="152"/>
  <c r="J56" i="152"/>
  <c r="J57" i="152"/>
  <c r="J58" i="152"/>
  <c r="J59" i="152"/>
  <c r="J60" i="152"/>
  <c r="J61" i="152"/>
  <c r="J62" i="152"/>
  <c r="J63" i="152"/>
  <c r="J64" i="152"/>
  <c r="J65" i="152"/>
  <c r="J66" i="152"/>
  <c r="J67" i="152"/>
  <c r="J68" i="152"/>
  <c r="J69" i="152"/>
  <c r="J70" i="152"/>
  <c r="J71" i="152"/>
  <c r="J72" i="152"/>
  <c r="J73" i="152"/>
  <c r="J74" i="152"/>
  <c r="J75" i="152"/>
  <c r="J76" i="152"/>
  <c r="J77" i="152"/>
  <c r="J78" i="152"/>
  <c r="J79" i="152"/>
  <c r="J80" i="152"/>
  <c r="J81" i="152"/>
  <c r="J82" i="152"/>
  <c r="J83" i="152"/>
  <c r="J84" i="152"/>
  <c r="J85" i="152"/>
  <c r="J86" i="152"/>
  <c r="J87" i="152"/>
  <c r="J88" i="152"/>
  <c r="J89" i="152"/>
  <c r="J90" i="152"/>
  <c r="J91" i="152"/>
  <c r="J92" i="152"/>
  <c r="J93" i="152"/>
  <c r="J94" i="152"/>
  <c r="J95" i="152"/>
  <c r="J96" i="152"/>
  <c r="J97" i="152"/>
  <c r="J98" i="152"/>
  <c r="J99" i="152"/>
  <c r="J100" i="152"/>
  <c r="J101" i="152"/>
  <c r="J102" i="152"/>
  <c r="J103" i="152"/>
  <c r="J104" i="152"/>
  <c r="J105" i="152"/>
  <c r="J106" i="152"/>
  <c r="J107" i="152"/>
  <c r="J108" i="152"/>
  <c r="J109" i="152"/>
  <c r="J110" i="152"/>
  <c r="J111" i="152"/>
  <c r="J112" i="152"/>
  <c r="J113" i="152"/>
  <c r="J114" i="152"/>
  <c r="J115" i="152"/>
  <c r="J116" i="152"/>
  <c r="J117" i="152"/>
  <c r="J118" i="152"/>
  <c r="J119" i="152"/>
  <c r="J120" i="152"/>
  <c r="J121" i="152"/>
  <c r="J122" i="152"/>
  <c r="J123" i="152"/>
  <c r="J124" i="152"/>
  <c r="J125" i="152"/>
  <c r="J126" i="152"/>
  <c r="J127" i="152"/>
  <c r="J128" i="152"/>
  <c r="J129" i="152"/>
  <c r="J130" i="152"/>
  <c r="J131" i="152"/>
  <c r="J132" i="152"/>
  <c r="J133" i="152"/>
  <c r="J134" i="152"/>
  <c r="J135" i="152"/>
  <c r="J136" i="152"/>
  <c r="J137" i="152"/>
  <c r="J138" i="152"/>
  <c r="J139" i="152"/>
  <c r="J140" i="152"/>
  <c r="J141" i="152"/>
  <c r="J142" i="152"/>
  <c r="J143" i="152"/>
  <c r="J144" i="152"/>
  <c r="J145" i="152"/>
  <c r="J2" i="152"/>
  <c r="C145" i="152"/>
  <c r="B145" i="152"/>
  <c r="C144" i="152"/>
  <c r="B144" i="152"/>
  <c r="C143" i="152"/>
  <c r="B143" i="152"/>
  <c r="C142" i="152"/>
  <c r="B142" i="152"/>
  <c r="C141" i="152"/>
  <c r="B141" i="152"/>
  <c r="C140" i="152"/>
  <c r="B140" i="152"/>
  <c r="C139" i="152"/>
  <c r="B139" i="152"/>
  <c r="C138" i="152"/>
  <c r="B138" i="152"/>
  <c r="C137" i="152"/>
  <c r="B137" i="152"/>
  <c r="C136" i="152"/>
  <c r="B136" i="152"/>
  <c r="C135" i="152"/>
  <c r="B135" i="152"/>
  <c r="C134" i="152"/>
  <c r="B134" i="152"/>
  <c r="C133" i="152"/>
  <c r="B133" i="152"/>
  <c r="C132" i="152"/>
  <c r="B132" i="152"/>
  <c r="C131" i="152"/>
  <c r="B131" i="152"/>
  <c r="C130" i="152"/>
  <c r="B130" i="152"/>
  <c r="C129" i="152"/>
  <c r="B129" i="152"/>
  <c r="C128" i="152"/>
  <c r="B128" i="152"/>
  <c r="C127" i="152"/>
  <c r="B127" i="152"/>
  <c r="C126" i="152"/>
  <c r="B126" i="152"/>
  <c r="C125" i="152"/>
  <c r="B125" i="152"/>
  <c r="C124" i="152"/>
  <c r="B124" i="152"/>
  <c r="C123" i="152"/>
  <c r="B123" i="152"/>
  <c r="C122" i="152"/>
  <c r="B122" i="152"/>
  <c r="C121" i="152"/>
  <c r="B121" i="152"/>
  <c r="C120" i="152"/>
  <c r="B120" i="152"/>
  <c r="C119" i="152"/>
  <c r="B119" i="152"/>
  <c r="C118" i="152"/>
  <c r="B118" i="152"/>
  <c r="C117" i="152"/>
  <c r="B117" i="152"/>
  <c r="C116" i="152"/>
  <c r="B116" i="152"/>
  <c r="A115" i="152"/>
  <c r="C115" i="152" s="1"/>
  <c r="A114" i="152"/>
  <c r="C114" i="152" s="1"/>
  <c r="A113" i="152"/>
  <c r="A112" i="152"/>
  <c r="B112" i="152" s="1"/>
  <c r="A111" i="152"/>
  <c r="C111" i="152" s="1"/>
  <c r="A110" i="152"/>
  <c r="C110" i="152" s="1"/>
  <c r="A109" i="152"/>
  <c r="C109" i="152" s="1"/>
  <c r="A108" i="152"/>
  <c r="C108" i="152" s="1"/>
  <c r="A107" i="152"/>
  <c r="B107" i="152" s="1"/>
  <c r="A106" i="152"/>
  <c r="C106" i="152" s="1"/>
  <c r="A105" i="152"/>
  <c r="C105" i="152" s="1"/>
  <c r="A104" i="152"/>
  <c r="C104" i="152" s="1"/>
  <c r="A103" i="152"/>
  <c r="C103" i="152" s="1"/>
  <c r="A102" i="152"/>
  <c r="C102" i="152" s="1"/>
  <c r="A101" i="152"/>
  <c r="B101" i="152" s="1"/>
  <c r="A100" i="152"/>
  <c r="C100" i="152" s="1"/>
  <c r="A99" i="152"/>
  <c r="C99" i="152" s="1"/>
  <c r="A98" i="152"/>
  <c r="B98" i="152" s="1"/>
  <c r="A97" i="152"/>
  <c r="B97" i="152" s="1"/>
  <c r="A96" i="152"/>
  <c r="C96" i="152" s="1"/>
  <c r="A95" i="152"/>
  <c r="C95" i="152" s="1"/>
  <c r="A94" i="152"/>
  <c r="C94" i="152" s="1"/>
  <c r="A93" i="152"/>
  <c r="B93" i="152" s="1"/>
  <c r="A92" i="152"/>
  <c r="C92" i="152" s="1"/>
  <c r="A91" i="152"/>
  <c r="C91" i="152" s="1"/>
  <c r="A90" i="152"/>
  <c r="C90" i="152" s="1"/>
  <c r="A89" i="152"/>
  <c r="B89" i="152" s="1"/>
  <c r="A88" i="152"/>
  <c r="C88" i="152" s="1"/>
  <c r="A87" i="152"/>
  <c r="C87" i="152" s="1"/>
  <c r="A86" i="152"/>
  <c r="C86" i="152" s="1"/>
  <c r="A85" i="152"/>
  <c r="B85" i="152" s="1"/>
  <c r="A84" i="152"/>
  <c r="C84" i="152" s="1"/>
  <c r="A83" i="152"/>
  <c r="C83" i="152" s="1"/>
  <c r="A82" i="152"/>
  <c r="B82" i="152" s="1"/>
  <c r="A81" i="152"/>
  <c r="B81" i="152" s="1"/>
  <c r="A80" i="152"/>
  <c r="C80" i="152" s="1"/>
  <c r="A79" i="152"/>
  <c r="C79" i="152" s="1"/>
  <c r="A78" i="152"/>
  <c r="C78" i="152" s="1"/>
  <c r="A77" i="152"/>
  <c r="B77" i="152" s="1"/>
  <c r="A76" i="152"/>
  <c r="B76" i="152" s="1"/>
  <c r="A75" i="152"/>
  <c r="C75" i="152" s="1"/>
  <c r="A74" i="152"/>
  <c r="C74" i="152" s="1"/>
  <c r="A73" i="152"/>
  <c r="B73" i="152" s="1"/>
  <c r="A72" i="152"/>
  <c r="B72" i="152" s="1"/>
  <c r="A71" i="152"/>
  <c r="C71" i="152" s="1"/>
  <c r="A70" i="152"/>
  <c r="C70" i="152" s="1"/>
  <c r="A69" i="152"/>
  <c r="B69" i="152" s="1"/>
  <c r="A68" i="152"/>
  <c r="B68" i="152" s="1"/>
  <c r="A67" i="152"/>
  <c r="C67" i="152" s="1"/>
  <c r="A66" i="152"/>
  <c r="B66" i="152" s="1"/>
  <c r="A65" i="152"/>
  <c r="C65" i="152" s="1"/>
  <c r="A64" i="152"/>
  <c r="B64" i="152" s="1"/>
  <c r="A63" i="152"/>
  <c r="C63" i="152" s="1"/>
  <c r="A62" i="152"/>
  <c r="C62" i="152" s="1"/>
  <c r="A61" i="152"/>
  <c r="B61" i="152" s="1"/>
  <c r="A60" i="152"/>
  <c r="B60" i="152" s="1"/>
  <c r="A59" i="152"/>
  <c r="C59" i="152" s="1"/>
  <c r="A58" i="152"/>
  <c r="C58" i="152" s="1"/>
  <c r="A57" i="152"/>
  <c r="B57" i="152" s="1"/>
  <c r="A56" i="152"/>
  <c r="B56" i="152" s="1"/>
  <c r="A55" i="152"/>
  <c r="C55" i="152" s="1"/>
  <c r="A54" i="152"/>
  <c r="C54" i="152" s="1"/>
  <c r="A53" i="152"/>
  <c r="C53" i="152" s="1"/>
  <c r="C52" i="152"/>
  <c r="A52" i="152"/>
  <c r="B52" i="152" s="1"/>
  <c r="A51" i="152"/>
  <c r="C51" i="152" s="1"/>
  <c r="A50" i="152"/>
  <c r="C50" i="152" s="1"/>
  <c r="A49" i="152"/>
  <c r="B49" i="152" s="1"/>
  <c r="A48" i="152"/>
  <c r="C48" i="152" s="1"/>
  <c r="A47" i="152"/>
  <c r="C47" i="152" s="1"/>
  <c r="A46" i="152"/>
  <c r="C46" i="152" s="1"/>
  <c r="A45" i="152"/>
  <c r="B45" i="152" s="1"/>
  <c r="A44" i="152"/>
  <c r="B44" i="152" s="1"/>
  <c r="A43" i="152"/>
  <c r="C43" i="152" s="1"/>
  <c r="A42" i="152"/>
  <c r="C42" i="152" s="1"/>
  <c r="A41" i="152"/>
  <c r="B41" i="152" s="1"/>
  <c r="A40" i="152"/>
  <c r="A39" i="152"/>
  <c r="C39" i="152" s="1"/>
  <c r="A38" i="152"/>
  <c r="C38" i="152" s="1"/>
  <c r="A37" i="152"/>
  <c r="C37" i="152" s="1"/>
  <c r="A36" i="152"/>
  <c r="C36" i="152" s="1"/>
  <c r="A35" i="152"/>
  <c r="B35" i="152" s="1"/>
  <c r="A34" i="152"/>
  <c r="B34" i="152" s="1"/>
  <c r="A33" i="152"/>
  <c r="C33" i="152" s="1"/>
  <c r="A32" i="152"/>
  <c r="C32" i="152" s="1"/>
  <c r="A31" i="152"/>
  <c r="C31" i="152" s="1"/>
  <c r="A30" i="152"/>
  <c r="B30" i="152" s="1"/>
  <c r="A29" i="152"/>
  <c r="C29" i="152" s="1"/>
  <c r="A28" i="152"/>
  <c r="B28" i="152" s="1"/>
  <c r="A27" i="152"/>
  <c r="C27" i="152" s="1"/>
  <c r="A26" i="152"/>
  <c r="B26" i="152" s="1"/>
  <c r="A25" i="152"/>
  <c r="C25" i="152" s="1"/>
  <c r="A24" i="152"/>
  <c r="C24" i="152" s="1"/>
  <c r="A23" i="152"/>
  <c r="A22" i="152"/>
  <c r="B22" i="152" s="1"/>
  <c r="A21" i="152"/>
  <c r="B21" i="152" s="1"/>
  <c r="A20" i="152"/>
  <c r="C20" i="152" s="1"/>
  <c r="A19" i="152"/>
  <c r="C19" i="152" s="1"/>
  <c r="A18" i="152"/>
  <c r="B18" i="152" s="1"/>
  <c r="A17" i="152"/>
  <c r="B17" i="152" s="1"/>
  <c r="A16" i="152"/>
  <c r="B16" i="152" s="1"/>
  <c r="A15" i="152"/>
  <c r="C15" i="152" s="1"/>
  <c r="A14" i="152"/>
  <c r="A13" i="152"/>
  <c r="B13" i="152" s="1"/>
  <c r="A12" i="152"/>
  <c r="C12" i="152" s="1"/>
  <c r="A11" i="152"/>
  <c r="B11" i="152" s="1"/>
  <c r="A10" i="152"/>
  <c r="B10" i="152" s="1"/>
  <c r="A9" i="152"/>
  <c r="C9" i="152" s="1"/>
  <c r="A8" i="152"/>
  <c r="C8" i="152" s="1"/>
  <c r="A7" i="152"/>
  <c r="C7" i="152" s="1"/>
  <c r="A6" i="152"/>
  <c r="B6" i="152" s="1"/>
  <c r="A5" i="152"/>
  <c r="C5" i="152" s="1"/>
  <c r="A4" i="152"/>
  <c r="C4" i="152" s="1"/>
  <c r="A3" i="152"/>
  <c r="B3" i="152" s="1"/>
  <c r="A2" i="152"/>
  <c r="C2" i="152" s="1"/>
  <c r="M1" i="152"/>
  <c r="K1" i="152"/>
  <c r="A1" i="152"/>
  <c r="L121" i="151"/>
  <c r="J121" i="151"/>
  <c r="A121" i="151"/>
  <c r="C121" i="151" s="1"/>
  <c r="J120" i="151"/>
  <c r="A120" i="151"/>
  <c r="C120" i="151" s="1"/>
  <c r="J119" i="151"/>
  <c r="A119" i="151"/>
  <c r="C119" i="151" s="1"/>
  <c r="J118" i="151"/>
  <c r="A118" i="151"/>
  <c r="B118" i="151" s="1"/>
  <c r="J117" i="151"/>
  <c r="A117" i="151"/>
  <c r="C117" i="151" s="1"/>
  <c r="J116" i="151"/>
  <c r="A116" i="151"/>
  <c r="B116" i="151" s="1"/>
  <c r="J115" i="151"/>
  <c r="L115" i="151"/>
  <c r="A115" i="151"/>
  <c r="C115" i="151" s="1"/>
  <c r="J114" i="151"/>
  <c r="A114" i="151"/>
  <c r="C114" i="151" s="1"/>
  <c r="L113" i="151"/>
  <c r="J113" i="151"/>
  <c r="A113" i="151"/>
  <c r="C113" i="151" s="1"/>
  <c r="J112" i="151"/>
  <c r="A112" i="151"/>
  <c r="C112" i="151" s="1"/>
  <c r="J111" i="151"/>
  <c r="A111" i="151"/>
  <c r="C111" i="151" s="1"/>
  <c r="J110" i="151"/>
  <c r="A110" i="151"/>
  <c r="C110" i="151" s="1"/>
  <c r="L109" i="151"/>
  <c r="J109" i="151"/>
  <c r="A109" i="151"/>
  <c r="C109" i="151" s="1"/>
  <c r="J108" i="151"/>
  <c r="A108" i="151"/>
  <c r="C108" i="151" s="1"/>
  <c r="J107" i="151"/>
  <c r="L107" i="151"/>
  <c r="A107" i="151"/>
  <c r="C107" i="151" s="1"/>
  <c r="J106" i="151"/>
  <c r="A106" i="151"/>
  <c r="C106" i="151" s="1"/>
  <c r="L105" i="151"/>
  <c r="J105" i="151"/>
  <c r="A105" i="151"/>
  <c r="C105" i="151" s="1"/>
  <c r="J104" i="151"/>
  <c r="A104" i="151"/>
  <c r="C104" i="151" s="1"/>
  <c r="J103" i="151"/>
  <c r="L103" i="151"/>
  <c r="A103" i="151"/>
  <c r="C103" i="151" s="1"/>
  <c r="J102" i="151"/>
  <c r="A102" i="151"/>
  <c r="B102" i="151" s="1"/>
  <c r="J101" i="151"/>
  <c r="A101" i="151"/>
  <c r="C101" i="151" s="1"/>
  <c r="J100" i="151"/>
  <c r="A100" i="151"/>
  <c r="C100" i="151" s="1"/>
  <c r="J99" i="151"/>
  <c r="L99" i="151"/>
  <c r="A99" i="151"/>
  <c r="C99" i="151" s="1"/>
  <c r="J98" i="151"/>
  <c r="A98" i="151"/>
  <c r="C98" i="151" s="1"/>
  <c r="L97" i="151"/>
  <c r="J97" i="151"/>
  <c r="A97" i="151"/>
  <c r="C97" i="151" s="1"/>
  <c r="J96" i="151"/>
  <c r="A96" i="151"/>
  <c r="C96" i="151" s="1"/>
  <c r="J95" i="151"/>
  <c r="A95" i="151"/>
  <c r="C95" i="151" s="1"/>
  <c r="J94" i="151"/>
  <c r="L94" i="151"/>
  <c r="A94" i="151"/>
  <c r="C94" i="151" s="1"/>
  <c r="L93" i="151"/>
  <c r="J93" i="151"/>
  <c r="A93" i="151"/>
  <c r="C93" i="151" s="1"/>
  <c r="J92" i="151"/>
  <c r="A92" i="151"/>
  <c r="B92" i="151" s="1"/>
  <c r="J91" i="151"/>
  <c r="L91" i="151"/>
  <c r="A91" i="151"/>
  <c r="C91" i="151" s="1"/>
  <c r="J90" i="151"/>
  <c r="A90" i="151"/>
  <c r="C90" i="151" s="1"/>
  <c r="L89" i="151"/>
  <c r="J89" i="151"/>
  <c r="A89" i="151"/>
  <c r="C89" i="151" s="1"/>
  <c r="J88" i="151"/>
  <c r="A88" i="151"/>
  <c r="B88" i="151" s="1"/>
  <c r="J87" i="151"/>
  <c r="A87" i="151"/>
  <c r="C87" i="151" s="1"/>
  <c r="J86" i="151"/>
  <c r="A86" i="151"/>
  <c r="C86" i="151" s="1"/>
  <c r="J85" i="151"/>
  <c r="A85" i="151"/>
  <c r="C85" i="151" s="1"/>
  <c r="J84" i="151"/>
  <c r="A84" i="151"/>
  <c r="C84" i="151" s="1"/>
  <c r="J83" i="151"/>
  <c r="L83" i="151"/>
  <c r="A83" i="151"/>
  <c r="C83" i="151" s="1"/>
  <c r="J82" i="151"/>
  <c r="A82" i="151"/>
  <c r="C82" i="151" s="1"/>
  <c r="L81" i="151"/>
  <c r="J81" i="151"/>
  <c r="A81" i="151"/>
  <c r="C81" i="151" s="1"/>
  <c r="J80" i="151"/>
  <c r="A80" i="151"/>
  <c r="C80" i="151" s="1"/>
  <c r="J79" i="151"/>
  <c r="A79" i="151"/>
  <c r="C79" i="151" s="1"/>
  <c r="J78" i="151"/>
  <c r="L78" i="151"/>
  <c r="A78" i="151"/>
  <c r="C78" i="151" s="1"/>
  <c r="L77" i="151"/>
  <c r="J77" i="151"/>
  <c r="A77" i="151"/>
  <c r="C77" i="151" s="1"/>
  <c r="J76" i="151"/>
  <c r="A76" i="151"/>
  <c r="C76" i="151" s="1"/>
  <c r="J75" i="151"/>
  <c r="L75" i="151"/>
  <c r="A75" i="151"/>
  <c r="C75" i="151" s="1"/>
  <c r="J74" i="151"/>
  <c r="A74" i="151"/>
  <c r="C74" i="151" s="1"/>
  <c r="L73" i="151"/>
  <c r="J73" i="151"/>
  <c r="A73" i="151"/>
  <c r="C73" i="151" s="1"/>
  <c r="J72" i="151"/>
  <c r="A72" i="151"/>
  <c r="C72" i="151" s="1"/>
  <c r="J71" i="151"/>
  <c r="A71" i="151"/>
  <c r="C71" i="151" s="1"/>
  <c r="J70" i="151"/>
  <c r="A70" i="151"/>
  <c r="C70" i="151" s="1"/>
  <c r="J69" i="151"/>
  <c r="A69" i="151"/>
  <c r="C69" i="151" s="1"/>
  <c r="J68" i="151"/>
  <c r="L68" i="151"/>
  <c r="C68" i="151"/>
  <c r="A68" i="151"/>
  <c r="B68" i="151" s="1"/>
  <c r="J67" i="151"/>
  <c r="L67" i="151"/>
  <c r="A67" i="151"/>
  <c r="C67" i="151" s="1"/>
  <c r="J66" i="151"/>
  <c r="A66" i="151"/>
  <c r="C66" i="151" s="1"/>
  <c r="L65" i="151"/>
  <c r="J65" i="151"/>
  <c r="A65" i="151"/>
  <c r="C65" i="151" s="1"/>
  <c r="L64" i="151"/>
  <c r="J64" i="151"/>
  <c r="A64" i="151"/>
  <c r="C64" i="151" s="1"/>
  <c r="J63" i="151"/>
  <c r="A63" i="151"/>
  <c r="C63" i="151" s="1"/>
  <c r="J62" i="151"/>
  <c r="L62" i="151"/>
  <c r="B62" i="151"/>
  <c r="A62" i="151"/>
  <c r="C62" i="151" s="1"/>
  <c r="L61" i="151"/>
  <c r="J61" i="151"/>
  <c r="A61" i="151"/>
  <c r="C61" i="151" s="1"/>
  <c r="J60" i="151"/>
  <c r="A60" i="151"/>
  <c r="C60" i="151" s="1"/>
  <c r="J59" i="151"/>
  <c r="L59" i="151"/>
  <c r="A59" i="151"/>
  <c r="C59" i="151" s="1"/>
  <c r="J58" i="151"/>
  <c r="A58" i="151"/>
  <c r="C58" i="151" s="1"/>
  <c r="L57" i="151"/>
  <c r="J57" i="151"/>
  <c r="A57" i="151"/>
  <c r="C57" i="151" s="1"/>
  <c r="L56" i="151"/>
  <c r="J56" i="151"/>
  <c r="A56" i="151"/>
  <c r="B56" i="151" s="1"/>
  <c r="J55" i="151"/>
  <c r="A55" i="151"/>
  <c r="C55" i="151" s="1"/>
  <c r="J54" i="151"/>
  <c r="A54" i="151"/>
  <c r="C54" i="151" s="1"/>
  <c r="J53" i="151"/>
  <c r="A53" i="151"/>
  <c r="C53" i="151" s="1"/>
  <c r="J52" i="151"/>
  <c r="A52" i="151"/>
  <c r="B52" i="151" s="1"/>
  <c r="J51" i="151"/>
  <c r="L51" i="151"/>
  <c r="A51" i="151"/>
  <c r="C51" i="151" s="1"/>
  <c r="J50" i="151"/>
  <c r="A50" i="151"/>
  <c r="C50" i="151" s="1"/>
  <c r="L49" i="151"/>
  <c r="J49" i="151"/>
  <c r="A49" i="151"/>
  <c r="C49" i="151" s="1"/>
  <c r="J48" i="151"/>
  <c r="A48" i="151"/>
  <c r="C48" i="151" s="1"/>
  <c r="J47" i="151"/>
  <c r="A47" i="151"/>
  <c r="C47" i="151" s="1"/>
  <c r="J46" i="151"/>
  <c r="L46" i="151"/>
  <c r="A46" i="151"/>
  <c r="B46" i="151" s="1"/>
  <c r="L45" i="151"/>
  <c r="J45" i="151"/>
  <c r="A45" i="151"/>
  <c r="C45" i="151" s="1"/>
  <c r="J44" i="151"/>
  <c r="L44" i="151"/>
  <c r="B44" i="151"/>
  <c r="A44" i="151"/>
  <c r="C44" i="151" s="1"/>
  <c r="J43" i="151"/>
  <c r="L43" i="151"/>
  <c r="A43" i="151"/>
  <c r="C43" i="151" s="1"/>
  <c r="J42" i="151"/>
  <c r="A42" i="151"/>
  <c r="C42" i="151" s="1"/>
  <c r="L41" i="151"/>
  <c r="J41" i="151"/>
  <c r="A41" i="151"/>
  <c r="C41" i="151" s="1"/>
  <c r="J40" i="151"/>
  <c r="A40" i="151"/>
  <c r="B40" i="151" s="1"/>
  <c r="J39" i="151"/>
  <c r="L39" i="151"/>
  <c r="A39" i="151"/>
  <c r="C39" i="151" s="1"/>
  <c r="J38" i="151"/>
  <c r="A38" i="151"/>
  <c r="C38" i="151" s="1"/>
  <c r="J37" i="151"/>
  <c r="A37" i="151"/>
  <c r="C37" i="151" s="1"/>
  <c r="J36" i="151"/>
  <c r="A36" i="151"/>
  <c r="C36" i="151" s="1"/>
  <c r="J35" i="151"/>
  <c r="A35" i="151"/>
  <c r="C35" i="151" s="1"/>
  <c r="J34" i="151"/>
  <c r="A34" i="151"/>
  <c r="C34" i="151" s="1"/>
  <c r="L33" i="151"/>
  <c r="J33" i="151"/>
  <c r="A33" i="151"/>
  <c r="C33" i="151" s="1"/>
  <c r="J32" i="151"/>
  <c r="A32" i="151"/>
  <c r="B32" i="151" s="1"/>
  <c r="J31" i="151"/>
  <c r="A31" i="151"/>
  <c r="C31" i="151" s="1"/>
  <c r="J30" i="151"/>
  <c r="L30" i="151"/>
  <c r="A30" i="151"/>
  <c r="C30" i="151" s="1"/>
  <c r="L29" i="151"/>
  <c r="J29" i="151"/>
  <c r="A29" i="151"/>
  <c r="C29" i="151" s="1"/>
  <c r="J28" i="151"/>
  <c r="L28" i="151"/>
  <c r="A28" i="151"/>
  <c r="B28" i="151" s="1"/>
  <c r="J27" i="151"/>
  <c r="L27" i="151"/>
  <c r="A27" i="151"/>
  <c r="C27" i="151" s="1"/>
  <c r="J26" i="151"/>
  <c r="A26" i="151"/>
  <c r="C26" i="151" s="1"/>
  <c r="L25" i="151"/>
  <c r="J25" i="151"/>
  <c r="A25" i="151"/>
  <c r="C25" i="151" s="1"/>
  <c r="J24" i="151"/>
  <c r="A24" i="151"/>
  <c r="B24" i="151" s="1"/>
  <c r="J23" i="151"/>
  <c r="A23" i="151"/>
  <c r="C23" i="151" s="1"/>
  <c r="J22" i="151"/>
  <c r="A22" i="151"/>
  <c r="C22" i="151" s="1"/>
  <c r="J21" i="151"/>
  <c r="A21" i="151"/>
  <c r="C21" i="151" s="1"/>
  <c r="J20" i="151"/>
  <c r="A20" i="151"/>
  <c r="B20" i="151" s="1"/>
  <c r="J19" i="151"/>
  <c r="L19" i="151"/>
  <c r="A19" i="151"/>
  <c r="C19" i="151" s="1"/>
  <c r="J18" i="151"/>
  <c r="A18" i="151"/>
  <c r="C18" i="151" s="1"/>
  <c r="L17" i="151"/>
  <c r="J17" i="151"/>
  <c r="A17" i="151"/>
  <c r="C17" i="151" s="1"/>
  <c r="L16" i="151"/>
  <c r="J16" i="151"/>
  <c r="A16" i="151"/>
  <c r="C16" i="151" s="1"/>
  <c r="J15" i="151"/>
  <c r="A15" i="151"/>
  <c r="C15" i="151" s="1"/>
  <c r="J14" i="151"/>
  <c r="L14" i="151"/>
  <c r="A14" i="151"/>
  <c r="C14" i="151" s="1"/>
  <c r="L13" i="151"/>
  <c r="J13" i="151"/>
  <c r="A13" i="151"/>
  <c r="C13" i="151" s="1"/>
  <c r="J12" i="151"/>
  <c r="L12" i="151"/>
  <c r="A12" i="151"/>
  <c r="C12" i="151" s="1"/>
  <c r="J11" i="151"/>
  <c r="L11" i="151"/>
  <c r="A11" i="151"/>
  <c r="C11" i="151" s="1"/>
  <c r="J10" i="151"/>
  <c r="A10" i="151"/>
  <c r="C10" i="151" s="1"/>
  <c r="L9" i="151"/>
  <c r="J9" i="151"/>
  <c r="A9" i="151"/>
  <c r="C9" i="151" s="1"/>
  <c r="L8" i="151"/>
  <c r="J8" i="151"/>
  <c r="A8" i="151"/>
  <c r="C8" i="151" s="1"/>
  <c r="J7" i="151"/>
  <c r="L7" i="151"/>
  <c r="A7" i="151"/>
  <c r="C7" i="151" s="1"/>
  <c r="J6" i="151"/>
  <c r="A6" i="151"/>
  <c r="B6" i="151" s="1"/>
  <c r="J5" i="151"/>
  <c r="A5" i="151"/>
  <c r="C5" i="151" s="1"/>
  <c r="J4" i="151"/>
  <c r="A4" i="151"/>
  <c r="B4" i="151" s="1"/>
  <c r="J3" i="151"/>
  <c r="L3" i="151"/>
  <c r="A3" i="151"/>
  <c r="C3" i="151" s="1"/>
  <c r="A2" i="151"/>
  <c r="C2" i="151" s="1"/>
  <c r="K1" i="151"/>
  <c r="M1" i="151"/>
  <c r="L1" i="151"/>
  <c r="A1" i="151"/>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2" i="36"/>
  <c r="G3" i="32"/>
  <c r="N3" i="32" s="1"/>
  <c r="G4" i="32"/>
  <c r="G5"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76" i="32"/>
  <c r="G77"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120" i="32"/>
  <c r="G121" i="32"/>
  <c r="G2" i="32"/>
  <c r="G1" i="32"/>
  <c r="N1" i="32" s="1"/>
  <c r="F1" i="32"/>
  <c r="M1" i="32" s="1"/>
  <c r="G3" i="34"/>
  <c r="H3" i="34"/>
  <c r="G4" i="34"/>
  <c r="H4" i="34"/>
  <c r="O4" i="34" s="1"/>
  <c r="G5" i="34"/>
  <c r="H5" i="34"/>
  <c r="G6" i="34"/>
  <c r="H6" i="34"/>
  <c r="G7" i="34"/>
  <c r="H7" i="34"/>
  <c r="G8" i="34"/>
  <c r="H8" i="34"/>
  <c r="G9" i="34"/>
  <c r="H9" i="34"/>
  <c r="G10" i="34"/>
  <c r="H10" i="34"/>
  <c r="G11" i="34"/>
  <c r="H11" i="34"/>
  <c r="G12" i="34"/>
  <c r="H12" i="34"/>
  <c r="G13" i="34"/>
  <c r="H13" i="34"/>
  <c r="G14" i="34"/>
  <c r="H14" i="34"/>
  <c r="G15" i="34"/>
  <c r="H15" i="34"/>
  <c r="G16" i="34"/>
  <c r="H16" i="34"/>
  <c r="G17" i="34"/>
  <c r="H17" i="34"/>
  <c r="G18" i="34"/>
  <c r="H18" i="34"/>
  <c r="G19" i="34"/>
  <c r="H19" i="34"/>
  <c r="G20" i="34"/>
  <c r="H20" i="34"/>
  <c r="G21" i="34"/>
  <c r="H21" i="34"/>
  <c r="G22" i="34"/>
  <c r="H22" i="34"/>
  <c r="G23" i="34"/>
  <c r="H23" i="34"/>
  <c r="G24" i="34"/>
  <c r="H24" i="34"/>
  <c r="G25" i="34"/>
  <c r="H25" i="34"/>
  <c r="G26" i="34"/>
  <c r="H26" i="34"/>
  <c r="G27" i="34"/>
  <c r="H27" i="34"/>
  <c r="G28" i="34"/>
  <c r="H28" i="34"/>
  <c r="G29" i="34"/>
  <c r="H29" i="34"/>
  <c r="G30" i="34"/>
  <c r="H30" i="34"/>
  <c r="G31" i="34"/>
  <c r="H31" i="34"/>
  <c r="G32" i="34"/>
  <c r="H32" i="34"/>
  <c r="G33" i="34"/>
  <c r="H33" i="34"/>
  <c r="G34" i="34"/>
  <c r="H34" i="34"/>
  <c r="G35" i="34"/>
  <c r="H35" i="34"/>
  <c r="G36" i="34"/>
  <c r="H36" i="34"/>
  <c r="G37" i="34"/>
  <c r="H37" i="34"/>
  <c r="G38" i="34"/>
  <c r="H38" i="34"/>
  <c r="G39" i="34"/>
  <c r="H39" i="34"/>
  <c r="G40" i="34"/>
  <c r="H40" i="34"/>
  <c r="G41" i="34"/>
  <c r="H41" i="34"/>
  <c r="G42" i="34"/>
  <c r="H42" i="34"/>
  <c r="G43" i="34"/>
  <c r="H43" i="34"/>
  <c r="G44" i="34"/>
  <c r="H44" i="34"/>
  <c r="G45" i="34"/>
  <c r="H45" i="34"/>
  <c r="G46" i="34"/>
  <c r="H46" i="34"/>
  <c r="G47" i="34"/>
  <c r="H47" i="34"/>
  <c r="G48" i="34"/>
  <c r="H48" i="34"/>
  <c r="G49" i="34"/>
  <c r="H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H2" i="34"/>
  <c r="O2" i="34" s="1"/>
  <c r="G2" i="34"/>
  <c r="E1" i="34"/>
  <c r="I1" i="34"/>
  <c r="H1" i="34"/>
  <c r="G1" i="34"/>
  <c r="H3" i="30"/>
  <c r="H4" i="30"/>
  <c r="H5" i="30"/>
  <c r="H6" i="30"/>
  <c r="H7" i="30"/>
  <c r="H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H37" i="30"/>
  <c r="H38" i="30"/>
  <c r="H39" i="30"/>
  <c r="H40" i="30"/>
  <c r="H41" i="30"/>
  <c r="H42" i="30"/>
  <c r="H43" i="30"/>
  <c r="H44" i="30"/>
  <c r="H45" i="30"/>
  <c r="H46" i="30"/>
  <c r="H47" i="30"/>
  <c r="H48" i="30"/>
  <c r="H49" i="30"/>
  <c r="H2" i="30"/>
  <c r="H1" i="30"/>
  <c r="I1" i="30"/>
  <c r="G4" i="30"/>
  <c r="G5" i="30"/>
  <c r="G6" i="30"/>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7" i="30"/>
  <c r="G58" i="30"/>
  <c r="G59" i="30"/>
  <c r="G60" i="30"/>
  <c r="G61" i="30"/>
  <c r="G62" i="30"/>
  <c r="G63" i="30"/>
  <c r="G64" i="30"/>
  <c r="G65" i="30"/>
  <c r="G66" i="30"/>
  <c r="G67" i="30"/>
  <c r="G68" i="30"/>
  <c r="G69" i="30"/>
  <c r="G70" i="30"/>
  <c r="G71" i="30"/>
  <c r="G72" i="30"/>
  <c r="G73" i="30"/>
  <c r="G74" i="30"/>
  <c r="G75" i="30"/>
  <c r="G76" i="30"/>
  <c r="G77" i="30"/>
  <c r="G78" i="30"/>
  <c r="G79" i="30"/>
  <c r="G80" i="30"/>
  <c r="G81" i="30"/>
  <c r="G82" i="30"/>
  <c r="G83" i="30"/>
  <c r="G84" i="30"/>
  <c r="G85" i="30"/>
  <c r="G86" i="30"/>
  <c r="G87" i="30"/>
  <c r="G88" i="30"/>
  <c r="G89" i="30"/>
  <c r="G90" i="30"/>
  <c r="G91" i="30"/>
  <c r="G92" i="30"/>
  <c r="G93" i="30"/>
  <c r="G94" i="30"/>
  <c r="G95" i="30"/>
  <c r="G96" i="30"/>
  <c r="G97" i="30"/>
  <c r="G98" i="30"/>
  <c r="G99" i="30"/>
  <c r="G100" i="30"/>
  <c r="G101" i="30"/>
  <c r="G102" i="30"/>
  <c r="G103" i="30"/>
  <c r="G104" i="30"/>
  <c r="G105" i="30"/>
  <c r="G106" i="30"/>
  <c r="G107" i="30"/>
  <c r="G108" i="30"/>
  <c r="G109" i="30"/>
  <c r="G110" i="30"/>
  <c r="G111" i="30"/>
  <c r="G112" i="30"/>
  <c r="G113" i="30"/>
  <c r="G114" i="30"/>
  <c r="G115" i="30"/>
  <c r="G116" i="30"/>
  <c r="G117" i="30"/>
  <c r="G118" i="30"/>
  <c r="G119" i="30"/>
  <c r="G120" i="30"/>
  <c r="G121" i="30"/>
  <c r="G2" i="30"/>
  <c r="G3" i="30"/>
  <c r="G1" i="30"/>
  <c r="E1" i="30"/>
  <c r="K2" i="75"/>
  <c r="K1" i="75"/>
  <c r="J1" i="75"/>
  <c r="I1" i="75" s="1"/>
  <c r="H1" i="75"/>
  <c r="H2" i="38"/>
  <c r="H1" i="38"/>
  <c r="G1" i="38"/>
  <c r="F1" i="38"/>
  <c r="H2" i="28"/>
  <c r="H1" i="28"/>
  <c r="N1" i="28" s="1"/>
  <c r="G1" i="28"/>
  <c r="F1" i="28"/>
  <c r="DS1" i="4"/>
  <c r="DX46" i="4"/>
  <c r="DY3" i="4"/>
  <c r="DY4" i="4"/>
  <c r="DY5" i="4"/>
  <c r="DY6" i="4"/>
  <c r="DY7" i="4"/>
  <c r="DY8" i="4"/>
  <c r="DY9" i="4"/>
  <c r="DY10" i="4"/>
  <c r="DY11" i="4"/>
  <c r="DY12" i="4"/>
  <c r="DY13" i="4"/>
  <c r="DY14" i="4"/>
  <c r="DY15" i="4"/>
  <c r="DY16" i="4"/>
  <c r="DY17" i="4"/>
  <c r="DY18" i="4"/>
  <c r="DY19" i="4"/>
  <c r="DY20" i="4"/>
  <c r="DY21" i="4"/>
  <c r="DY22" i="4"/>
  <c r="DY23" i="4"/>
  <c r="DY24" i="4"/>
  <c r="DY25" i="4"/>
  <c r="DY26" i="4"/>
  <c r="DY27" i="4"/>
  <c r="DY28" i="4"/>
  <c r="DY29" i="4"/>
  <c r="DY30" i="4"/>
  <c r="DY31" i="4"/>
  <c r="DY32" i="4"/>
  <c r="DY33" i="4"/>
  <c r="DY34" i="4"/>
  <c r="DY35" i="4"/>
  <c r="DY36" i="4"/>
  <c r="DY37" i="4"/>
  <c r="DY38" i="4"/>
  <c r="DY39" i="4"/>
  <c r="DY40" i="4"/>
  <c r="DY41" i="4"/>
  <c r="DY42" i="4"/>
  <c r="DY43" i="4"/>
  <c r="DY44" i="4"/>
  <c r="DY45" i="4"/>
  <c r="DY46" i="4"/>
  <c r="DY47" i="4"/>
  <c r="DY48" i="4"/>
  <c r="DY49" i="4"/>
  <c r="DY50" i="4"/>
  <c r="DY51" i="4"/>
  <c r="DY52" i="4"/>
  <c r="DY53" i="4"/>
  <c r="DY54" i="4"/>
  <c r="DY55" i="4"/>
  <c r="DY56" i="4"/>
  <c r="DY57" i="4"/>
  <c r="DY58" i="4"/>
  <c r="DY59" i="4"/>
  <c r="DY60" i="4"/>
  <c r="DY61" i="4"/>
  <c r="DY62" i="4"/>
  <c r="DY63" i="4"/>
  <c r="DY64" i="4"/>
  <c r="DY65" i="4"/>
  <c r="DY66" i="4"/>
  <c r="DY67" i="4"/>
  <c r="DY68" i="4"/>
  <c r="DY69" i="4"/>
  <c r="DY70" i="4"/>
  <c r="DY71" i="4"/>
  <c r="DY72" i="4"/>
  <c r="DY73" i="4"/>
  <c r="DY74" i="4"/>
  <c r="DY75" i="4"/>
  <c r="DY76" i="4"/>
  <c r="DY77" i="4"/>
  <c r="DY78" i="4"/>
  <c r="DY79" i="4"/>
  <c r="DY80" i="4"/>
  <c r="DY81" i="4"/>
  <c r="DY82" i="4"/>
  <c r="DY83" i="4"/>
  <c r="DY84" i="4"/>
  <c r="DY85" i="4"/>
  <c r="DY86" i="4"/>
  <c r="DY87" i="4"/>
  <c r="DY88" i="4"/>
  <c r="DY89" i="4"/>
  <c r="DY90" i="4"/>
  <c r="DY91" i="4"/>
  <c r="DY92" i="4"/>
  <c r="DY93" i="4"/>
  <c r="DY94" i="4"/>
  <c r="DY95" i="4"/>
  <c r="DY96" i="4"/>
  <c r="DY97" i="4"/>
  <c r="DY98" i="4"/>
  <c r="DY99" i="4"/>
  <c r="DY100" i="4"/>
  <c r="DY101" i="4"/>
  <c r="DY102" i="4"/>
  <c r="DY103" i="4"/>
  <c r="DY104" i="4"/>
  <c r="DY105" i="4"/>
  <c r="DY106" i="4"/>
  <c r="DY107" i="4"/>
  <c r="DY108" i="4"/>
  <c r="DY109" i="4"/>
  <c r="DY110" i="4"/>
  <c r="DY111" i="4"/>
  <c r="DY112" i="4"/>
  <c r="DY113" i="4"/>
  <c r="DY114" i="4"/>
  <c r="DY115" i="4"/>
  <c r="DY116" i="4"/>
  <c r="DY117" i="4"/>
  <c r="DY118" i="4"/>
  <c r="DY119" i="4"/>
  <c r="DY120" i="4"/>
  <c r="DY121" i="4"/>
  <c r="DY2" i="4"/>
  <c r="DX2" i="4"/>
  <c r="DX3" i="4"/>
  <c r="DX4" i="4"/>
  <c r="DX5" i="4"/>
  <c r="DX6" i="4"/>
  <c r="DX7" i="4"/>
  <c r="DX8" i="4"/>
  <c r="DX9" i="4"/>
  <c r="DX10" i="4"/>
  <c r="DX11" i="4"/>
  <c r="DX12" i="4"/>
  <c r="DX13" i="4"/>
  <c r="DX14" i="4"/>
  <c r="DX15" i="4"/>
  <c r="DX16" i="4"/>
  <c r="DX17" i="4"/>
  <c r="DX18" i="4"/>
  <c r="DX19" i="4"/>
  <c r="DX20" i="4"/>
  <c r="DX21" i="4"/>
  <c r="DX22" i="4"/>
  <c r="DX23" i="4"/>
  <c r="DX24" i="4"/>
  <c r="DX25" i="4"/>
  <c r="DX26" i="4"/>
  <c r="DX27" i="4"/>
  <c r="DX28" i="4"/>
  <c r="DX29" i="4"/>
  <c r="DX30" i="4"/>
  <c r="DX31" i="4"/>
  <c r="DX32" i="4"/>
  <c r="DX33" i="4"/>
  <c r="DX34" i="4"/>
  <c r="DX35" i="4"/>
  <c r="DX36" i="4"/>
  <c r="DX37" i="4"/>
  <c r="DX38" i="4"/>
  <c r="DX39" i="4"/>
  <c r="DX40" i="4"/>
  <c r="DX41" i="4"/>
  <c r="DX42" i="4"/>
  <c r="DX43" i="4"/>
  <c r="DX44" i="4"/>
  <c r="DX45" i="4"/>
  <c r="DX47" i="4"/>
  <c r="DX48" i="4"/>
  <c r="DX49" i="4"/>
  <c r="DX50" i="4"/>
  <c r="DX51" i="4"/>
  <c r="DX52" i="4"/>
  <c r="DX53" i="4"/>
  <c r="DX54" i="4"/>
  <c r="DX55" i="4"/>
  <c r="DX56" i="4"/>
  <c r="DX57" i="4"/>
  <c r="DX58" i="4"/>
  <c r="DX59" i="4"/>
  <c r="DX60" i="4"/>
  <c r="DX61" i="4"/>
  <c r="DX62" i="4"/>
  <c r="DX63" i="4"/>
  <c r="DX64" i="4"/>
  <c r="DX65" i="4"/>
  <c r="DX66" i="4"/>
  <c r="DX67" i="4"/>
  <c r="DX68" i="4"/>
  <c r="DX69" i="4"/>
  <c r="DX70" i="4"/>
  <c r="DX71" i="4"/>
  <c r="DX72" i="4"/>
  <c r="DX73" i="4"/>
  <c r="DX74" i="4"/>
  <c r="DX75" i="4"/>
  <c r="DX76" i="4"/>
  <c r="DX77" i="4"/>
  <c r="DX78" i="4"/>
  <c r="DX79" i="4"/>
  <c r="DX80" i="4"/>
  <c r="DX81" i="4"/>
  <c r="DX82" i="4"/>
  <c r="DX83" i="4"/>
  <c r="DX84" i="4"/>
  <c r="DX85" i="4"/>
  <c r="DX86" i="4"/>
  <c r="DX87" i="4"/>
  <c r="DX88" i="4"/>
  <c r="DX89" i="4"/>
  <c r="DX90" i="4"/>
  <c r="DX91" i="4"/>
  <c r="DX92" i="4"/>
  <c r="DX93" i="4"/>
  <c r="DX94" i="4"/>
  <c r="DX95" i="4"/>
  <c r="DX96" i="4"/>
  <c r="DX97" i="4"/>
  <c r="DX98" i="4"/>
  <c r="DX99" i="4"/>
  <c r="DX100" i="4"/>
  <c r="DX101" i="4"/>
  <c r="DX102" i="4"/>
  <c r="DX103" i="4"/>
  <c r="DX104" i="4"/>
  <c r="DX105" i="4"/>
  <c r="DX106" i="4"/>
  <c r="DX107" i="4"/>
  <c r="DX108" i="4"/>
  <c r="DX109" i="4"/>
  <c r="DX110" i="4"/>
  <c r="DX111" i="4"/>
  <c r="DX112" i="4"/>
  <c r="DX113" i="4"/>
  <c r="DX114" i="4"/>
  <c r="DX115" i="4"/>
  <c r="DX116" i="4"/>
  <c r="DX117" i="4"/>
  <c r="DX118" i="4"/>
  <c r="DX119" i="4"/>
  <c r="DX120" i="4"/>
  <c r="DX121" i="4"/>
  <c r="DW2" i="4"/>
  <c r="DW3" i="4"/>
  <c r="DW4" i="4"/>
  <c r="DW5" i="4"/>
  <c r="DW6" i="4"/>
  <c r="DW7" i="4"/>
  <c r="DW8" i="4"/>
  <c r="DW9" i="4"/>
  <c r="DW10" i="4"/>
  <c r="DW11" i="4"/>
  <c r="DW12" i="4"/>
  <c r="DW13" i="4"/>
  <c r="DW14" i="4"/>
  <c r="DW15" i="4"/>
  <c r="DW16" i="4"/>
  <c r="DW17" i="4"/>
  <c r="DW18" i="4"/>
  <c r="DW19" i="4"/>
  <c r="DW20" i="4"/>
  <c r="DW21" i="4"/>
  <c r="DW22" i="4"/>
  <c r="DW23" i="4"/>
  <c r="DW24" i="4"/>
  <c r="DW25" i="4"/>
  <c r="DW26" i="4"/>
  <c r="DW27" i="4"/>
  <c r="DW28" i="4"/>
  <c r="DW29" i="4"/>
  <c r="DW30" i="4"/>
  <c r="DW31" i="4"/>
  <c r="DW32" i="4"/>
  <c r="DW33" i="4"/>
  <c r="DW34" i="4"/>
  <c r="DW35" i="4"/>
  <c r="DW36" i="4"/>
  <c r="DW37" i="4"/>
  <c r="DW38" i="4"/>
  <c r="DW39" i="4"/>
  <c r="DW40" i="4"/>
  <c r="DW41" i="4"/>
  <c r="DW42" i="4"/>
  <c r="DW43" i="4"/>
  <c r="DW44" i="4"/>
  <c r="DW45" i="4"/>
  <c r="DW46" i="4"/>
  <c r="DW47" i="4"/>
  <c r="DW48" i="4"/>
  <c r="DW49" i="4"/>
  <c r="DW50" i="4"/>
  <c r="DW51" i="4"/>
  <c r="DW52" i="4"/>
  <c r="DW53" i="4"/>
  <c r="DW54" i="4"/>
  <c r="DW55" i="4"/>
  <c r="DW56" i="4"/>
  <c r="DW57" i="4"/>
  <c r="DW58" i="4"/>
  <c r="DW59" i="4"/>
  <c r="DW60" i="4"/>
  <c r="DW61" i="4"/>
  <c r="DW62" i="4"/>
  <c r="DW63" i="4"/>
  <c r="DW64" i="4"/>
  <c r="DW65" i="4"/>
  <c r="DW66" i="4"/>
  <c r="DW67" i="4"/>
  <c r="DW68" i="4"/>
  <c r="DW69" i="4"/>
  <c r="DW70" i="4"/>
  <c r="DW71" i="4"/>
  <c r="DW72" i="4"/>
  <c r="DW73" i="4"/>
  <c r="DW74" i="4"/>
  <c r="DW75" i="4"/>
  <c r="DW76" i="4"/>
  <c r="DW77" i="4"/>
  <c r="DW78" i="4"/>
  <c r="DW79" i="4"/>
  <c r="DW80" i="4"/>
  <c r="DW81" i="4"/>
  <c r="DW82" i="4"/>
  <c r="DW83" i="4"/>
  <c r="DW84" i="4"/>
  <c r="DW85" i="4"/>
  <c r="DW86" i="4"/>
  <c r="DW87" i="4"/>
  <c r="DW88" i="4"/>
  <c r="DW89" i="4"/>
  <c r="DW90" i="4"/>
  <c r="DW91" i="4"/>
  <c r="DW92" i="4"/>
  <c r="DW93" i="4"/>
  <c r="DW94" i="4"/>
  <c r="DW95" i="4"/>
  <c r="DW96" i="4"/>
  <c r="DW97" i="4"/>
  <c r="DW98" i="4"/>
  <c r="DW99" i="4"/>
  <c r="DW100" i="4"/>
  <c r="DW101" i="4"/>
  <c r="DW102" i="4"/>
  <c r="DW103" i="4"/>
  <c r="DW104" i="4"/>
  <c r="DW105" i="4"/>
  <c r="DW106" i="4"/>
  <c r="DW107" i="4"/>
  <c r="DW108" i="4"/>
  <c r="DW109" i="4"/>
  <c r="DW110" i="4"/>
  <c r="DW111" i="4"/>
  <c r="DW112" i="4"/>
  <c r="DW113" i="4"/>
  <c r="DW114" i="4"/>
  <c r="DW115" i="4"/>
  <c r="DW116" i="4"/>
  <c r="DW117" i="4"/>
  <c r="DW118" i="4"/>
  <c r="DW119" i="4"/>
  <c r="DW120" i="4"/>
  <c r="DW121" i="4"/>
  <c r="DV3" i="4"/>
  <c r="DV4" i="4"/>
  <c r="DV5" i="4"/>
  <c r="DV6" i="4"/>
  <c r="DV7" i="4"/>
  <c r="DV8" i="4"/>
  <c r="DV9" i="4"/>
  <c r="DV10" i="4"/>
  <c r="DV11" i="4"/>
  <c r="DV12" i="4"/>
  <c r="DV13" i="4"/>
  <c r="DV14" i="4"/>
  <c r="DV15" i="4"/>
  <c r="DV16" i="4"/>
  <c r="DV17" i="4"/>
  <c r="DV18" i="4"/>
  <c r="DV19" i="4"/>
  <c r="DV20" i="4"/>
  <c r="DV21" i="4"/>
  <c r="DV22" i="4"/>
  <c r="DV23" i="4"/>
  <c r="DV24" i="4"/>
  <c r="DV25" i="4"/>
  <c r="DV26" i="4"/>
  <c r="DV27" i="4"/>
  <c r="DV28" i="4"/>
  <c r="DV29" i="4"/>
  <c r="DV30" i="4"/>
  <c r="DV31" i="4"/>
  <c r="DV32" i="4"/>
  <c r="DV33" i="4"/>
  <c r="DV34" i="4"/>
  <c r="DV35" i="4"/>
  <c r="DV36" i="4"/>
  <c r="DV37" i="4"/>
  <c r="DV38" i="4"/>
  <c r="DV39" i="4"/>
  <c r="DV40" i="4"/>
  <c r="DV41" i="4"/>
  <c r="DV42" i="4"/>
  <c r="DV43" i="4"/>
  <c r="DV44" i="4"/>
  <c r="DV45" i="4"/>
  <c r="DV46" i="4"/>
  <c r="DV47" i="4"/>
  <c r="DV48" i="4"/>
  <c r="DV49" i="4"/>
  <c r="DV50" i="4"/>
  <c r="DV51" i="4"/>
  <c r="DV52" i="4"/>
  <c r="DV53" i="4"/>
  <c r="DV54" i="4"/>
  <c r="DV55" i="4"/>
  <c r="DV56" i="4"/>
  <c r="DV57" i="4"/>
  <c r="DV58" i="4"/>
  <c r="DV59" i="4"/>
  <c r="DV60" i="4"/>
  <c r="DV61" i="4"/>
  <c r="DV62" i="4"/>
  <c r="DV63" i="4"/>
  <c r="DV64" i="4"/>
  <c r="DV65" i="4"/>
  <c r="DV66" i="4"/>
  <c r="DV67" i="4"/>
  <c r="DV68" i="4"/>
  <c r="DV69" i="4"/>
  <c r="DV70" i="4"/>
  <c r="DV71" i="4"/>
  <c r="DV72" i="4"/>
  <c r="DV73" i="4"/>
  <c r="DV74" i="4"/>
  <c r="DV75" i="4"/>
  <c r="DV76" i="4"/>
  <c r="DV77" i="4"/>
  <c r="DV78" i="4"/>
  <c r="DV79" i="4"/>
  <c r="DV80" i="4"/>
  <c r="DV81" i="4"/>
  <c r="DV82" i="4"/>
  <c r="DV83" i="4"/>
  <c r="DV84" i="4"/>
  <c r="DV85" i="4"/>
  <c r="DV86" i="4"/>
  <c r="DV87" i="4"/>
  <c r="DV88" i="4"/>
  <c r="DV89" i="4"/>
  <c r="DV90" i="4"/>
  <c r="DV91" i="4"/>
  <c r="DV92" i="4"/>
  <c r="DV93" i="4"/>
  <c r="DV94" i="4"/>
  <c r="DV95" i="4"/>
  <c r="DV96" i="4"/>
  <c r="DV97" i="4"/>
  <c r="DV98" i="4"/>
  <c r="DV99" i="4"/>
  <c r="DV100" i="4"/>
  <c r="DV101" i="4"/>
  <c r="DV102" i="4"/>
  <c r="DV103" i="4"/>
  <c r="DV104" i="4"/>
  <c r="DV105" i="4"/>
  <c r="DV106" i="4"/>
  <c r="DV107" i="4"/>
  <c r="DV108" i="4"/>
  <c r="DV109" i="4"/>
  <c r="DV110" i="4"/>
  <c r="DV111" i="4"/>
  <c r="DV112" i="4"/>
  <c r="DV113" i="4"/>
  <c r="DV114" i="4"/>
  <c r="DV115" i="4"/>
  <c r="DV116" i="4"/>
  <c r="DV117" i="4"/>
  <c r="DV118" i="4"/>
  <c r="DV119" i="4"/>
  <c r="DV120" i="4"/>
  <c r="DV121" i="4"/>
  <c r="DV2" i="4"/>
  <c r="DU3" i="4"/>
  <c r="DU4" i="4"/>
  <c r="DU5" i="4"/>
  <c r="DU6" i="4"/>
  <c r="DU7" i="4"/>
  <c r="DU8" i="4"/>
  <c r="DU9" i="4"/>
  <c r="DU10" i="4"/>
  <c r="DU11" i="4"/>
  <c r="DU12" i="4"/>
  <c r="DU13" i="4"/>
  <c r="DU14" i="4"/>
  <c r="DU15" i="4"/>
  <c r="DU16" i="4"/>
  <c r="DU17" i="4"/>
  <c r="DU18" i="4"/>
  <c r="DU19" i="4"/>
  <c r="DU20" i="4"/>
  <c r="DU21" i="4"/>
  <c r="DU22" i="4"/>
  <c r="DU23" i="4"/>
  <c r="DU24" i="4"/>
  <c r="DU25" i="4"/>
  <c r="DU26" i="4"/>
  <c r="DU27" i="4"/>
  <c r="DU28" i="4"/>
  <c r="DU29" i="4"/>
  <c r="DU30" i="4"/>
  <c r="DU31" i="4"/>
  <c r="DU32" i="4"/>
  <c r="DU33" i="4"/>
  <c r="DU34" i="4"/>
  <c r="DU35" i="4"/>
  <c r="DU36" i="4"/>
  <c r="DU37" i="4"/>
  <c r="DU38" i="4"/>
  <c r="DU39" i="4"/>
  <c r="DU40" i="4"/>
  <c r="DU41" i="4"/>
  <c r="DU42" i="4"/>
  <c r="DU43" i="4"/>
  <c r="DU44" i="4"/>
  <c r="DU45" i="4"/>
  <c r="DU46" i="4"/>
  <c r="DU47" i="4"/>
  <c r="DU48" i="4"/>
  <c r="DU49" i="4"/>
  <c r="DU50" i="4"/>
  <c r="DU51" i="4"/>
  <c r="DU52" i="4"/>
  <c r="DU53" i="4"/>
  <c r="DU54" i="4"/>
  <c r="DU55" i="4"/>
  <c r="DU56" i="4"/>
  <c r="DU57" i="4"/>
  <c r="DU58" i="4"/>
  <c r="DU59" i="4"/>
  <c r="DU60" i="4"/>
  <c r="DU61" i="4"/>
  <c r="DU62" i="4"/>
  <c r="DU63" i="4"/>
  <c r="DU64" i="4"/>
  <c r="DU65" i="4"/>
  <c r="DU66" i="4"/>
  <c r="DU67" i="4"/>
  <c r="DU68" i="4"/>
  <c r="DU69" i="4"/>
  <c r="DU70" i="4"/>
  <c r="DU71" i="4"/>
  <c r="DU72" i="4"/>
  <c r="DU73" i="4"/>
  <c r="DU74" i="4"/>
  <c r="DU75" i="4"/>
  <c r="DU76" i="4"/>
  <c r="DU77" i="4"/>
  <c r="DU78" i="4"/>
  <c r="DU79" i="4"/>
  <c r="DU80" i="4"/>
  <c r="DU81" i="4"/>
  <c r="DU82" i="4"/>
  <c r="DU83" i="4"/>
  <c r="DU84" i="4"/>
  <c r="DU85" i="4"/>
  <c r="DU86" i="4"/>
  <c r="DU87" i="4"/>
  <c r="DU88" i="4"/>
  <c r="DU89" i="4"/>
  <c r="DU90" i="4"/>
  <c r="DU91" i="4"/>
  <c r="DU92" i="4"/>
  <c r="DU93" i="4"/>
  <c r="DU94" i="4"/>
  <c r="DU95" i="4"/>
  <c r="DU96" i="4"/>
  <c r="DU97" i="4"/>
  <c r="DU98" i="4"/>
  <c r="DU99" i="4"/>
  <c r="DU100" i="4"/>
  <c r="DU101" i="4"/>
  <c r="DU102" i="4"/>
  <c r="DU103" i="4"/>
  <c r="DU104" i="4"/>
  <c r="DU105" i="4"/>
  <c r="DU106" i="4"/>
  <c r="DU107" i="4"/>
  <c r="DU108" i="4"/>
  <c r="DU109" i="4"/>
  <c r="DU110" i="4"/>
  <c r="DU111" i="4"/>
  <c r="DU112" i="4"/>
  <c r="DU113" i="4"/>
  <c r="DU114" i="4"/>
  <c r="DU115" i="4"/>
  <c r="DU116" i="4"/>
  <c r="DU117" i="4"/>
  <c r="DU118" i="4"/>
  <c r="DU119" i="4"/>
  <c r="DU120" i="4"/>
  <c r="DU121" i="4"/>
  <c r="DU2" i="4"/>
  <c r="C62" i="154" l="1"/>
  <c r="C66" i="152"/>
  <c r="B48" i="151"/>
  <c r="C92" i="151"/>
  <c r="C38" i="154"/>
  <c r="C64" i="154"/>
  <c r="C96" i="153"/>
  <c r="C32" i="151"/>
  <c r="C60" i="153"/>
  <c r="B69" i="154"/>
  <c r="B76" i="151"/>
  <c r="C84" i="153"/>
  <c r="C49" i="152"/>
  <c r="B94" i="152"/>
  <c r="O24" i="23"/>
  <c r="O28" i="23"/>
  <c r="O27" i="23"/>
  <c r="O22" i="23"/>
  <c r="AT52" i="17"/>
  <c r="AI54" i="17"/>
  <c r="C23" i="152"/>
  <c r="B23" i="152"/>
  <c r="C40" i="152"/>
  <c r="B40" i="152"/>
  <c r="C113" i="152"/>
  <c r="B113" i="152"/>
  <c r="B14" i="152"/>
  <c r="C14" i="152"/>
  <c r="C35" i="154"/>
  <c r="B35" i="154"/>
  <c r="C95" i="154"/>
  <c r="C77" i="152"/>
  <c r="B60" i="151"/>
  <c r="B112" i="153"/>
  <c r="B44" i="154"/>
  <c r="C18" i="152"/>
  <c r="C98" i="152"/>
  <c r="B45" i="154"/>
  <c r="B84" i="154"/>
  <c r="B8" i="151"/>
  <c r="B100" i="154"/>
  <c r="C108" i="154"/>
  <c r="C4" i="151"/>
  <c r="B78" i="151"/>
  <c r="B54" i="152"/>
  <c r="C64" i="152"/>
  <c r="B109" i="152"/>
  <c r="C120" i="153"/>
  <c r="B38" i="152"/>
  <c r="C118" i="151"/>
  <c r="C15" i="154"/>
  <c r="C102" i="154"/>
  <c r="BK7" i="17"/>
  <c r="O32" i="23"/>
  <c r="O26" i="23"/>
  <c r="P27" i="23" s="1"/>
  <c r="O23" i="23"/>
  <c r="AT7" i="17"/>
  <c r="AT8" i="17" s="1"/>
  <c r="AT9" i="17" s="1"/>
  <c r="AT10" i="17" s="1"/>
  <c r="AT11" i="17" s="1"/>
  <c r="AT12" i="17" s="1"/>
  <c r="AT13" i="17" s="1"/>
  <c r="AT14" i="17" s="1"/>
  <c r="AT15" i="17" s="1"/>
  <c r="AT16" i="17" s="1"/>
  <c r="O33" i="23"/>
  <c r="P34" i="23" s="1"/>
  <c r="O25" i="23"/>
  <c r="O31" i="23"/>
  <c r="O30" i="23"/>
  <c r="O29" i="23"/>
  <c r="P29" i="23" s="1"/>
  <c r="B47" i="25"/>
  <c r="B30" i="25"/>
  <c r="B39" i="25" s="1"/>
  <c r="B51" i="25"/>
  <c r="B63" i="25" s="1"/>
  <c r="B11" i="160" s="1"/>
  <c r="B49" i="25"/>
  <c r="B61" i="25" s="1"/>
  <c r="B9" i="160" s="1"/>
  <c r="B48" i="25"/>
  <c r="B60" i="25" s="1"/>
  <c r="B8" i="160" s="1"/>
  <c r="AJ8" i="24"/>
  <c r="S8" i="24"/>
  <c r="J9" i="24"/>
  <c r="P28" i="23"/>
  <c r="Z14" i="23"/>
  <c r="Z17" i="23"/>
  <c r="R14" i="23"/>
  <c r="R17" i="23"/>
  <c r="N14" i="23"/>
  <c r="N17" i="23"/>
  <c r="B24" i="154"/>
  <c r="C103" i="154"/>
  <c r="C31" i="154"/>
  <c r="C25" i="154"/>
  <c r="B49" i="154"/>
  <c r="B81" i="154"/>
  <c r="C92" i="154"/>
  <c r="B32" i="154"/>
  <c r="B73" i="154"/>
  <c r="B85" i="154"/>
  <c r="C67" i="154"/>
  <c r="C80" i="154"/>
  <c r="C86" i="154"/>
  <c r="B105" i="154"/>
  <c r="B93" i="154"/>
  <c r="B47" i="154"/>
  <c r="B97" i="154"/>
  <c r="B43" i="154"/>
  <c r="C27" i="154"/>
  <c r="C58" i="154"/>
  <c r="B77" i="154"/>
  <c r="B83" i="154"/>
  <c r="B88" i="154"/>
  <c r="B36" i="154"/>
  <c r="B61" i="154"/>
  <c r="C34" i="154"/>
  <c r="B52" i="154"/>
  <c r="B37" i="154"/>
  <c r="C42" i="154"/>
  <c r="B57" i="154"/>
  <c r="B113" i="154"/>
  <c r="B3" i="154"/>
  <c r="B63" i="154"/>
  <c r="C22" i="154"/>
  <c r="C114" i="154"/>
  <c r="B48" i="154"/>
  <c r="B68" i="154"/>
  <c r="B104" i="154"/>
  <c r="B109" i="154"/>
  <c r="C29" i="154"/>
  <c r="C39" i="154"/>
  <c r="C115" i="154"/>
  <c r="B89" i="154"/>
  <c r="B111" i="154"/>
  <c r="C19" i="154"/>
  <c r="B65" i="154"/>
  <c r="B75" i="154"/>
  <c r="C90" i="154"/>
  <c r="B101" i="154"/>
  <c r="B96" i="154"/>
  <c r="C106" i="154"/>
  <c r="B7" i="154"/>
  <c r="B56" i="154"/>
  <c r="B112" i="154"/>
  <c r="B20" i="154"/>
  <c r="B41" i="154"/>
  <c r="B51" i="154"/>
  <c r="C66" i="154"/>
  <c r="B71" i="154"/>
  <c r="B76" i="154"/>
  <c r="C46" i="154"/>
  <c r="B100" i="153"/>
  <c r="B98" i="153"/>
  <c r="B118" i="153"/>
  <c r="B20" i="153"/>
  <c r="C94" i="153"/>
  <c r="C104" i="153"/>
  <c r="C6" i="153"/>
  <c r="B10" i="153"/>
  <c r="B52" i="153"/>
  <c r="B92" i="153"/>
  <c r="C108" i="153"/>
  <c r="B2" i="153"/>
  <c r="B74" i="153"/>
  <c r="B110" i="153"/>
  <c r="B32" i="153"/>
  <c r="B46" i="153"/>
  <c r="C68" i="153"/>
  <c r="B90" i="153"/>
  <c r="B44" i="153"/>
  <c r="B62" i="153"/>
  <c r="B82" i="153"/>
  <c r="C38" i="153"/>
  <c r="B48" i="153"/>
  <c r="C54" i="153"/>
  <c r="C86" i="153"/>
  <c r="B116" i="153"/>
  <c r="B28" i="153"/>
  <c r="B42" i="153"/>
  <c r="B56" i="153"/>
  <c r="B64" i="153"/>
  <c r="B114" i="153"/>
  <c r="B4" i="153"/>
  <c r="B14" i="153"/>
  <c r="B34" i="153"/>
  <c r="B70" i="153"/>
  <c r="B78" i="153"/>
  <c r="B106" i="153"/>
  <c r="B12" i="153"/>
  <c r="B26" i="153"/>
  <c r="B40" i="153"/>
  <c r="B76" i="153"/>
  <c r="B18" i="153"/>
  <c r="B24" i="153"/>
  <c r="B16" i="153"/>
  <c r="B72" i="153"/>
  <c r="B80" i="153"/>
  <c r="B102" i="153"/>
  <c r="B22" i="153"/>
  <c r="B30" i="153"/>
  <c r="B36" i="153"/>
  <c r="B50" i="153"/>
  <c r="B58" i="153"/>
  <c r="C16" i="152"/>
  <c r="C22" i="152"/>
  <c r="B62" i="152"/>
  <c r="C68" i="152"/>
  <c r="C82" i="152"/>
  <c r="B103" i="152"/>
  <c r="C44" i="152"/>
  <c r="B50" i="152"/>
  <c r="C56" i="152"/>
  <c r="C76" i="152"/>
  <c r="B110" i="152"/>
  <c r="C17" i="152"/>
  <c r="C69" i="152"/>
  <c r="B4" i="152"/>
  <c r="C45" i="152"/>
  <c r="C57" i="152"/>
  <c r="B46" i="152"/>
  <c r="B78" i="152"/>
  <c r="C85" i="152"/>
  <c r="B99" i="152"/>
  <c r="C112" i="152"/>
  <c r="C6" i="152"/>
  <c r="C34" i="152"/>
  <c r="C107" i="152"/>
  <c r="C21" i="152"/>
  <c r="C35" i="152"/>
  <c r="C13" i="152"/>
  <c r="B31" i="152"/>
  <c r="B42" i="152"/>
  <c r="C73" i="152"/>
  <c r="C89" i="152"/>
  <c r="B48" i="152"/>
  <c r="B53" i="152"/>
  <c r="B58" i="152"/>
  <c r="B95" i="152"/>
  <c r="C3" i="152"/>
  <c r="C26" i="152"/>
  <c r="B74" i="152"/>
  <c r="B79" i="152"/>
  <c r="B90" i="152"/>
  <c r="B100" i="152"/>
  <c r="B105" i="152"/>
  <c r="B114" i="152"/>
  <c r="C10" i="152"/>
  <c r="B65" i="152"/>
  <c r="B70" i="152"/>
  <c r="B80" i="152"/>
  <c r="C101" i="152"/>
  <c r="B106" i="152"/>
  <c r="C28" i="152"/>
  <c r="C60" i="152"/>
  <c r="B86" i="152"/>
  <c r="C97" i="152"/>
  <c r="B5" i="152"/>
  <c r="C11" i="152"/>
  <c r="C81" i="152"/>
  <c r="B102" i="152"/>
  <c r="C61" i="152"/>
  <c r="C93" i="152"/>
  <c r="B12" i="152"/>
  <c r="C30" i="152"/>
  <c r="C41" i="152"/>
  <c r="C72" i="152"/>
  <c r="B80" i="151"/>
  <c r="B97" i="151"/>
  <c r="B41" i="151"/>
  <c r="B33" i="151"/>
  <c r="C46" i="151"/>
  <c r="C6" i="151"/>
  <c r="B14" i="151"/>
  <c r="C28" i="151"/>
  <c r="B104" i="151"/>
  <c r="B47" i="151"/>
  <c r="C52" i="151"/>
  <c r="B96" i="151"/>
  <c r="C20" i="151"/>
  <c r="B63" i="151"/>
  <c r="B110" i="151"/>
  <c r="B12" i="151"/>
  <c r="C40" i="151"/>
  <c r="B49" i="151"/>
  <c r="B81" i="151"/>
  <c r="C88" i="151"/>
  <c r="C102" i="151"/>
  <c r="C116" i="151"/>
  <c r="B17" i="151"/>
  <c r="B38" i="151"/>
  <c r="C56" i="151"/>
  <c r="B65" i="151"/>
  <c r="B72" i="151"/>
  <c r="B100" i="151"/>
  <c r="B121" i="151"/>
  <c r="C24" i="151"/>
  <c r="B86" i="151"/>
  <c r="B22" i="151"/>
  <c r="B36" i="151"/>
  <c r="B54" i="151"/>
  <c r="B70" i="151"/>
  <c r="B84" i="151"/>
  <c r="B105" i="151"/>
  <c r="B112" i="151"/>
  <c r="B25" i="151"/>
  <c r="B89" i="151"/>
  <c r="B16" i="151"/>
  <c r="B30" i="151"/>
  <c r="B39" i="151"/>
  <c r="B57" i="151"/>
  <c r="B64" i="151"/>
  <c r="B108" i="151"/>
  <c r="B120" i="151"/>
  <c r="B73" i="151"/>
  <c r="B94" i="151"/>
  <c r="B9" i="151"/>
  <c r="B55" i="151"/>
  <c r="B71" i="151"/>
  <c r="B113" i="151"/>
  <c r="C30" i="154"/>
  <c r="B91" i="154"/>
  <c r="B4" i="154"/>
  <c r="B8" i="154"/>
  <c r="B12" i="154"/>
  <c r="B16" i="154"/>
  <c r="B23" i="154"/>
  <c r="B33" i="154"/>
  <c r="C54" i="154"/>
  <c r="B59" i="154"/>
  <c r="B79" i="154"/>
  <c r="C110" i="154"/>
  <c r="C98" i="154"/>
  <c r="C26" i="154"/>
  <c r="C74" i="154"/>
  <c r="B107" i="154"/>
  <c r="B2" i="154"/>
  <c r="B6" i="154"/>
  <c r="B10" i="154"/>
  <c r="B14" i="154"/>
  <c r="C18" i="154"/>
  <c r="B28" i="154"/>
  <c r="C78" i="154"/>
  <c r="B21" i="154"/>
  <c r="C50" i="154"/>
  <c r="B55" i="154"/>
  <c r="B99" i="154"/>
  <c r="B5" i="154"/>
  <c r="B9" i="154"/>
  <c r="B13" i="154"/>
  <c r="B17" i="154"/>
  <c r="C70" i="154"/>
  <c r="C94" i="154"/>
  <c r="C82" i="154"/>
  <c r="B9" i="153"/>
  <c r="B17" i="153"/>
  <c r="B25" i="153"/>
  <c r="B33" i="153"/>
  <c r="B41" i="153"/>
  <c r="B49" i="153"/>
  <c r="B57" i="153"/>
  <c r="B65" i="153"/>
  <c r="B73" i="153"/>
  <c r="B81" i="153"/>
  <c r="B89" i="153"/>
  <c r="B97" i="153"/>
  <c r="B105" i="153"/>
  <c r="B113" i="153"/>
  <c r="B121" i="153"/>
  <c r="B7" i="153"/>
  <c r="B15" i="153"/>
  <c r="B23" i="153"/>
  <c r="B31" i="153"/>
  <c r="B39" i="153"/>
  <c r="B47" i="153"/>
  <c r="B55" i="153"/>
  <c r="B63" i="153"/>
  <c r="B71" i="153"/>
  <c r="B79" i="153"/>
  <c r="B87" i="153"/>
  <c r="B95" i="153"/>
  <c r="B103" i="153"/>
  <c r="B111" i="153"/>
  <c r="B119" i="153"/>
  <c r="B5" i="153"/>
  <c r="B13" i="153"/>
  <c r="B21" i="153"/>
  <c r="B29" i="153"/>
  <c r="B37" i="153"/>
  <c r="B45" i="153"/>
  <c r="B53" i="153"/>
  <c r="B61" i="153"/>
  <c r="B69" i="153"/>
  <c r="B77" i="153"/>
  <c r="B85" i="153"/>
  <c r="B93" i="153"/>
  <c r="B101" i="153"/>
  <c r="B109" i="153"/>
  <c r="B117" i="153"/>
  <c r="B3" i="153"/>
  <c r="B11" i="153"/>
  <c r="B19" i="153"/>
  <c r="B27" i="153"/>
  <c r="B35" i="153"/>
  <c r="B43" i="153"/>
  <c r="B51" i="153"/>
  <c r="B59" i="153"/>
  <c r="B67" i="153"/>
  <c r="B75" i="153"/>
  <c r="B83" i="153"/>
  <c r="B91" i="153"/>
  <c r="B99" i="153"/>
  <c r="B107" i="153"/>
  <c r="B115" i="153"/>
  <c r="B7" i="152"/>
  <c r="B36" i="152"/>
  <c r="B91" i="152"/>
  <c r="B115" i="152"/>
  <c r="B20" i="152"/>
  <c r="B27" i="152"/>
  <c r="B43" i="152"/>
  <c r="B55" i="152"/>
  <c r="B67" i="152"/>
  <c r="B88" i="152"/>
  <c r="B24" i="152"/>
  <c r="B83" i="152"/>
  <c r="B104" i="152"/>
  <c r="B2" i="152"/>
  <c r="B8" i="152"/>
  <c r="B15" i="152"/>
  <c r="B47" i="152"/>
  <c r="B59" i="152"/>
  <c r="B71" i="152"/>
  <c r="B92" i="152"/>
  <c r="B19" i="152"/>
  <c r="B87" i="152"/>
  <c r="B111" i="152"/>
  <c r="B32" i="152"/>
  <c r="B51" i="152"/>
  <c r="B63" i="152"/>
  <c r="B75" i="152"/>
  <c r="B96" i="152"/>
  <c r="B108" i="152"/>
  <c r="B39" i="152"/>
  <c r="B84" i="152"/>
  <c r="B9" i="152"/>
  <c r="B25" i="152"/>
  <c r="B29" i="152"/>
  <c r="B33" i="152"/>
  <c r="B37" i="152"/>
  <c r="B2" i="151"/>
  <c r="B10" i="151"/>
  <c r="B18" i="151"/>
  <c r="B26" i="151"/>
  <c r="B34" i="151"/>
  <c r="B42" i="151"/>
  <c r="B50" i="151"/>
  <c r="B58" i="151"/>
  <c r="B66" i="151"/>
  <c r="B74" i="151"/>
  <c r="B82" i="151"/>
  <c r="B90" i="151"/>
  <c r="B98" i="151"/>
  <c r="B106" i="151"/>
  <c r="B114" i="151"/>
  <c r="B7" i="151"/>
  <c r="B15" i="151"/>
  <c r="B23" i="151"/>
  <c r="B31" i="151"/>
  <c r="B79" i="151"/>
  <c r="B87" i="151"/>
  <c r="B95" i="151"/>
  <c r="B103" i="151"/>
  <c r="B111" i="151"/>
  <c r="B119" i="151"/>
  <c r="B5" i="151"/>
  <c r="B13" i="151"/>
  <c r="B21" i="151"/>
  <c r="B29" i="151"/>
  <c r="B37" i="151"/>
  <c r="B45" i="151"/>
  <c r="B53" i="151"/>
  <c r="B61" i="151"/>
  <c r="B69" i="151"/>
  <c r="B77" i="151"/>
  <c r="B85" i="151"/>
  <c r="B93" i="151"/>
  <c r="B101" i="151"/>
  <c r="B109" i="151"/>
  <c r="B117" i="151"/>
  <c r="B3" i="151"/>
  <c r="B11" i="151"/>
  <c r="B19" i="151"/>
  <c r="B27" i="151"/>
  <c r="B35" i="151"/>
  <c r="B43" i="151"/>
  <c r="B51" i="151"/>
  <c r="B59" i="151"/>
  <c r="B67" i="151"/>
  <c r="B75" i="151"/>
  <c r="B83" i="151"/>
  <c r="B91" i="151"/>
  <c r="B99" i="151"/>
  <c r="B107" i="151"/>
  <c r="B115" i="151"/>
  <c r="P25" i="23" l="1"/>
  <c r="P32" i="23"/>
  <c r="P30" i="23"/>
  <c r="P26" i="23"/>
  <c r="O17" i="23"/>
  <c r="AT53" i="17"/>
  <c r="AI55" i="17"/>
  <c r="P24" i="23"/>
  <c r="P33" i="23"/>
  <c r="P31" i="23"/>
  <c r="BK8" i="17"/>
  <c r="AJ9" i="24"/>
  <c r="S9" i="24"/>
  <c r="J10" i="24"/>
  <c r="Z15" i="23"/>
  <c r="Z18" i="23"/>
  <c r="R15" i="23"/>
  <c r="R18" i="23"/>
  <c r="N15" i="23"/>
  <c r="N18" i="23"/>
  <c r="AT54" i="17" l="1"/>
  <c r="AI56" i="17"/>
  <c r="BK9" i="17"/>
  <c r="AJ10" i="24"/>
  <c r="S10" i="24"/>
  <c r="J11" i="24"/>
  <c r="AT55" i="17" l="1"/>
  <c r="AI57" i="17"/>
  <c r="AI58" i="17" s="1"/>
  <c r="BK10" i="17"/>
  <c r="AJ11" i="24"/>
  <c r="S11" i="24"/>
  <c r="J12" i="24"/>
  <c r="AT56" i="17" l="1"/>
  <c r="BK11" i="17"/>
  <c r="AJ12" i="24"/>
  <c r="S12" i="24"/>
  <c r="J13" i="24"/>
  <c r="AT57" i="17" l="1"/>
  <c r="BK12" i="17"/>
  <c r="AJ13" i="24"/>
  <c r="S13" i="24"/>
  <c r="J14" i="24"/>
  <c r="AT58" i="17" l="1"/>
  <c r="BK13" i="17"/>
  <c r="AJ14" i="24"/>
  <c r="S14" i="24"/>
  <c r="BK14" i="17" l="1"/>
  <c r="BK15" i="17" l="1"/>
  <c r="BK16" i="17" s="1"/>
  <c r="E156" i="69" l="1"/>
  <c r="E165" i="69" s="1"/>
  <c r="E173" i="69" s="1"/>
  <c r="F156" i="69"/>
  <c r="G156" i="69"/>
  <c r="H156" i="69"/>
  <c r="E155" i="69"/>
  <c r="E164" i="69" s="1"/>
  <c r="E172" i="69" s="1"/>
  <c r="F155" i="69"/>
  <c r="G155" i="69"/>
  <c r="H155" i="69"/>
  <c r="D93" i="69"/>
  <c r="D94" i="69"/>
  <c r="D92" i="69"/>
  <c r="D101" i="69"/>
  <c r="D100" i="69"/>
  <c r="D99" i="69"/>
  <c r="Y95" i="69"/>
  <c r="Z95" i="69"/>
  <c r="X95" i="69"/>
  <c r="R2" i="68"/>
  <c r="X2" i="68" s="1"/>
  <c r="AO3" i="67"/>
  <c r="AP3" i="67"/>
  <c r="AQ3" i="67"/>
  <c r="AR3" i="67"/>
  <c r="AO4" i="67"/>
  <c r="AP4" i="67"/>
  <c r="AQ4" i="67"/>
  <c r="AR4" i="67"/>
  <c r="AO5" i="67"/>
  <c r="AP5" i="67"/>
  <c r="AQ5" i="67"/>
  <c r="AR5" i="67"/>
  <c r="AO6" i="67"/>
  <c r="AP6" i="67"/>
  <c r="AQ6" i="67"/>
  <c r="AR6" i="67"/>
  <c r="AO7" i="67"/>
  <c r="AP7" i="67"/>
  <c r="AQ7" i="67"/>
  <c r="AR7" i="67"/>
  <c r="AO8" i="67"/>
  <c r="AP8" i="67"/>
  <c r="AQ8" i="67"/>
  <c r="AR8" i="67"/>
  <c r="AO9" i="67"/>
  <c r="AP9" i="67"/>
  <c r="AQ9" i="67"/>
  <c r="AR9" i="67"/>
  <c r="AO10" i="67"/>
  <c r="AP10" i="67"/>
  <c r="AQ10" i="67"/>
  <c r="AR10" i="67"/>
  <c r="AO11" i="67"/>
  <c r="AP11" i="67"/>
  <c r="AQ11" i="67"/>
  <c r="AR11" i="67"/>
  <c r="AO12" i="67"/>
  <c r="AP12" i="67"/>
  <c r="AQ12" i="67"/>
  <c r="AR12" i="67"/>
  <c r="AO13" i="67"/>
  <c r="AP13" i="67"/>
  <c r="AQ13" i="67"/>
  <c r="AR13" i="67"/>
  <c r="AO14" i="67"/>
  <c r="AP14" i="67"/>
  <c r="AQ14" i="67"/>
  <c r="AR14" i="67"/>
  <c r="AO15" i="67"/>
  <c r="AP15" i="67"/>
  <c r="AQ15" i="67"/>
  <c r="AR15" i="67"/>
  <c r="AO16" i="67"/>
  <c r="AP16" i="67"/>
  <c r="AQ16" i="67"/>
  <c r="AR16" i="67"/>
  <c r="AO17" i="67"/>
  <c r="AP17" i="67"/>
  <c r="AQ17" i="67"/>
  <c r="AR17" i="67"/>
  <c r="AO18" i="67"/>
  <c r="AP18" i="67"/>
  <c r="AQ18" i="67"/>
  <c r="AR18" i="67"/>
  <c r="AO19" i="67"/>
  <c r="AP19" i="67"/>
  <c r="AQ19" i="67"/>
  <c r="AR19" i="67"/>
  <c r="AO20" i="67"/>
  <c r="AP20" i="67"/>
  <c r="AQ20" i="67"/>
  <c r="AR20" i="67"/>
  <c r="AO21" i="67"/>
  <c r="AP21" i="67"/>
  <c r="AQ21" i="67"/>
  <c r="AR21" i="67"/>
  <c r="AO22" i="67"/>
  <c r="AP22" i="67"/>
  <c r="AQ22" i="67"/>
  <c r="AR22" i="67"/>
  <c r="AO23" i="67"/>
  <c r="AP23" i="67"/>
  <c r="AQ23" i="67"/>
  <c r="AR23" i="67"/>
  <c r="AO24" i="67"/>
  <c r="AP24" i="67"/>
  <c r="AQ24" i="67"/>
  <c r="AR24" i="67"/>
  <c r="AO25" i="67"/>
  <c r="AP25" i="67"/>
  <c r="AQ25" i="67"/>
  <c r="AR25" i="67"/>
  <c r="AO26" i="67"/>
  <c r="AP26" i="67"/>
  <c r="AQ26" i="67"/>
  <c r="AR26" i="67"/>
  <c r="AO27" i="67"/>
  <c r="AP27" i="67"/>
  <c r="AQ27" i="67"/>
  <c r="AR27" i="67"/>
  <c r="AO28" i="67"/>
  <c r="AP28" i="67"/>
  <c r="AQ28" i="67"/>
  <c r="AR28" i="67"/>
  <c r="AO29" i="67"/>
  <c r="AP29" i="67"/>
  <c r="AQ29" i="67"/>
  <c r="AR29" i="67"/>
  <c r="AO30" i="67"/>
  <c r="AP30" i="67"/>
  <c r="AQ30" i="67"/>
  <c r="AR30" i="67"/>
  <c r="AO31" i="67"/>
  <c r="AP31" i="67"/>
  <c r="AQ31" i="67"/>
  <c r="AR31" i="67"/>
  <c r="AO32" i="67"/>
  <c r="AP32" i="67"/>
  <c r="AQ32" i="67"/>
  <c r="AR32" i="67"/>
  <c r="AO33" i="67"/>
  <c r="AP33" i="67"/>
  <c r="AQ33" i="67"/>
  <c r="AR33" i="67"/>
  <c r="AO34" i="67"/>
  <c r="AP34" i="67"/>
  <c r="AQ34" i="67"/>
  <c r="AR34" i="67"/>
  <c r="AO35" i="67"/>
  <c r="AP35" i="67"/>
  <c r="AQ35" i="67"/>
  <c r="AR35" i="67"/>
  <c r="AO36" i="67"/>
  <c r="AP36" i="67"/>
  <c r="AQ36" i="67"/>
  <c r="AR36" i="67"/>
  <c r="AO37" i="67"/>
  <c r="AP37" i="67"/>
  <c r="AQ37" i="67"/>
  <c r="AR37" i="67"/>
  <c r="AO38" i="67"/>
  <c r="AP38" i="67"/>
  <c r="AQ38" i="67"/>
  <c r="AR38" i="67"/>
  <c r="AO39" i="67"/>
  <c r="AP39" i="67"/>
  <c r="AQ39" i="67"/>
  <c r="AR39" i="67"/>
  <c r="AO40" i="67"/>
  <c r="AP40" i="67"/>
  <c r="AQ40" i="67"/>
  <c r="AR40" i="67"/>
  <c r="AO41" i="67"/>
  <c r="AP41" i="67"/>
  <c r="AQ41" i="67"/>
  <c r="AR41" i="67"/>
  <c r="AO42" i="67"/>
  <c r="AP42" i="67"/>
  <c r="AQ42" i="67"/>
  <c r="AR42" i="67"/>
  <c r="AO43" i="67"/>
  <c r="AP43" i="67"/>
  <c r="AQ43" i="67"/>
  <c r="AR43" i="67"/>
  <c r="AO44" i="67"/>
  <c r="AP44" i="67"/>
  <c r="AQ44" i="67"/>
  <c r="AR44" i="67"/>
  <c r="AO45" i="67"/>
  <c r="AP45" i="67"/>
  <c r="AQ45" i="67"/>
  <c r="AR45" i="67"/>
  <c r="AO46" i="67"/>
  <c r="AP46" i="67"/>
  <c r="AQ46" i="67"/>
  <c r="AR46" i="67"/>
  <c r="AO47" i="67"/>
  <c r="AP47" i="67"/>
  <c r="AQ47" i="67"/>
  <c r="AR47" i="67"/>
  <c r="AO48" i="67"/>
  <c r="AP48" i="67"/>
  <c r="AQ48" i="67"/>
  <c r="AR48" i="67"/>
  <c r="AO49" i="67"/>
  <c r="AP49" i="67"/>
  <c r="AQ49" i="67"/>
  <c r="AR49" i="67"/>
  <c r="AO50" i="67"/>
  <c r="AP50" i="67"/>
  <c r="AQ50" i="67"/>
  <c r="AR50" i="67"/>
  <c r="AO51" i="67"/>
  <c r="AP51" i="67"/>
  <c r="AQ51" i="67"/>
  <c r="AR51" i="67"/>
  <c r="AO52" i="67"/>
  <c r="AP52" i="67"/>
  <c r="AQ52" i="67"/>
  <c r="AR52" i="67"/>
  <c r="AO53" i="67"/>
  <c r="AP53" i="67"/>
  <c r="AQ53" i="67"/>
  <c r="AR53" i="67"/>
  <c r="AO54" i="67"/>
  <c r="AP54" i="67"/>
  <c r="AQ54" i="67"/>
  <c r="AR54" i="67"/>
  <c r="AO55" i="67"/>
  <c r="AP55" i="67"/>
  <c r="AQ55" i="67"/>
  <c r="AR55" i="67"/>
  <c r="AO56" i="67"/>
  <c r="AP56" i="67"/>
  <c r="AQ56" i="67"/>
  <c r="AR56" i="67"/>
  <c r="AO57" i="67"/>
  <c r="AP57" i="67"/>
  <c r="AQ57" i="67"/>
  <c r="AR57" i="67"/>
  <c r="AO58" i="67"/>
  <c r="AP58" i="67"/>
  <c r="AQ58" i="67"/>
  <c r="AR58" i="67"/>
  <c r="AO59" i="67"/>
  <c r="AP59" i="67"/>
  <c r="AQ59" i="67"/>
  <c r="AR59" i="67"/>
  <c r="AO60" i="67"/>
  <c r="AP60" i="67"/>
  <c r="AQ60" i="67"/>
  <c r="AR60" i="67"/>
  <c r="AO61" i="67"/>
  <c r="AP61" i="67"/>
  <c r="AQ61" i="67"/>
  <c r="AR61" i="67"/>
  <c r="AO62" i="67"/>
  <c r="AP62" i="67"/>
  <c r="AQ62" i="67"/>
  <c r="AR62" i="67"/>
  <c r="AO63" i="67"/>
  <c r="AP63" i="67"/>
  <c r="AQ63" i="67"/>
  <c r="AR63" i="67"/>
  <c r="AO64" i="67"/>
  <c r="AP64" i="67"/>
  <c r="AQ64" i="67"/>
  <c r="AR64" i="67"/>
  <c r="AO65" i="67"/>
  <c r="AP65" i="67"/>
  <c r="AQ65" i="67"/>
  <c r="AR65" i="67"/>
  <c r="AO66" i="67"/>
  <c r="AP66" i="67"/>
  <c r="AQ66" i="67"/>
  <c r="AR66" i="67"/>
  <c r="AO67" i="67"/>
  <c r="AP67" i="67"/>
  <c r="AQ67" i="67"/>
  <c r="AR67" i="67"/>
  <c r="AO68" i="67"/>
  <c r="AP68" i="67"/>
  <c r="AQ68" i="67"/>
  <c r="AR68" i="67"/>
  <c r="AO69" i="67"/>
  <c r="AP69" i="67"/>
  <c r="AQ69" i="67"/>
  <c r="AR69" i="67"/>
  <c r="AO70" i="67"/>
  <c r="AP70" i="67"/>
  <c r="AQ70" i="67"/>
  <c r="AR70" i="67"/>
  <c r="AO71" i="67"/>
  <c r="AP71" i="67"/>
  <c r="AQ71" i="67"/>
  <c r="AR71" i="67"/>
  <c r="AO72" i="67"/>
  <c r="AP72" i="67"/>
  <c r="AQ72" i="67"/>
  <c r="AR72" i="67"/>
  <c r="AO73" i="67"/>
  <c r="AP73" i="67"/>
  <c r="AQ73" i="67"/>
  <c r="AR73" i="67"/>
  <c r="AO74" i="67"/>
  <c r="AP74" i="67"/>
  <c r="AQ74" i="67"/>
  <c r="AR74" i="67"/>
  <c r="AO75" i="67"/>
  <c r="AP75" i="67"/>
  <c r="AQ75" i="67"/>
  <c r="AR75" i="67"/>
  <c r="AO76" i="67"/>
  <c r="AP76" i="67"/>
  <c r="AQ76" i="67"/>
  <c r="AR76" i="67"/>
  <c r="AO77" i="67"/>
  <c r="AP77" i="67"/>
  <c r="AQ77" i="67"/>
  <c r="AR77" i="67"/>
  <c r="AO78" i="67"/>
  <c r="AP78" i="67"/>
  <c r="AQ78" i="67"/>
  <c r="AR78" i="67"/>
  <c r="AO79" i="67"/>
  <c r="AP79" i="67"/>
  <c r="AQ79" i="67"/>
  <c r="AR79" i="67"/>
  <c r="AO80" i="67"/>
  <c r="AP80" i="67"/>
  <c r="AQ80" i="67"/>
  <c r="AR80" i="67"/>
  <c r="AO81" i="67"/>
  <c r="AP81" i="67"/>
  <c r="AQ81" i="67"/>
  <c r="AR81" i="67"/>
  <c r="AO82" i="67"/>
  <c r="AP82" i="67"/>
  <c r="AQ82" i="67"/>
  <c r="AR82" i="67"/>
  <c r="AO83" i="67"/>
  <c r="AP83" i="67"/>
  <c r="AQ83" i="67"/>
  <c r="AR83" i="67"/>
  <c r="AO84" i="67"/>
  <c r="AP84" i="67"/>
  <c r="AQ84" i="67"/>
  <c r="AR84" i="67"/>
  <c r="AO85" i="67"/>
  <c r="AP85" i="67"/>
  <c r="AQ85" i="67"/>
  <c r="AR85" i="67"/>
  <c r="AO86" i="67"/>
  <c r="AP86" i="67"/>
  <c r="AQ86" i="67"/>
  <c r="AR86" i="67"/>
  <c r="AO87" i="67"/>
  <c r="AP87" i="67"/>
  <c r="AQ87" i="67"/>
  <c r="AR87" i="67"/>
  <c r="AO88" i="67"/>
  <c r="AP88" i="67"/>
  <c r="AQ88" i="67"/>
  <c r="AR88" i="67"/>
  <c r="AO89" i="67"/>
  <c r="AP89" i="67"/>
  <c r="AQ89" i="67"/>
  <c r="AR89" i="67"/>
  <c r="AO90" i="67"/>
  <c r="AP90" i="67"/>
  <c r="AQ90" i="67"/>
  <c r="AR90" i="67"/>
  <c r="AO91" i="67"/>
  <c r="AP91" i="67"/>
  <c r="AQ91" i="67"/>
  <c r="AR91" i="67"/>
  <c r="AO92" i="67"/>
  <c r="AP92" i="67"/>
  <c r="AQ92" i="67"/>
  <c r="AR92" i="67"/>
  <c r="AO93" i="67"/>
  <c r="AP93" i="67"/>
  <c r="AQ93" i="67"/>
  <c r="AR93" i="67"/>
  <c r="AO94" i="67"/>
  <c r="AP94" i="67"/>
  <c r="AQ94" i="67"/>
  <c r="AR94" i="67"/>
  <c r="AO95" i="67"/>
  <c r="AP95" i="67"/>
  <c r="AQ95" i="67"/>
  <c r="AR95" i="67"/>
  <c r="AO96" i="67"/>
  <c r="AP96" i="67"/>
  <c r="AQ96" i="67"/>
  <c r="AR96" i="67"/>
  <c r="AO97" i="67"/>
  <c r="AP97" i="67"/>
  <c r="AQ97" i="67"/>
  <c r="AR97" i="67"/>
  <c r="AO98" i="67"/>
  <c r="AP98" i="67"/>
  <c r="AQ98" i="67"/>
  <c r="AR98" i="67"/>
  <c r="AO99" i="67"/>
  <c r="AP99" i="67"/>
  <c r="AQ99" i="67"/>
  <c r="AR99" i="67"/>
  <c r="AO100" i="67"/>
  <c r="AP100" i="67"/>
  <c r="AQ100" i="67"/>
  <c r="AR100" i="67"/>
  <c r="AO101" i="67"/>
  <c r="AP101" i="67"/>
  <c r="AQ101" i="67"/>
  <c r="AR101" i="67"/>
  <c r="AO102" i="67"/>
  <c r="AP102" i="67"/>
  <c r="AQ102" i="67"/>
  <c r="AR102" i="67"/>
  <c r="AO103" i="67"/>
  <c r="AP103" i="67"/>
  <c r="AQ103" i="67"/>
  <c r="AR103" i="67"/>
  <c r="AO104" i="67"/>
  <c r="AP104" i="67"/>
  <c r="AQ104" i="67"/>
  <c r="AR104" i="67"/>
  <c r="AO105" i="67"/>
  <c r="AP105" i="67"/>
  <c r="AQ105" i="67"/>
  <c r="AR105" i="67"/>
  <c r="AO106" i="67"/>
  <c r="AP106" i="67"/>
  <c r="AQ106" i="67"/>
  <c r="AR106" i="67"/>
  <c r="AO107" i="67"/>
  <c r="AP107" i="67"/>
  <c r="AQ107" i="67"/>
  <c r="AR107" i="67"/>
  <c r="AO108" i="67"/>
  <c r="AP108" i="67"/>
  <c r="AQ108" i="67"/>
  <c r="AR108" i="67"/>
  <c r="AO109" i="67"/>
  <c r="AP109" i="67"/>
  <c r="AQ109" i="67"/>
  <c r="AR109" i="67"/>
  <c r="AO110" i="67"/>
  <c r="AP110" i="67"/>
  <c r="AQ110" i="67"/>
  <c r="AR110" i="67"/>
  <c r="AO111" i="67"/>
  <c r="AP111" i="67"/>
  <c r="AQ111" i="67"/>
  <c r="AR111" i="67"/>
  <c r="AO112" i="67"/>
  <c r="AP112" i="67"/>
  <c r="AQ112" i="67"/>
  <c r="AR112" i="67"/>
  <c r="AO113" i="67"/>
  <c r="AP113" i="67"/>
  <c r="AQ113" i="67"/>
  <c r="AR113" i="67"/>
  <c r="AO114" i="67"/>
  <c r="AP114" i="67"/>
  <c r="AQ114" i="67"/>
  <c r="AR114" i="67"/>
  <c r="AO115" i="67"/>
  <c r="AP115" i="67"/>
  <c r="AQ115" i="67"/>
  <c r="AR115" i="67"/>
  <c r="AO116" i="67"/>
  <c r="AP116" i="67"/>
  <c r="AQ116" i="67"/>
  <c r="AR116" i="67"/>
  <c r="AO117" i="67"/>
  <c r="AP117" i="67"/>
  <c r="AQ117" i="67"/>
  <c r="AR117" i="67"/>
  <c r="AO118" i="67"/>
  <c r="AP118" i="67"/>
  <c r="AQ118" i="67"/>
  <c r="AR118" i="67"/>
  <c r="AO119" i="67"/>
  <c r="AP119" i="67"/>
  <c r="AQ119" i="67"/>
  <c r="AR119" i="67"/>
  <c r="AO120" i="67"/>
  <c r="AP120" i="67"/>
  <c r="AQ120" i="67"/>
  <c r="AR120" i="67"/>
  <c r="AO121" i="67"/>
  <c r="AP121" i="67"/>
  <c r="AQ121" i="67"/>
  <c r="AR121" i="67"/>
  <c r="AP2" i="67"/>
  <c r="AQ2" i="67"/>
  <c r="AR2" i="67"/>
  <c r="AO2" i="67"/>
  <c r="AJ3" i="67"/>
  <c r="AK3" i="67"/>
  <c r="AL3" i="67"/>
  <c r="AM3" i="67"/>
  <c r="AN3" i="67"/>
  <c r="AJ4" i="67"/>
  <c r="AK4" i="67"/>
  <c r="AL4" i="67"/>
  <c r="AM4" i="67"/>
  <c r="AN4" i="67"/>
  <c r="AJ5" i="67"/>
  <c r="AK5" i="67"/>
  <c r="AL5" i="67"/>
  <c r="AM5" i="67"/>
  <c r="AN5" i="67"/>
  <c r="AJ6" i="67"/>
  <c r="AK6" i="67"/>
  <c r="AL6" i="67"/>
  <c r="AM6" i="67"/>
  <c r="AN6" i="67"/>
  <c r="AJ7" i="67"/>
  <c r="AK7" i="67"/>
  <c r="AL7" i="67"/>
  <c r="AM7" i="67"/>
  <c r="AN7" i="67"/>
  <c r="AJ8" i="67"/>
  <c r="AK8" i="67"/>
  <c r="AL8" i="67"/>
  <c r="AM8" i="67"/>
  <c r="AN8" i="67"/>
  <c r="AJ9" i="67"/>
  <c r="AK9" i="67"/>
  <c r="AL9" i="67"/>
  <c r="AM9" i="67"/>
  <c r="AN9" i="67"/>
  <c r="AJ10" i="67"/>
  <c r="AK10" i="67"/>
  <c r="AL10" i="67"/>
  <c r="AM10" i="67"/>
  <c r="AN10" i="67"/>
  <c r="AJ11" i="67"/>
  <c r="AK11" i="67"/>
  <c r="AL11" i="67"/>
  <c r="AM11" i="67"/>
  <c r="AN11" i="67"/>
  <c r="AJ12" i="67"/>
  <c r="AK12" i="67"/>
  <c r="AL12" i="67"/>
  <c r="AM12" i="67"/>
  <c r="AN12" i="67"/>
  <c r="AJ13" i="67"/>
  <c r="AK13" i="67"/>
  <c r="AL13" i="67"/>
  <c r="AM13" i="67"/>
  <c r="AN13" i="67"/>
  <c r="AJ14" i="67"/>
  <c r="AK14" i="67"/>
  <c r="AL14" i="67"/>
  <c r="AM14" i="67"/>
  <c r="AN14" i="67"/>
  <c r="AJ15" i="67"/>
  <c r="AK15" i="67"/>
  <c r="AL15" i="67"/>
  <c r="AM15" i="67"/>
  <c r="AN15" i="67"/>
  <c r="AJ16" i="67"/>
  <c r="AK16" i="67"/>
  <c r="AL16" i="67"/>
  <c r="AM16" i="67"/>
  <c r="AN16" i="67"/>
  <c r="AJ17" i="67"/>
  <c r="AK17" i="67"/>
  <c r="AL17" i="67"/>
  <c r="AM17" i="67"/>
  <c r="AN17" i="67"/>
  <c r="AJ18" i="67"/>
  <c r="AK18" i="67"/>
  <c r="AL18" i="67"/>
  <c r="AM18" i="67"/>
  <c r="AN18" i="67"/>
  <c r="AJ19" i="67"/>
  <c r="AK19" i="67"/>
  <c r="AL19" i="67"/>
  <c r="AM19" i="67"/>
  <c r="AN19" i="67"/>
  <c r="AJ20" i="67"/>
  <c r="AK20" i="67"/>
  <c r="AL20" i="67"/>
  <c r="AM20" i="67"/>
  <c r="AN20" i="67"/>
  <c r="AJ21" i="67"/>
  <c r="AK21" i="67"/>
  <c r="AL21" i="67"/>
  <c r="AM21" i="67"/>
  <c r="AN21" i="67"/>
  <c r="AJ22" i="67"/>
  <c r="AK22" i="67"/>
  <c r="AL22" i="67"/>
  <c r="AM22" i="67"/>
  <c r="AN22" i="67"/>
  <c r="AJ23" i="67"/>
  <c r="AK23" i="67"/>
  <c r="AL23" i="67"/>
  <c r="AM23" i="67"/>
  <c r="AN23" i="67"/>
  <c r="AJ24" i="67"/>
  <c r="AK24" i="67"/>
  <c r="AL24" i="67"/>
  <c r="AM24" i="67"/>
  <c r="AN24" i="67"/>
  <c r="AJ25" i="67"/>
  <c r="AK25" i="67"/>
  <c r="AL25" i="67"/>
  <c r="AM25" i="67"/>
  <c r="AN25" i="67"/>
  <c r="AJ26" i="67"/>
  <c r="AK26" i="67"/>
  <c r="AL26" i="67"/>
  <c r="AM26" i="67"/>
  <c r="AN26" i="67"/>
  <c r="AJ27" i="67"/>
  <c r="AK27" i="67"/>
  <c r="AL27" i="67"/>
  <c r="AM27" i="67"/>
  <c r="AN27" i="67"/>
  <c r="AJ28" i="67"/>
  <c r="AK28" i="67"/>
  <c r="AL28" i="67"/>
  <c r="AM28" i="67"/>
  <c r="AN28" i="67"/>
  <c r="AJ29" i="67"/>
  <c r="AK29" i="67"/>
  <c r="AL29" i="67"/>
  <c r="AM29" i="67"/>
  <c r="AN29" i="67"/>
  <c r="AJ30" i="67"/>
  <c r="AK30" i="67"/>
  <c r="AL30" i="67"/>
  <c r="AM30" i="67"/>
  <c r="AN30" i="67"/>
  <c r="AJ31" i="67"/>
  <c r="AK31" i="67"/>
  <c r="AL31" i="67"/>
  <c r="AM31" i="67"/>
  <c r="AN31" i="67"/>
  <c r="AJ32" i="67"/>
  <c r="AK32" i="67"/>
  <c r="AL32" i="67"/>
  <c r="AM32" i="67"/>
  <c r="AN32" i="67"/>
  <c r="AJ33" i="67"/>
  <c r="AK33" i="67"/>
  <c r="AL33" i="67"/>
  <c r="AM33" i="67"/>
  <c r="AN33" i="67"/>
  <c r="AJ34" i="67"/>
  <c r="AK34" i="67"/>
  <c r="AL34" i="67"/>
  <c r="AM34" i="67"/>
  <c r="AN34" i="67"/>
  <c r="AJ35" i="67"/>
  <c r="AK35" i="67"/>
  <c r="AL35" i="67"/>
  <c r="AM35" i="67"/>
  <c r="AN35" i="67"/>
  <c r="AJ36" i="67"/>
  <c r="AK36" i="67"/>
  <c r="AL36" i="67"/>
  <c r="AM36" i="67"/>
  <c r="AN36" i="67"/>
  <c r="AJ37" i="67"/>
  <c r="AK37" i="67"/>
  <c r="AL37" i="67"/>
  <c r="AM37" i="67"/>
  <c r="AN37" i="67"/>
  <c r="AJ38" i="67"/>
  <c r="AK38" i="67"/>
  <c r="AL38" i="67"/>
  <c r="AM38" i="67"/>
  <c r="AN38" i="67"/>
  <c r="AJ39" i="67"/>
  <c r="AK39" i="67"/>
  <c r="AL39" i="67"/>
  <c r="AM39" i="67"/>
  <c r="AN39" i="67"/>
  <c r="AJ40" i="67"/>
  <c r="AK40" i="67"/>
  <c r="AL40" i="67"/>
  <c r="AM40" i="67"/>
  <c r="AN40" i="67"/>
  <c r="AJ41" i="67"/>
  <c r="AK41" i="67"/>
  <c r="AL41" i="67"/>
  <c r="AM41" i="67"/>
  <c r="AN41" i="67"/>
  <c r="AJ42" i="67"/>
  <c r="AK42" i="67"/>
  <c r="AL42" i="67"/>
  <c r="AM42" i="67"/>
  <c r="AN42" i="67"/>
  <c r="AJ43" i="67"/>
  <c r="AK43" i="67"/>
  <c r="AL43" i="67"/>
  <c r="AM43" i="67"/>
  <c r="AN43" i="67"/>
  <c r="AJ44" i="67"/>
  <c r="AK44" i="67"/>
  <c r="AL44" i="67"/>
  <c r="AM44" i="67"/>
  <c r="AN44" i="67"/>
  <c r="AJ45" i="67"/>
  <c r="AK45" i="67"/>
  <c r="AL45" i="67"/>
  <c r="AM45" i="67"/>
  <c r="AN45" i="67"/>
  <c r="AJ46" i="67"/>
  <c r="AK46" i="67"/>
  <c r="AL46" i="67"/>
  <c r="AM46" i="67"/>
  <c r="AN46" i="67"/>
  <c r="AJ47" i="67"/>
  <c r="AK47" i="67"/>
  <c r="AL47" i="67"/>
  <c r="AM47" i="67"/>
  <c r="AN47" i="67"/>
  <c r="AJ48" i="67"/>
  <c r="AK48" i="67"/>
  <c r="AL48" i="67"/>
  <c r="AM48" i="67"/>
  <c r="AN48" i="67"/>
  <c r="AJ49" i="67"/>
  <c r="AK49" i="67"/>
  <c r="AL49" i="67"/>
  <c r="AM49" i="67"/>
  <c r="AN49" i="67"/>
  <c r="AJ50" i="67"/>
  <c r="AK50" i="67"/>
  <c r="AL50" i="67"/>
  <c r="AM50" i="67"/>
  <c r="AN50" i="67"/>
  <c r="AJ51" i="67"/>
  <c r="AK51" i="67"/>
  <c r="AL51" i="67"/>
  <c r="AM51" i="67"/>
  <c r="AN51" i="67"/>
  <c r="AJ52" i="67"/>
  <c r="AK52" i="67"/>
  <c r="AL52" i="67"/>
  <c r="AM52" i="67"/>
  <c r="AN52" i="67"/>
  <c r="AJ53" i="67"/>
  <c r="AK53" i="67"/>
  <c r="AL53" i="67"/>
  <c r="AM53" i="67"/>
  <c r="AN53" i="67"/>
  <c r="AJ54" i="67"/>
  <c r="AK54" i="67"/>
  <c r="AL54" i="67"/>
  <c r="AM54" i="67"/>
  <c r="AN54" i="67"/>
  <c r="AJ55" i="67"/>
  <c r="AK55" i="67"/>
  <c r="AL55" i="67"/>
  <c r="AM55" i="67"/>
  <c r="AN55" i="67"/>
  <c r="AJ56" i="67"/>
  <c r="AK56" i="67"/>
  <c r="AL56" i="67"/>
  <c r="AM56" i="67"/>
  <c r="AN56" i="67"/>
  <c r="AJ57" i="67"/>
  <c r="AK57" i="67"/>
  <c r="AL57" i="67"/>
  <c r="AM57" i="67"/>
  <c r="AN57" i="67"/>
  <c r="AJ58" i="67"/>
  <c r="AK58" i="67"/>
  <c r="AL58" i="67"/>
  <c r="AM58" i="67"/>
  <c r="AN58" i="67"/>
  <c r="AJ59" i="67"/>
  <c r="AK59" i="67"/>
  <c r="AL59" i="67"/>
  <c r="AM59" i="67"/>
  <c r="AN59" i="67"/>
  <c r="AJ60" i="67"/>
  <c r="AK60" i="67"/>
  <c r="AL60" i="67"/>
  <c r="AM60" i="67"/>
  <c r="AN60" i="67"/>
  <c r="AJ61" i="67"/>
  <c r="AK61" i="67"/>
  <c r="AL61" i="67"/>
  <c r="AM61" i="67"/>
  <c r="AN61" i="67"/>
  <c r="AJ62" i="67"/>
  <c r="AK62" i="67"/>
  <c r="AL62" i="67"/>
  <c r="AM62" i="67"/>
  <c r="AN62" i="67"/>
  <c r="AJ63" i="67"/>
  <c r="AK63" i="67"/>
  <c r="AL63" i="67"/>
  <c r="AM63" i="67"/>
  <c r="AN63" i="67"/>
  <c r="AJ64" i="67"/>
  <c r="AK64" i="67"/>
  <c r="AL64" i="67"/>
  <c r="AM64" i="67"/>
  <c r="AN64" i="67"/>
  <c r="AJ65" i="67"/>
  <c r="AK65" i="67"/>
  <c r="AL65" i="67"/>
  <c r="AM65" i="67"/>
  <c r="AN65" i="67"/>
  <c r="AJ66" i="67"/>
  <c r="AK66" i="67"/>
  <c r="AL66" i="67"/>
  <c r="AM66" i="67"/>
  <c r="AN66" i="67"/>
  <c r="AJ67" i="67"/>
  <c r="AK67" i="67"/>
  <c r="AL67" i="67"/>
  <c r="AM67" i="67"/>
  <c r="AN67" i="67"/>
  <c r="AJ68" i="67"/>
  <c r="AK68" i="67"/>
  <c r="AL68" i="67"/>
  <c r="AM68" i="67"/>
  <c r="AN68" i="67"/>
  <c r="AJ69" i="67"/>
  <c r="AK69" i="67"/>
  <c r="AL69" i="67"/>
  <c r="AM69" i="67"/>
  <c r="AN69" i="67"/>
  <c r="AJ70" i="67"/>
  <c r="AK70" i="67"/>
  <c r="AL70" i="67"/>
  <c r="AM70" i="67"/>
  <c r="AN70" i="67"/>
  <c r="AJ71" i="67"/>
  <c r="AK71" i="67"/>
  <c r="AL71" i="67"/>
  <c r="AM71" i="67"/>
  <c r="AN71" i="67"/>
  <c r="AJ72" i="67"/>
  <c r="AK72" i="67"/>
  <c r="AL72" i="67"/>
  <c r="AM72" i="67"/>
  <c r="AN72" i="67"/>
  <c r="AJ73" i="67"/>
  <c r="AK73" i="67"/>
  <c r="AL73" i="67"/>
  <c r="AM73" i="67"/>
  <c r="AN73" i="67"/>
  <c r="AJ74" i="67"/>
  <c r="AK74" i="67"/>
  <c r="AL74" i="67"/>
  <c r="AM74" i="67"/>
  <c r="AN74" i="67"/>
  <c r="AJ75" i="67"/>
  <c r="AK75" i="67"/>
  <c r="AL75" i="67"/>
  <c r="AM75" i="67"/>
  <c r="AN75" i="67"/>
  <c r="AJ76" i="67"/>
  <c r="AK76" i="67"/>
  <c r="AL76" i="67"/>
  <c r="AM76" i="67"/>
  <c r="AN76" i="67"/>
  <c r="AJ77" i="67"/>
  <c r="AK77" i="67"/>
  <c r="AL77" i="67"/>
  <c r="AM77" i="67"/>
  <c r="AN77" i="67"/>
  <c r="AJ78" i="67"/>
  <c r="AK78" i="67"/>
  <c r="AL78" i="67"/>
  <c r="AM78" i="67"/>
  <c r="AN78" i="67"/>
  <c r="AJ79" i="67"/>
  <c r="AK79" i="67"/>
  <c r="AL79" i="67"/>
  <c r="AM79" i="67"/>
  <c r="AN79" i="67"/>
  <c r="AJ80" i="67"/>
  <c r="AK80" i="67"/>
  <c r="AL80" i="67"/>
  <c r="AM80" i="67"/>
  <c r="AN80" i="67"/>
  <c r="AJ81" i="67"/>
  <c r="AK81" i="67"/>
  <c r="AL81" i="67"/>
  <c r="AM81" i="67"/>
  <c r="AN81" i="67"/>
  <c r="AJ82" i="67"/>
  <c r="AK82" i="67"/>
  <c r="AL82" i="67"/>
  <c r="AM82" i="67"/>
  <c r="AN82" i="67"/>
  <c r="AJ83" i="67"/>
  <c r="AK83" i="67"/>
  <c r="AL83" i="67"/>
  <c r="AM83" i="67"/>
  <c r="AN83" i="67"/>
  <c r="AJ84" i="67"/>
  <c r="AK84" i="67"/>
  <c r="AL84" i="67"/>
  <c r="AM84" i="67"/>
  <c r="AN84" i="67"/>
  <c r="AJ85" i="67"/>
  <c r="AK85" i="67"/>
  <c r="AL85" i="67"/>
  <c r="AM85" i="67"/>
  <c r="AN85" i="67"/>
  <c r="AJ86" i="67"/>
  <c r="AK86" i="67"/>
  <c r="AL86" i="67"/>
  <c r="AM86" i="67"/>
  <c r="AN86" i="67"/>
  <c r="AJ87" i="67"/>
  <c r="AK87" i="67"/>
  <c r="AL87" i="67"/>
  <c r="AM87" i="67"/>
  <c r="AN87" i="67"/>
  <c r="AJ88" i="67"/>
  <c r="AK88" i="67"/>
  <c r="AL88" i="67"/>
  <c r="AM88" i="67"/>
  <c r="AN88" i="67"/>
  <c r="AJ89" i="67"/>
  <c r="AK89" i="67"/>
  <c r="AL89" i="67"/>
  <c r="AM89" i="67"/>
  <c r="AN89" i="67"/>
  <c r="AJ90" i="67"/>
  <c r="AK90" i="67"/>
  <c r="AL90" i="67"/>
  <c r="AM90" i="67"/>
  <c r="AN90" i="67"/>
  <c r="AJ91" i="67"/>
  <c r="AK91" i="67"/>
  <c r="AL91" i="67"/>
  <c r="AM91" i="67"/>
  <c r="AN91" i="67"/>
  <c r="AJ92" i="67"/>
  <c r="AK92" i="67"/>
  <c r="AL92" i="67"/>
  <c r="AM92" i="67"/>
  <c r="AN92" i="67"/>
  <c r="AJ93" i="67"/>
  <c r="AK93" i="67"/>
  <c r="AL93" i="67"/>
  <c r="AM93" i="67"/>
  <c r="AN93" i="67"/>
  <c r="AJ94" i="67"/>
  <c r="AK94" i="67"/>
  <c r="AL94" i="67"/>
  <c r="AM94" i="67"/>
  <c r="AN94" i="67"/>
  <c r="AJ95" i="67"/>
  <c r="AK95" i="67"/>
  <c r="AL95" i="67"/>
  <c r="AM95" i="67"/>
  <c r="AN95" i="67"/>
  <c r="AJ96" i="67"/>
  <c r="AK96" i="67"/>
  <c r="AL96" i="67"/>
  <c r="AM96" i="67"/>
  <c r="AN96" i="67"/>
  <c r="AJ97" i="67"/>
  <c r="AK97" i="67"/>
  <c r="AL97" i="67"/>
  <c r="AM97" i="67"/>
  <c r="AN97" i="67"/>
  <c r="AJ98" i="67"/>
  <c r="AK98" i="67"/>
  <c r="AL98" i="67"/>
  <c r="AM98" i="67"/>
  <c r="AN98" i="67"/>
  <c r="AK99" i="67"/>
  <c r="AL99" i="67"/>
  <c r="AM99" i="67"/>
  <c r="AN99" i="67"/>
  <c r="AK100" i="67"/>
  <c r="AL100" i="67"/>
  <c r="AM100" i="67"/>
  <c r="AN100" i="67"/>
  <c r="AK101" i="67"/>
  <c r="AL101" i="67"/>
  <c r="AM101" i="67"/>
  <c r="AN101" i="67"/>
  <c r="AK102" i="67"/>
  <c r="AL102" i="67"/>
  <c r="AM102" i="67"/>
  <c r="AN102" i="67"/>
  <c r="AK103" i="67"/>
  <c r="AL103" i="67"/>
  <c r="AM103" i="67"/>
  <c r="AN103" i="67"/>
  <c r="AK104" i="67"/>
  <c r="AL104" i="67"/>
  <c r="AM104" i="67"/>
  <c r="AN104" i="67"/>
  <c r="AK105" i="67"/>
  <c r="AL105" i="67"/>
  <c r="AM105" i="67"/>
  <c r="AN105" i="67"/>
  <c r="AK106" i="67"/>
  <c r="AL106" i="67"/>
  <c r="AM106" i="67"/>
  <c r="AN106" i="67"/>
  <c r="AK107" i="67"/>
  <c r="AL107" i="67"/>
  <c r="AM107" i="67"/>
  <c r="AN107" i="67"/>
  <c r="AK108" i="67"/>
  <c r="AL108" i="67"/>
  <c r="AM108" i="67"/>
  <c r="AN108" i="67"/>
  <c r="AK109" i="67"/>
  <c r="AL109" i="67"/>
  <c r="AM109" i="67"/>
  <c r="AN109" i="67"/>
  <c r="AL110" i="67"/>
  <c r="AM110" i="67"/>
  <c r="AN110" i="67"/>
  <c r="AL111" i="67"/>
  <c r="AM111" i="67"/>
  <c r="AN111" i="67"/>
  <c r="AL112" i="67"/>
  <c r="AM112" i="67"/>
  <c r="AN112" i="67"/>
  <c r="AL113" i="67"/>
  <c r="AM113" i="67"/>
  <c r="AN113" i="67"/>
  <c r="AL114" i="67"/>
  <c r="AM114" i="67"/>
  <c r="AN114" i="67"/>
  <c r="AL115" i="67"/>
  <c r="AM115" i="67"/>
  <c r="AN115" i="67"/>
  <c r="AL116" i="67"/>
  <c r="AM116" i="67"/>
  <c r="AN116" i="67"/>
  <c r="AL117" i="67"/>
  <c r="AM117" i="67"/>
  <c r="AN117" i="67"/>
  <c r="AL118" i="67"/>
  <c r="AM118" i="67"/>
  <c r="AN118" i="67"/>
  <c r="AN2" i="67"/>
  <c r="AJ2" i="67"/>
  <c r="AK2" i="67"/>
  <c r="AL2" i="67"/>
  <c r="AM2" i="67"/>
  <c r="AI3" i="67"/>
  <c r="AI4" i="67"/>
  <c r="AI5" i="67"/>
  <c r="AI6" i="67"/>
  <c r="AI7" i="67"/>
  <c r="AI8" i="67"/>
  <c r="AI9" i="67"/>
  <c r="AI10" i="67"/>
  <c r="AI11" i="67"/>
  <c r="AI12" i="67"/>
  <c r="AI13" i="67"/>
  <c r="AI14" i="67"/>
  <c r="AI15" i="67"/>
  <c r="AI16" i="67"/>
  <c r="AI17" i="67"/>
  <c r="AI18" i="67"/>
  <c r="AI19" i="67"/>
  <c r="AI20" i="67"/>
  <c r="AI21" i="67"/>
  <c r="AI22" i="67"/>
  <c r="AI23" i="67"/>
  <c r="AI24" i="67"/>
  <c r="AI25" i="67"/>
  <c r="AI26" i="67"/>
  <c r="AI27" i="67"/>
  <c r="AI28" i="67"/>
  <c r="AI29" i="67"/>
  <c r="AI30" i="67"/>
  <c r="AI31" i="67"/>
  <c r="AI32" i="67"/>
  <c r="AI33" i="67"/>
  <c r="AI34" i="67"/>
  <c r="AI35" i="67"/>
  <c r="AI36" i="67"/>
  <c r="AI37" i="67"/>
  <c r="AI38" i="67"/>
  <c r="AI39" i="67"/>
  <c r="AI40" i="67"/>
  <c r="AI41" i="67"/>
  <c r="AI42" i="67"/>
  <c r="AI43" i="67"/>
  <c r="AI44" i="67"/>
  <c r="AI45" i="67"/>
  <c r="AI46" i="67"/>
  <c r="AI47" i="67"/>
  <c r="AI48" i="67"/>
  <c r="AI49" i="67"/>
  <c r="AI50" i="67"/>
  <c r="AI51" i="67"/>
  <c r="AI52" i="67"/>
  <c r="AI53" i="67"/>
  <c r="AI54" i="67"/>
  <c r="AI55" i="67"/>
  <c r="AI56" i="67"/>
  <c r="AI57" i="67"/>
  <c r="AI58" i="67"/>
  <c r="AI59" i="67"/>
  <c r="AI60" i="67"/>
  <c r="AI61" i="67"/>
  <c r="AI62" i="67"/>
  <c r="AI63" i="67"/>
  <c r="AI64" i="67"/>
  <c r="AI65" i="67"/>
  <c r="AI66" i="67"/>
  <c r="AI67" i="67"/>
  <c r="AI68" i="67"/>
  <c r="AI69" i="67"/>
  <c r="AI70" i="67"/>
  <c r="AI71" i="67"/>
  <c r="AI72" i="67"/>
  <c r="AI73" i="67"/>
  <c r="AI74" i="67"/>
  <c r="AI75" i="67"/>
  <c r="AI76" i="67"/>
  <c r="AI77" i="67"/>
  <c r="AI78" i="67"/>
  <c r="AI79" i="67"/>
  <c r="AI80" i="67"/>
  <c r="AI81" i="67"/>
  <c r="AI82" i="67"/>
  <c r="AI83" i="67"/>
  <c r="AI84" i="67"/>
  <c r="AI85" i="67"/>
  <c r="AI86" i="67"/>
  <c r="AI87" i="67"/>
  <c r="AI88" i="67"/>
  <c r="AI89" i="67"/>
  <c r="AI90" i="67"/>
  <c r="AI91" i="67"/>
  <c r="AI92" i="67"/>
  <c r="AI93" i="67"/>
  <c r="AI94" i="67"/>
  <c r="AI95" i="67"/>
  <c r="AI96" i="67"/>
  <c r="AI97" i="67"/>
  <c r="AI98" i="67"/>
  <c r="AI99" i="67"/>
  <c r="AI100" i="67"/>
  <c r="AI101" i="67"/>
  <c r="AI102" i="67"/>
  <c r="AI103" i="67"/>
  <c r="AI104" i="67"/>
  <c r="AI105" i="67"/>
  <c r="AI106" i="67"/>
  <c r="AI107" i="67"/>
  <c r="AI108" i="67"/>
  <c r="AI109" i="67"/>
  <c r="AI2" i="67"/>
  <c r="C17" i="65"/>
  <c r="C29" i="65" s="1"/>
  <c r="C41" i="65" s="1"/>
  <c r="C53" i="65" s="1"/>
  <c r="C65" i="65" s="1"/>
  <c r="C77" i="65" s="1"/>
  <c r="C89" i="65" s="1"/>
  <c r="C101" i="65" s="1"/>
  <c r="C113" i="65" s="1"/>
  <c r="C125" i="65" s="1"/>
  <c r="C137" i="65" s="1"/>
  <c r="C18" i="65"/>
  <c r="C30" i="65" s="1"/>
  <c r="C42" i="65" s="1"/>
  <c r="C54" i="65" s="1"/>
  <c r="C66" i="65" s="1"/>
  <c r="C78" i="65" s="1"/>
  <c r="C90" i="65" s="1"/>
  <c r="C102" i="65" s="1"/>
  <c r="C114" i="65" s="1"/>
  <c r="C126" i="65" s="1"/>
  <c r="C138" i="65" s="1"/>
  <c r="C19" i="65"/>
  <c r="C31" i="65" s="1"/>
  <c r="C43" i="65" s="1"/>
  <c r="C55" i="65" s="1"/>
  <c r="C67" i="65" s="1"/>
  <c r="C79" i="65" s="1"/>
  <c r="C91" i="65" s="1"/>
  <c r="C103" i="65" s="1"/>
  <c r="C115" i="65" s="1"/>
  <c r="C127" i="65" s="1"/>
  <c r="C139" i="65" s="1"/>
  <c r="C20" i="65"/>
  <c r="C32" i="65" s="1"/>
  <c r="C44" i="65" s="1"/>
  <c r="C56" i="65" s="1"/>
  <c r="C68" i="65" s="1"/>
  <c r="C80" i="65" s="1"/>
  <c r="C92" i="65" s="1"/>
  <c r="C104" i="65" s="1"/>
  <c r="C116" i="65" s="1"/>
  <c r="C128" i="65" s="1"/>
  <c r="C140" i="65" s="1"/>
  <c r="C21" i="65"/>
  <c r="C33" i="65" s="1"/>
  <c r="C45" i="65" s="1"/>
  <c r="C57" i="65" s="1"/>
  <c r="C69" i="65" s="1"/>
  <c r="C81" i="65" s="1"/>
  <c r="C93" i="65" s="1"/>
  <c r="C105" i="65" s="1"/>
  <c r="C117" i="65" s="1"/>
  <c r="C129" i="65" s="1"/>
  <c r="C141" i="65" s="1"/>
  <c r="C22" i="65"/>
  <c r="C34" i="65" s="1"/>
  <c r="C46" i="65" s="1"/>
  <c r="C58" i="65" s="1"/>
  <c r="C70" i="65" s="1"/>
  <c r="C82" i="65" s="1"/>
  <c r="C94" i="65" s="1"/>
  <c r="C106" i="65" s="1"/>
  <c r="C118" i="65" s="1"/>
  <c r="C130" i="65" s="1"/>
  <c r="C142" i="65" s="1"/>
  <c r="C23" i="65"/>
  <c r="C35" i="65" s="1"/>
  <c r="C47" i="65" s="1"/>
  <c r="C59" i="65" s="1"/>
  <c r="C71" i="65" s="1"/>
  <c r="C83" i="65" s="1"/>
  <c r="C95" i="65" s="1"/>
  <c r="C107" i="65" s="1"/>
  <c r="C119" i="65" s="1"/>
  <c r="C131" i="65" s="1"/>
  <c r="C143" i="65" s="1"/>
  <c r="C24" i="65"/>
  <c r="C36" i="65" s="1"/>
  <c r="C48" i="65" s="1"/>
  <c r="C60" i="65" s="1"/>
  <c r="C72" i="65" s="1"/>
  <c r="C84" i="65" s="1"/>
  <c r="C96" i="65" s="1"/>
  <c r="C108" i="65" s="1"/>
  <c r="C120" i="65" s="1"/>
  <c r="C132" i="65" s="1"/>
  <c r="C144" i="65" s="1"/>
  <c r="C25" i="65"/>
  <c r="C37" i="65" s="1"/>
  <c r="C49" i="65" s="1"/>
  <c r="C61" i="65" s="1"/>
  <c r="C73" i="65" s="1"/>
  <c r="C85" i="65" s="1"/>
  <c r="C97" i="65" s="1"/>
  <c r="C109" i="65" s="1"/>
  <c r="C121" i="65" s="1"/>
  <c r="C133" i="65" s="1"/>
  <c r="C145" i="65" s="1"/>
  <c r="C26" i="65"/>
  <c r="C38" i="65" s="1"/>
  <c r="C50" i="65" s="1"/>
  <c r="C62" i="65" s="1"/>
  <c r="C74" i="65" s="1"/>
  <c r="C86" i="65" s="1"/>
  <c r="C98" i="65" s="1"/>
  <c r="C110" i="65" s="1"/>
  <c r="C122" i="65" s="1"/>
  <c r="C134" i="65" s="1"/>
  <c r="C146" i="65" s="1"/>
  <c r="C27" i="65"/>
  <c r="C39" i="65" s="1"/>
  <c r="C51" i="65" s="1"/>
  <c r="C63" i="65" s="1"/>
  <c r="C75" i="65" s="1"/>
  <c r="C87" i="65" s="1"/>
  <c r="C99" i="65" s="1"/>
  <c r="C111" i="65" s="1"/>
  <c r="C123" i="65" s="1"/>
  <c r="C135" i="65" s="1"/>
  <c r="C147" i="65" s="1"/>
  <c r="C16" i="65"/>
  <c r="C28" i="65" s="1"/>
  <c r="C40" i="65" s="1"/>
  <c r="C52" i="65" s="1"/>
  <c r="C64" i="65" s="1"/>
  <c r="C76" i="65" s="1"/>
  <c r="C88" i="65" s="1"/>
  <c r="C100" i="65" s="1"/>
  <c r="C112" i="65" s="1"/>
  <c r="C124" i="65" s="1"/>
  <c r="C136" i="65" s="1"/>
  <c r="DT1" i="4"/>
  <c r="DY1" i="4" s="1"/>
  <c r="DX1" i="4"/>
  <c r="EV1" i="4"/>
  <c r="EU1" i="4"/>
  <c r="AX18" i="4"/>
  <c r="AJ18" i="4"/>
  <c r="BL18" i="4"/>
  <c r="BZ18" i="4"/>
  <c r="CN18" i="4"/>
  <c r="DB18" i="4"/>
  <c r="U18" i="4"/>
  <c r="W2" i="4"/>
  <c r="X2" i="4" s="1"/>
  <c r="H2" i="36" l="1"/>
  <c r="O2" i="36" s="1"/>
  <c r="J2" i="77"/>
  <c r="H2" i="32"/>
  <c r="O2" i="32" s="1"/>
  <c r="J91" i="77"/>
  <c r="H91" i="36"/>
  <c r="O91" i="36" s="1"/>
  <c r="H91" i="32"/>
  <c r="O91" i="32" s="1"/>
  <c r="J75" i="77"/>
  <c r="H75" i="36"/>
  <c r="O75" i="36" s="1"/>
  <c r="H75" i="32"/>
  <c r="O75" i="32" s="1"/>
  <c r="J59" i="77"/>
  <c r="H59" i="36"/>
  <c r="O59" i="36" s="1"/>
  <c r="H59" i="32"/>
  <c r="O59" i="32" s="1"/>
  <c r="J43" i="77"/>
  <c r="H43" i="36"/>
  <c r="O43" i="36" s="1"/>
  <c r="H43" i="32"/>
  <c r="O43" i="32" s="1"/>
  <c r="J27" i="77"/>
  <c r="H27" i="36"/>
  <c r="O27" i="36" s="1"/>
  <c r="H27" i="32"/>
  <c r="O27" i="32" s="1"/>
  <c r="J11" i="77"/>
  <c r="H11" i="36"/>
  <c r="O11" i="36" s="1"/>
  <c r="H11" i="32"/>
  <c r="O11" i="32" s="1"/>
  <c r="H121" i="155"/>
  <c r="G121" i="152"/>
  <c r="G121" i="151"/>
  <c r="H117" i="155"/>
  <c r="G117" i="152"/>
  <c r="G117" i="151"/>
  <c r="H113" i="155"/>
  <c r="G113" i="152"/>
  <c r="G113" i="151"/>
  <c r="G109" i="151"/>
  <c r="H109" i="155"/>
  <c r="G109" i="152"/>
  <c r="G105" i="152"/>
  <c r="H105" i="155"/>
  <c r="G105" i="151"/>
  <c r="H101" i="155"/>
  <c r="G101" i="152"/>
  <c r="G101" i="151"/>
  <c r="H97" i="155"/>
  <c r="G97" i="152"/>
  <c r="G97" i="151"/>
  <c r="G93" i="151"/>
  <c r="H93" i="155"/>
  <c r="G93" i="152"/>
  <c r="H89" i="155"/>
  <c r="G89" i="151"/>
  <c r="G89" i="152"/>
  <c r="G85" i="152"/>
  <c r="H85" i="155"/>
  <c r="G85" i="151"/>
  <c r="H81" i="155"/>
  <c r="G81" i="152"/>
  <c r="G81" i="151"/>
  <c r="H77" i="155"/>
  <c r="G77" i="151"/>
  <c r="G77" i="152"/>
  <c r="H73" i="155"/>
  <c r="G73" i="152"/>
  <c r="G73" i="151"/>
  <c r="G69" i="152"/>
  <c r="H69" i="155"/>
  <c r="G69" i="151"/>
  <c r="G65" i="152"/>
  <c r="H65" i="155"/>
  <c r="G65" i="151"/>
  <c r="H61" i="155"/>
  <c r="G61" i="151"/>
  <c r="G61" i="152"/>
  <c r="H57" i="155"/>
  <c r="G57" i="152"/>
  <c r="G57" i="151"/>
  <c r="G53" i="152"/>
  <c r="H53" i="155"/>
  <c r="G53" i="151"/>
  <c r="H49" i="155"/>
  <c r="G49" i="152"/>
  <c r="G49" i="151"/>
  <c r="H45" i="155"/>
  <c r="G45" i="151"/>
  <c r="G45" i="152"/>
  <c r="H41" i="155"/>
  <c r="G41" i="152"/>
  <c r="G41" i="151"/>
  <c r="G37" i="152"/>
  <c r="H37" i="155"/>
  <c r="G37" i="151"/>
  <c r="G33" i="152"/>
  <c r="G33" i="151"/>
  <c r="H33" i="155"/>
  <c r="G29" i="151"/>
  <c r="G29" i="152"/>
  <c r="H29" i="155"/>
  <c r="G25" i="152"/>
  <c r="G25" i="151"/>
  <c r="H25" i="155"/>
  <c r="H21" i="155"/>
  <c r="G21" i="152"/>
  <c r="G21" i="151"/>
  <c r="G17" i="152"/>
  <c r="H17" i="155"/>
  <c r="G17" i="151"/>
  <c r="G13" i="151"/>
  <c r="H13" i="155"/>
  <c r="G13" i="152"/>
  <c r="H9" i="155"/>
  <c r="G9" i="152"/>
  <c r="G9" i="151"/>
  <c r="H5" i="155"/>
  <c r="G5" i="152"/>
  <c r="G5" i="151"/>
  <c r="J109" i="77"/>
  <c r="H109" i="32"/>
  <c r="O109" i="32" s="1"/>
  <c r="H109" i="36"/>
  <c r="O109" i="36" s="1"/>
  <c r="H105" i="32"/>
  <c r="O105" i="32" s="1"/>
  <c r="J105" i="77"/>
  <c r="H105" i="36"/>
  <c r="O105" i="36" s="1"/>
  <c r="J101" i="77"/>
  <c r="H101" i="32"/>
  <c r="O101" i="32" s="1"/>
  <c r="H101" i="36"/>
  <c r="O101" i="36" s="1"/>
  <c r="J94" i="77"/>
  <c r="H94" i="36"/>
  <c r="O94" i="36" s="1"/>
  <c r="H94" i="32"/>
  <c r="O94" i="32" s="1"/>
  <c r="J78" i="77"/>
  <c r="H78" i="36"/>
  <c r="O78" i="36" s="1"/>
  <c r="H78" i="32"/>
  <c r="O78" i="32" s="1"/>
  <c r="J62" i="77"/>
  <c r="H62" i="36"/>
  <c r="O62" i="36" s="1"/>
  <c r="H62" i="32"/>
  <c r="O62" i="32" s="1"/>
  <c r="J46" i="77"/>
  <c r="H46" i="36"/>
  <c r="O46" i="36" s="1"/>
  <c r="H46" i="32"/>
  <c r="O46" i="32" s="1"/>
  <c r="J30" i="77"/>
  <c r="H30" i="36"/>
  <c r="O30" i="36" s="1"/>
  <c r="H30" i="32"/>
  <c r="O30" i="32" s="1"/>
  <c r="J14" i="77"/>
  <c r="H14" i="36"/>
  <c r="O14" i="36" s="1"/>
  <c r="H14" i="32"/>
  <c r="O14" i="32" s="1"/>
  <c r="J88" i="77"/>
  <c r="H88" i="36"/>
  <c r="O88" i="36" s="1"/>
  <c r="H88" i="32"/>
  <c r="O88" i="32" s="1"/>
  <c r="J56" i="77"/>
  <c r="H56" i="36"/>
  <c r="O56" i="36" s="1"/>
  <c r="H56" i="32"/>
  <c r="O56" i="32" s="1"/>
  <c r="J114" i="77"/>
  <c r="H114" i="36"/>
  <c r="O114" i="36" s="1"/>
  <c r="H114" i="32"/>
  <c r="O114" i="32" s="1"/>
  <c r="H97" i="32"/>
  <c r="O97" i="32" s="1"/>
  <c r="J97" i="77"/>
  <c r="H97" i="36"/>
  <c r="O97" i="36" s="1"/>
  <c r="H81" i="32"/>
  <c r="O81" i="32" s="1"/>
  <c r="J81" i="77"/>
  <c r="H81" i="36"/>
  <c r="O81" i="36" s="1"/>
  <c r="H65" i="32"/>
  <c r="O65" i="32" s="1"/>
  <c r="J65" i="77"/>
  <c r="H65" i="36"/>
  <c r="O65" i="36" s="1"/>
  <c r="H49" i="32"/>
  <c r="O49" i="32" s="1"/>
  <c r="J49" i="77"/>
  <c r="H49" i="36"/>
  <c r="O49" i="36" s="1"/>
  <c r="H33" i="32"/>
  <c r="O33" i="32" s="1"/>
  <c r="J33" i="77"/>
  <c r="H33" i="36"/>
  <c r="O33" i="36" s="1"/>
  <c r="J17" i="77"/>
  <c r="H17" i="32"/>
  <c r="O17" i="32" s="1"/>
  <c r="H17" i="36"/>
  <c r="O17" i="36" s="1"/>
  <c r="J84" i="77"/>
  <c r="H84" i="36"/>
  <c r="O84" i="36" s="1"/>
  <c r="H84" i="32"/>
  <c r="O84" i="32" s="1"/>
  <c r="J68" i="77"/>
  <c r="H68" i="36"/>
  <c r="O68" i="36" s="1"/>
  <c r="H68" i="32"/>
  <c r="O68" i="32" s="1"/>
  <c r="J52" i="77"/>
  <c r="H52" i="36"/>
  <c r="O52" i="36" s="1"/>
  <c r="H52" i="32"/>
  <c r="O52" i="32" s="1"/>
  <c r="J36" i="77"/>
  <c r="H36" i="36"/>
  <c r="O36" i="36" s="1"/>
  <c r="H36" i="32"/>
  <c r="O36" i="32" s="1"/>
  <c r="J20" i="77"/>
  <c r="H20" i="36"/>
  <c r="O20" i="36" s="1"/>
  <c r="H20" i="32"/>
  <c r="O20" i="32" s="1"/>
  <c r="J4" i="77"/>
  <c r="H4" i="36"/>
  <c r="O4" i="36" s="1"/>
  <c r="H4" i="32"/>
  <c r="O4" i="32" s="1"/>
  <c r="J87" i="77"/>
  <c r="H87" i="32"/>
  <c r="O87" i="32" s="1"/>
  <c r="H87" i="36"/>
  <c r="O87" i="36" s="1"/>
  <c r="J71" i="77"/>
  <c r="H71" i="32"/>
  <c r="O71" i="32" s="1"/>
  <c r="H71" i="36"/>
  <c r="O71" i="36" s="1"/>
  <c r="J55" i="77"/>
  <c r="H55" i="36"/>
  <c r="O55" i="36" s="1"/>
  <c r="H55" i="32"/>
  <c r="O55" i="32" s="1"/>
  <c r="J39" i="77"/>
  <c r="H39" i="32"/>
  <c r="O39" i="32" s="1"/>
  <c r="H39" i="36"/>
  <c r="O39" i="36" s="1"/>
  <c r="J23" i="77"/>
  <c r="H23" i="36"/>
  <c r="O23" i="36" s="1"/>
  <c r="H23" i="32"/>
  <c r="O23" i="32" s="1"/>
  <c r="J7" i="77"/>
  <c r="H7" i="36"/>
  <c r="O7" i="36" s="1"/>
  <c r="H7" i="32"/>
  <c r="O7" i="32" s="1"/>
  <c r="H120" i="155"/>
  <c r="G120" i="152"/>
  <c r="G120" i="151"/>
  <c r="H116" i="155"/>
  <c r="G116" i="152"/>
  <c r="G116" i="151"/>
  <c r="H112" i="155"/>
  <c r="G112" i="152"/>
  <c r="G112" i="151"/>
  <c r="G108" i="151"/>
  <c r="H108" i="155"/>
  <c r="G108" i="152"/>
  <c r="G104" i="152"/>
  <c r="H104" i="155"/>
  <c r="G104" i="151"/>
  <c r="H100" i="155"/>
  <c r="G100" i="152"/>
  <c r="G100" i="151"/>
  <c r="H96" i="155"/>
  <c r="G96" i="152"/>
  <c r="G96" i="151"/>
  <c r="G92" i="151"/>
  <c r="H92" i="155"/>
  <c r="G92" i="152"/>
  <c r="H88" i="155"/>
  <c r="G88" i="152"/>
  <c r="G88" i="151"/>
  <c r="H84" i="155"/>
  <c r="G84" i="152"/>
  <c r="G84" i="151"/>
  <c r="H80" i="155"/>
  <c r="G80" i="152"/>
  <c r="G80" i="151"/>
  <c r="G76" i="151"/>
  <c r="H76" i="155"/>
  <c r="G76" i="152"/>
  <c r="G72" i="152"/>
  <c r="G72" i="151"/>
  <c r="H72" i="155"/>
  <c r="H68" i="155"/>
  <c r="G68" i="152"/>
  <c r="G68" i="151"/>
  <c r="M68" i="151" s="1"/>
  <c r="H64" i="155"/>
  <c r="G64" i="152"/>
  <c r="G64" i="151"/>
  <c r="H60" i="155"/>
  <c r="G60" i="151"/>
  <c r="G60" i="152"/>
  <c r="G56" i="152"/>
  <c r="G56" i="151"/>
  <c r="H56" i="155"/>
  <c r="H52" i="155"/>
  <c r="G52" i="151"/>
  <c r="M52" i="151" s="1"/>
  <c r="G52" i="152"/>
  <c r="H48" i="155"/>
  <c r="G48" i="152"/>
  <c r="G48" i="151"/>
  <c r="H44" i="155"/>
  <c r="G44" i="151"/>
  <c r="G44" i="152"/>
  <c r="H40" i="155"/>
  <c r="G40" i="152"/>
  <c r="G40" i="151"/>
  <c r="H36" i="155"/>
  <c r="G36" i="152"/>
  <c r="G36" i="151"/>
  <c r="H32" i="155"/>
  <c r="G32" i="152"/>
  <c r="G32" i="151"/>
  <c r="G28" i="151"/>
  <c r="H28" i="155"/>
  <c r="G28" i="152"/>
  <c r="H24" i="155"/>
  <c r="G24" i="152"/>
  <c r="G24" i="151"/>
  <c r="H20" i="155"/>
  <c r="G20" i="152"/>
  <c r="G20" i="151"/>
  <c r="H16" i="155"/>
  <c r="G16" i="152"/>
  <c r="G16" i="151"/>
  <c r="H12" i="155"/>
  <c r="G12" i="151"/>
  <c r="G12" i="152"/>
  <c r="G8" i="152"/>
  <c r="G8" i="151"/>
  <c r="H8" i="155"/>
  <c r="H4" i="155"/>
  <c r="G4" i="152"/>
  <c r="G4" i="151"/>
  <c r="M4" i="151" s="1"/>
  <c r="J115" i="77"/>
  <c r="H115" i="36"/>
  <c r="O115" i="36" s="1"/>
  <c r="H115" i="32"/>
  <c r="O115" i="32" s="1"/>
  <c r="J72" i="77"/>
  <c r="H72" i="36"/>
  <c r="O72" i="36" s="1"/>
  <c r="H72" i="32"/>
  <c r="O72" i="32" s="1"/>
  <c r="H24" i="36"/>
  <c r="O24" i="36" s="1"/>
  <c r="H24" i="32"/>
  <c r="O24" i="32" s="1"/>
  <c r="J24" i="77"/>
  <c r="H113" i="32"/>
  <c r="O113" i="32" s="1"/>
  <c r="J113" i="77"/>
  <c r="H113" i="36"/>
  <c r="O113" i="36" s="1"/>
  <c r="J108" i="77"/>
  <c r="H108" i="36"/>
  <c r="O108" i="36" s="1"/>
  <c r="H108" i="32"/>
  <c r="O108" i="32" s="1"/>
  <c r="J104" i="77"/>
  <c r="H104" i="36"/>
  <c r="O104" i="36" s="1"/>
  <c r="H104" i="32"/>
  <c r="O104" i="32" s="1"/>
  <c r="J100" i="77"/>
  <c r="H100" i="36"/>
  <c r="O100" i="36" s="1"/>
  <c r="H100" i="32"/>
  <c r="O100" i="32" s="1"/>
  <c r="H90" i="36"/>
  <c r="O90" i="36" s="1"/>
  <c r="J90" i="77"/>
  <c r="H90" i="32"/>
  <c r="O90" i="32" s="1"/>
  <c r="H74" i="36"/>
  <c r="O74" i="36" s="1"/>
  <c r="J74" i="77"/>
  <c r="H74" i="32"/>
  <c r="O74" i="32" s="1"/>
  <c r="H58" i="36"/>
  <c r="O58" i="36" s="1"/>
  <c r="J58" i="77"/>
  <c r="H58" i="32"/>
  <c r="O58" i="32" s="1"/>
  <c r="H42" i="36"/>
  <c r="O42" i="36" s="1"/>
  <c r="J42" i="77"/>
  <c r="H42" i="32"/>
  <c r="O42" i="32" s="1"/>
  <c r="J26" i="77"/>
  <c r="H26" i="36"/>
  <c r="O26" i="36" s="1"/>
  <c r="H26" i="32"/>
  <c r="O26" i="32" s="1"/>
  <c r="H10" i="36"/>
  <c r="O10" i="36" s="1"/>
  <c r="J10" i="77"/>
  <c r="H10" i="32"/>
  <c r="O10" i="32" s="1"/>
  <c r="J118" i="77"/>
  <c r="H118" i="36"/>
  <c r="O118" i="36" s="1"/>
  <c r="H118" i="32"/>
  <c r="O118" i="32" s="1"/>
  <c r="J93" i="77"/>
  <c r="H93" i="32"/>
  <c r="O93" i="32" s="1"/>
  <c r="H93" i="36"/>
  <c r="O93" i="36" s="1"/>
  <c r="J77" i="77"/>
  <c r="H77" i="32"/>
  <c r="O77" i="32" s="1"/>
  <c r="H77" i="36"/>
  <c r="O77" i="36" s="1"/>
  <c r="J61" i="77"/>
  <c r="H61" i="32"/>
  <c r="O61" i="32" s="1"/>
  <c r="H61" i="36"/>
  <c r="O61" i="36" s="1"/>
  <c r="J45" i="77"/>
  <c r="H45" i="32"/>
  <c r="O45" i="32" s="1"/>
  <c r="H45" i="36"/>
  <c r="O45" i="36" s="1"/>
  <c r="J29" i="77"/>
  <c r="H29" i="32"/>
  <c r="O29" i="32" s="1"/>
  <c r="H29" i="36"/>
  <c r="O29" i="36" s="1"/>
  <c r="J13" i="77"/>
  <c r="H13" i="32"/>
  <c r="O13" i="32" s="1"/>
  <c r="H13" i="36"/>
  <c r="O13" i="36" s="1"/>
  <c r="J96" i="77"/>
  <c r="H96" i="36"/>
  <c r="O96" i="36" s="1"/>
  <c r="H96" i="32"/>
  <c r="O96" i="32" s="1"/>
  <c r="J80" i="77"/>
  <c r="H80" i="36"/>
  <c r="O80" i="36" s="1"/>
  <c r="H80" i="32"/>
  <c r="O80" i="32" s="1"/>
  <c r="J64" i="77"/>
  <c r="H64" i="36"/>
  <c r="O64" i="36" s="1"/>
  <c r="H64" i="32"/>
  <c r="O64" i="32" s="1"/>
  <c r="J48" i="77"/>
  <c r="H48" i="36"/>
  <c r="O48" i="36" s="1"/>
  <c r="H48" i="32"/>
  <c r="O48" i="32" s="1"/>
  <c r="J32" i="77"/>
  <c r="H32" i="36"/>
  <c r="O32" i="36" s="1"/>
  <c r="H32" i="32"/>
  <c r="O32" i="32" s="1"/>
  <c r="J16" i="77"/>
  <c r="H16" i="36"/>
  <c r="O16" i="36" s="1"/>
  <c r="H16" i="32"/>
  <c r="O16" i="32" s="1"/>
  <c r="J112" i="77"/>
  <c r="H112" i="36"/>
  <c r="O112" i="36" s="1"/>
  <c r="H112" i="32"/>
  <c r="O112" i="32" s="1"/>
  <c r="J83" i="77"/>
  <c r="H83" i="36"/>
  <c r="O83" i="36" s="1"/>
  <c r="H83" i="32"/>
  <c r="O83" i="32" s="1"/>
  <c r="J67" i="77"/>
  <c r="H67" i="36"/>
  <c r="O67" i="36" s="1"/>
  <c r="H67" i="32"/>
  <c r="O67" i="32" s="1"/>
  <c r="J51" i="77"/>
  <c r="H51" i="36"/>
  <c r="O51" i="36" s="1"/>
  <c r="H51" i="32"/>
  <c r="O51" i="32" s="1"/>
  <c r="J35" i="77"/>
  <c r="H35" i="36"/>
  <c r="O35" i="36" s="1"/>
  <c r="H35" i="32"/>
  <c r="O35" i="32" s="1"/>
  <c r="J19" i="77"/>
  <c r="H19" i="36"/>
  <c r="O19" i="36" s="1"/>
  <c r="H19" i="32"/>
  <c r="O19" i="32" s="1"/>
  <c r="J3" i="77"/>
  <c r="H3" i="36"/>
  <c r="O3" i="36" s="1"/>
  <c r="H3" i="32"/>
  <c r="O3" i="32" s="1"/>
  <c r="H119" i="155"/>
  <c r="G119" i="152"/>
  <c r="G119" i="151"/>
  <c r="M119" i="151" s="1"/>
  <c r="H115" i="155"/>
  <c r="G115" i="152"/>
  <c r="G115" i="151"/>
  <c r="G111" i="151"/>
  <c r="H111" i="155"/>
  <c r="G111" i="152"/>
  <c r="H107" i="155"/>
  <c r="G107" i="152"/>
  <c r="M107" i="152" s="1"/>
  <c r="G107" i="151"/>
  <c r="G103" i="152"/>
  <c r="G103" i="151"/>
  <c r="H103" i="155"/>
  <c r="H99" i="155"/>
  <c r="G99" i="152"/>
  <c r="G99" i="151"/>
  <c r="G95" i="151"/>
  <c r="G95" i="152"/>
  <c r="H95" i="155"/>
  <c r="H91" i="155"/>
  <c r="G91" i="151"/>
  <c r="G91" i="152"/>
  <c r="M91" i="152" s="1"/>
  <c r="H87" i="155"/>
  <c r="G87" i="152"/>
  <c r="G87" i="151"/>
  <c r="H83" i="155"/>
  <c r="G83" i="152"/>
  <c r="G83" i="151"/>
  <c r="H79" i="155"/>
  <c r="G79" i="151"/>
  <c r="G79" i="152"/>
  <c r="H75" i="155"/>
  <c r="G75" i="152"/>
  <c r="G75" i="151"/>
  <c r="H71" i="155"/>
  <c r="G71" i="152"/>
  <c r="G71" i="151"/>
  <c r="H67" i="155"/>
  <c r="G67" i="152"/>
  <c r="G67" i="151"/>
  <c r="G63" i="151"/>
  <c r="H63" i="155"/>
  <c r="G63" i="152"/>
  <c r="M63" i="152" s="1"/>
  <c r="H59" i="155"/>
  <c r="G59" i="151"/>
  <c r="G59" i="152"/>
  <c r="H55" i="155"/>
  <c r="G55" i="152"/>
  <c r="G55" i="151"/>
  <c r="M55" i="151" s="1"/>
  <c r="G51" i="152"/>
  <c r="H51" i="155"/>
  <c r="G51" i="151"/>
  <c r="H47" i="155"/>
  <c r="G47" i="151"/>
  <c r="M47" i="151" s="1"/>
  <c r="G47" i="152"/>
  <c r="H43" i="155"/>
  <c r="G43" i="152"/>
  <c r="G43" i="151"/>
  <c r="G39" i="152"/>
  <c r="H39" i="155"/>
  <c r="G39" i="151"/>
  <c r="H35" i="155"/>
  <c r="G35" i="152"/>
  <c r="G35" i="151"/>
  <c r="M35" i="151" s="1"/>
  <c r="H31" i="155"/>
  <c r="G31" i="151"/>
  <c r="G31" i="152"/>
  <c r="G27" i="151"/>
  <c r="H27" i="155"/>
  <c r="G27" i="152"/>
  <c r="M27" i="152" s="1"/>
  <c r="G23" i="152"/>
  <c r="G23" i="151"/>
  <c r="H23" i="155"/>
  <c r="H19" i="155"/>
  <c r="G19" i="152"/>
  <c r="G19" i="151"/>
  <c r="H15" i="155"/>
  <c r="G15" i="151"/>
  <c r="G15" i="152"/>
  <c r="H11" i="155"/>
  <c r="G11" i="152"/>
  <c r="G11" i="151"/>
  <c r="G7" i="152"/>
  <c r="H7" i="155"/>
  <c r="G7" i="151"/>
  <c r="H3" i="155"/>
  <c r="G3" i="152"/>
  <c r="G3" i="151"/>
  <c r="J117" i="77"/>
  <c r="H117" i="32"/>
  <c r="O117" i="32" s="1"/>
  <c r="H117" i="36"/>
  <c r="O117" i="36" s="1"/>
  <c r="J107" i="77"/>
  <c r="H107" i="36"/>
  <c r="O107" i="36" s="1"/>
  <c r="H107" i="32"/>
  <c r="O107" i="32" s="1"/>
  <c r="J103" i="77"/>
  <c r="H103" i="32"/>
  <c r="O103" i="32" s="1"/>
  <c r="H103" i="36"/>
  <c r="O103" i="36" s="1"/>
  <c r="J99" i="77"/>
  <c r="H99" i="36"/>
  <c r="O99" i="36" s="1"/>
  <c r="H99" i="32"/>
  <c r="O99" i="32" s="1"/>
  <c r="J86" i="77"/>
  <c r="H86" i="36"/>
  <c r="O86" i="36" s="1"/>
  <c r="H86" i="32"/>
  <c r="O86" i="32" s="1"/>
  <c r="J70" i="77"/>
  <c r="H70" i="36"/>
  <c r="O70" i="36" s="1"/>
  <c r="H70" i="32"/>
  <c r="O70" i="32" s="1"/>
  <c r="J54" i="77"/>
  <c r="H54" i="36"/>
  <c r="O54" i="36" s="1"/>
  <c r="H54" i="32"/>
  <c r="O54" i="32" s="1"/>
  <c r="J38" i="77"/>
  <c r="H38" i="36"/>
  <c r="O38" i="36" s="1"/>
  <c r="H38" i="32"/>
  <c r="O38" i="32" s="1"/>
  <c r="J22" i="77"/>
  <c r="H22" i="36"/>
  <c r="O22" i="36" s="1"/>
  <c r="H22" i="32"/>
  <c r="O22" i="32" s="1"/>
  <c r="J6" i="77"/>
  <c r="H6" i="36"/>
  <c r="O6" i="36" s="1"/>
  <c r="H6" i="32"/>
  <c r="O6" i="32" s="1"/>
  <c r="H89" i="32"/>
  <c r="O89" i="32" s="1"/>
  <c r="J89" i="77"/>
  <c r="H89" i="36"/>
  <c r="O89" i="36" s="1"/>
  <c r="H73" i="32"/>
  <c r="O73" i="32" s="1"/>
  <c r="J73" i="77"/>
  <c r="H73" i="36"/>
  <c r="O73" i="36" s="1"/>
  <c r="H57" i="32"/>
  <c r="O57" i="32" s="1"/>
  <c r="J57" i="77"/>
  <c r="H57" i="36"/>
  <c r="O57" i="36" s="1"/>
  <c r="H41" i="32"/>
  <c r="O41" i="32" s="1"/>
  <c r="J41" i="77"/>
  <c r="H41" i="36"/>
  <c r="O41" i="36" s="1"/>
  <c r="J25" i="77"/>
  <c r="H25" i="32"/>
  <c r="O25" i="32" s="1"/>
  <c r="H25" i="36"/>
  <c r="O25" i="36" s="1"/>
  <c r="J9" i="77"/>
  <c r="H9" i="32"/>
  <c r="O9" i="32" s="1"/>
  <c r="H9" i="36"/>
  <c r="O9" i="36" s="1"/>
  <c r="J40" i="77"/>
  <c r="H40" i="36"/>
  <c r="O40" i="36" s="1"/>
  <c r="H40" i="32"/>
  <c r="O40" i="32" s="1"/>
  <c r="J8" i="77"/>
  <c r="H8" i="36"/>
  <c r="O8" i="36" s="1"/>
  <c r="H8" i="32"/>
  <c r="O8" i="32" s="1"/>
  <c r="J111" i="77"/>
  <c r="H111" i="36"/>
  <c r="O111" i="36" s="1"/>
  <c r="H111" i="32"/>
  <c r="O111" i="32" s="1"/>
  <c r="J92" i="77"/>
  <c r="H92" i="32"/>
  <c r="O92" i="32" s="1"/>
  <c r="H92" i="36"/>
  <c r="O92" i="36" s="1"/>
  <c r="J76" i="77"/>
  <c r="H76" i="36"/>
  <c r="O76" i="36" s="1"/>
  <c r="H76" i="32"/>
  <c r="O76" i="32" s="1"/>
  <c r="J60" i="77"/>
  <c r="H60" i="32"/>
  <c r="O60" i="32" s="1"/>
  <c r="H60" i="36"/>
  <c r="O60" i="36" s="1"/>
  <c r="J44" i="77"/>
  <c r="H44" i="32"/>
  <c r="O44" i="32" s="1"/>
  <c r="H44" i="36"/>
  <c r="O44" i="36" s="1"/>
  <c r="J28" i="77"/>
  <c r="H28" i="32"/>
  <c r="O28" i="32" s="1"/>
  <c r="H28" i="36"/>
  <c r="O28" i="36" s="1"/>
  <c r="J12" i="77"/>
  <c r="H12" i="36"/>
  <c r="O12" i="36" s="1"/>
  <c r="H12" i="32"/>
  <c r="O12" i="32" s="1"/>
  <c r="J116" i="77"/>
  <c r="H116" i="32"/>
  <c r="O116" i="32" s="1"/>
  <c r="H116" i="36"/>
  <c r="O116" i="36" s="1"/>
  <c r="J95" i="77"/>
  <c r="H95" i="36"/>
  <c r="O95" i="36" s="1"/>
  <c r="H95" i="32"/>
  <c r="O95" i="32" s="1"/>
  <c r="J79" i="77"/>
  <c r="H79" i="36"/>
  <c r="O79" i="36" s="1"/>
  <c r="H79" i="32"/>
  <c r="O79" i="32" s="1"/>
  <c r="J63" i="77"/>
  <c r="H63" i="32"/>
  <c r="O63" i="32" s="1"/>
  <c r="H63" i="36"/>
  <c r="O63" i="36" s="1"/>
  <c r="J47" i="77"/>
  <c r="H47" i="36"/>
  <c r="O47" i="36" s="1"/>
  <c r="H47" i="32"/>
  <c r="O47" i="32" s="1"/>
  <c r="J31" i="77"/>
  <c r="H31" i="32"/>
  <c r="O31" i="32" s="1"/>
  <c r="H31" i="36"/>
  <c r="O31" i="36" s="1"/>
  <c r="J15" i="77"/>
  <c r="H15" i="32"/>
  <c r="O15" i="32" s="1"/>
  <c r="H15" i="36"/>
  <c r="O15" i="36" s="1"/>
  <c r="G118" i="152"/>
  <c r="G118" i="151"/>
  <c r="H118" i="155"/>
  <c r="H114" i="155"/>
  <c r="G114" i="152"/>
  <c r="G114" i="151"/>
  <c r="M114" i="151" s="1"/>
  <c r="G110" i="151"/>
  <c r="G110" i="152"/>
  <c r="M110" i="152" s="1"/>
  <c r="H110" i="155"/>
  <c r="H106" i="155"/>
  <c r="G106" i="151"/>
  <c r="M106" i="151" s="1"/>
  <c r="G106" i="152"/>
  <c r="M106" i="152" s="1"/>
  <c r="G102" i="152"/>
  <c r="H102" i="155"/>
  <c r="G102" i="151"/>
  <c r="H98" i="155"/>
  <c r="G98" i="151"/>
  <c r="G98" i="152"/>
  <c r="G94" i="151"/>
  <c r="G94" i="152"/>
  <c r="H94" i="155"/>
  <c r="H90" i="155"/>
  <c r="G90" i="151"/>
  <c r="G90" i="152"/>
  <c r="H86" i="155"/>
  <c r="G86" i="152"/>
  <c r="G86" i="151"/>
  <c r="H82" i="155"/>
  <c r="G82" i="152"/>
  <c r="G82" i="151"/>
  <c r="M82" i="151" s="1"/>
  <c r="H78" i="155"/>
  <c r="G78" i="151"/>
  <c r="G78" i="152"/>
  <c r="H74" i="155"/>
  <c r="G74" i="151"/>
  <c r="M74" i="151" s="1"/>
  <c r="G74" i="152"/>
  <c r="H70" i="155"/>
  <c r="G70" i="152"/>
  <c r="G70" i="151"/>
  <c r="H66" i="155"/>
  <c r="G66" i="152"/>
  <c r="M66" i="152" s="1"/>
  <c r="G66" i="151"/>
  <c r="H62" i="155"/>
  <c r="G62" i="151"/>
  <c r="G62" i="152"/>
  <c r="H58" i="155"/>
  <c r="G58" i="152"/>
  <c r="G58" i="151"/>
  <c r="G54" i="152"/>
  <c r="H54" i="155"/>
  <c r="G54" i="151"/>
  <c r="H50" i="155"/>
  <c r="G50" i="152"/>
  <c r="G50" i="151"/>
  <c r="H46" i="155"/>
  <c r="G46" i="151"/>
  <c r="M46" i="151" s="1"/>
  <c r="G46" i="152"/>
  <c r="M46" i="152" s="1"/>
  <c r="H42" i="155"/>
  <c r="G42" i="152"/>
  <c r="M42" i="152" s="1"/>
  <c r="G42" i="151"/>
  <c r="G38" i="152"/>
  <c r="G38" i="151"/>
  <c r="M38" i="151" s="1"/>
  <c r="H38" i="155"/>
  <c r="H34" i="155"/>
  <c r="G34" i="152"/>
  <c r="G34" i="151"/>
  <c r="G30" i="151"/>
  <c r="G30" i="152"/>
  <c r="H30" i="155"/>
  <c r="G26" i="152"/>
  <c r="H26" i="155"/>
  <c r="G26" i="151"/>
  <c r="G22" i="152"/>
  <c r="G22" i="151"/>
  <c r="H22" i="155"/>
  <c r="H18" i="155"/>
  <c r="G18" i="151"/>
  <c r="G18" i="152"/>
  <c r="M18" i="152" s="1"/>
  <c r="H14" i="155"/>
  <c r="G14" i="151"/>
  <c r="G14" i="152"/>
  <c r="G10" i="152"/>
  <c r="G10" i="151"/>
  <c r="H10" i="155"/>
  <c r="H6" i="155"/>
  <c r="G6" i="152"/>
  <c r="G6" i="151"/>
  <c r="H106" i="36"/>
  <c r="O106" i="36" s="1"/>
  <c r="J106" i="77"/>
  <c r="H106" i="32"/>
  <c r="O106" i="32" s="1"/>
  <c r="J102" i="77"/>
  <c r="H102" i="36"/>
  <c r="O102" i="36" s="1"/>
  <c r="H102" i="32"/>
  <c r="O102" i="32" s="1"/>
  <c r="J98" i="77"/>
  <c r="H98" i="36"/>
  <c r="O98" i="36" s="1"/>
  <c r="H98" i="32"/>
  <c r="O98" i="32" s="1"/>
  <c r="J82" i="77"/>
  <c r="H82" i="36"/>
  <c r="O82" i="36" s="1"/>
  <c r="H82" i="32"/>
  <c r="O82" i="32" s="1"/>
  <c r="J66" i="77"/>
  <c r="H66" i="36"/>
  <c r="O66" i="36" s="1"/>
  <c r="H66" i="32"/>
  <c r="O66" i="32" s="1"/>
  <c r="J50" i="77"/>
  <c r="H50" i="36"/>
  <c r="O50" i="36" s="1"/>
  <c r="H50" i="32"/>
  <c r="O50" i="32" s="1"/>
  <c r="J34" i="77"/>
  <c r="H34" i="36"/>
  <c r="O34" i="36" s="1"/>
  <c r="H34" i="32"/>
  <c r="O34" i="32" s="1"/>
  <c r="J18" i="77"/>
  <c r="H18" i="36"/>
  <c r="O18" i="36" s="1"/>
  <c r="H18" i="32"/>
  <c r="O18" i="32" s="1"/>
  <c r="H2" i="155"/>
  <c r="G2" i="151"/>
  <c r="M2" i="151" s="1"/>
  <c r="G2" i="152"/>
  <c r="J110" i="77"/>
  <c r="H110" i="36"/>
  <c r="O110" i="36" s="1"/>
  <c r="H110" i="32"/>
  <c r="O110" i="32" s="1"/>
  <c r="J85" i="77"/>
  <c r="H85" i="32"/>
  <c r="O85" i="32" s="1"/>
  <c r="H85" i="36"/>
  <c r="O85" i="36" s="1"/>
  <c r="J69" i="77"/>
  <c r="H69" i="32"/>
  <c r="O69" i="32" s="1"/>
  <c r="H69" i="36"/>
  <c r="O69" i="36" s="1"/>
  <c r="J53" i="77"/>
  <c r="H53" i="32"/>
  <c r="O53" i="32" s="1"/>
  <c r="H53" i="36"/>
  <c r="O53" i="36" s="1"/>
  <c r="J37" i="77"/>
  <c r="H37" i="32"/>
  <c r="O37" i="32" s="1"/>
  <c r="H37" i="36"/>
  <c r="O37" i="36" s="1"/>
  <c r="J21" i="77"/>
  <c r="H21" i="32"/>
  <c r="O21" i="32" s="1"/>
  <c r="H21" i="36"/>
  <c r="O21" i="36" s="1"/>
  <c r="J5" i="77"/>
  <c r="H5" i="32"/>
  <c r="O5" i="32" s="1"/>
  <c r="H5" i="36"/>
  <c r="O5" i="36" s="1"/>
  <c r="M120" i="152"/>
  <c r="M120" i="151"/>
  <c r="M116" i="152"/>
  <c r="M116" i="151"/>
  <c r="M112" i="152"/>
  <c r="M112" i="151"/>
  <c r="M108" i="152"/>
  <c r="M108" i="151"/>
  <c r="M104" i="152"/>
  <c r="M104" i="151"/>
  <c r="M100" i="152"/>
  <c r="M100" i="151"/>
  <c r="M96" i="152"/>
  <c r="M96" i="151"/>
  <c r="M92" i="152"/>
  <c r="M92" i="151"/>
  <c r="M88" i="152"/>
  <c r="M88" i="151"/>
  <c r="M84" i="152"/>
  <c r="M84" i="151"/>
  <c r="M80" i="152"/>
  <c r="M80" i="151"/>
  <c r="M76" i="152"/>
  <c r="M76" i="151"/>
  <c r="M72" i="152"/>
  <c r="M72" i="151"/>
  <c r="M68" i="152"/>
  <c r="M64" i="152"/>
  <c r="M64" i="151"/>
  <c r="M60" i="152"/>
  <c r="M60" i="151"/>
  <c r="M56" i="152"/>
  <c r="M56" i="151"/>
  <c r="M52" i="152"/>
  <c r="M48" i="152"/>
  <c r="M48" i="151"/>
  <c r="M44" i="152"/>
  <c r="M44" i="151"/>
  <c r="M40" i="152"/>
  <c r="M40" i="151"/>
  <c r="M36" i="152"/>
  <c r="M36" i="151"/>
  <c r="M32" i="152"/>
  <c r="M32" i="151"/>
  <c r="M28" i="152"/>
  <c r="M28" i="151"/>
  <c r="M24" i="152"/>
  <c r="M24" i="151"/>
  <c r="M20" i="152"/>
  <c r="M20" i="151"/>
  <c r="M16" i="152"/>
  <c r="M16" i="151"/>
  <c r="M12" i="152"/>
  <c r="M12" i="151"/>
  <c r="M8" i="151"/>
  <c r="M8" i="152"/>
  <c r="M4" i="152"/>
  <c r="M119" i="152"/>
  <c r="M115" i="152"/>
  <c r="M115" i="151"/>
  <c r="M111" i="152"/>
  <c r="M111" i="151"/>
  <c r="M107" i="151"/>
  <c r="M103" i="152"/>
  <c r="M103" i="151"/>
  <c r="M99" i="152"/>
  <c r="M99" i="151"/>
  <c r="M95" i="152"/>
  <c r="M95" i="151"/>
  <c r="M91" i="151"/>
  <c r="M87" i="152"/>
  <c r="M87" i="151"/>
  <c r="M83" i="152"/>
  <c r="M83" i="151"/>
  <c r="M79" i="152"/>
  <c r="M79" i="151"/>
  <c r="M75" i="152"/>
  <c r="M75" i="151"/>
  <c r="M71" i="152"/>
  <c r="M71" i="151"/>
  <c r="M67" i="151"/>
  <c r="M67" i="152"/>
  <c r="M63" i="151"/>
  <c r="M59" i="152"/>
  <c r="M59" i="151"/>
  <c r="M55" i="152"/>
  <c r="M51" i="151"/>
  <c r="M51" i="152"/>
  <c r="M47" i="152"/>
  <c r="M43" i="151"/>
  <c r="M43" i="152"/>
  <c r="M39" i="152"/>
  <c r="M39" i="151"/>
  <c r="M35" i="152"/>
  <c r="M31" i="152"/>
  <c r="M31" i="151"/>
  <c r="M27" i="151"/>
  <c r="M23" i="152"/>
  <c r="M23" i="151"/>
  <c r="M19" i="152"/>
  <c r="M19" i="151"/>
  <c r="M15" i="152"/>
  <c r="M15" i="151"/>
  <c r="M11" i="152"/>
  <c r="M11" i="151"/>
  <c r="M7" i="151"/>
  <c r="M7" i="152"/>
  <c r="M3" i="151"/>
  <c r="M3" i="152"/>
  <c r="M118" i="152"/>
  <c r="M118" i="151"/>
  <c r="M114" i="152"/>
  <c r="M102" i="152"/>
  <c r="M102" i="151"/>
  <c r="M98" i="152"/>
  <c r="M98" i="151"/>
  <c r="M94" i="151"/>
  <c r="M94" i="152"/>
  <c r="M86" i="152"/>
  <c r="M86" i="151"/>
  <c r="M82" i="152"/>
  <c r="M78" i="151"/>
  <c r="M78" i="152"/>
  <c r="M74" i="152"/>
  <c r="M70" i="152"/>
  <c r="M70" i="151"/>
  <c r="M62" i="151"/>
  <c r="M62" i="152"/>
  <c r="M58" i="152"/>
  <c r="M58" i="151"/>
  <c r="M54" i="152"/>
  <c r="M54" i="151"/>
  <c r="M50" i="152"/>
  <c r="M50" i="151"/>
  <c r="M42" i="151"/>
  <c r="M38" i="152"/>
  <c r="M34" i="152"/>
  <c r="M34" i="151"/>
  <c r="M30" i="151"/>
  <c r="M30" i="152"/>
  <c r="M26" i="152"/>
  <c r="M26" i="151"/>
  <c r="M22" i="152"/>
  <c r="M22" i="151"/>
  <c r="M18" i="151"/>
  <c r="M14" i="151"/>
  <c r="M14" i="152"/>
  <c r="M6" i="152"/>
  <c r="M6" i="151"/>
  <c r="M2" i="152"/>
  <c r="M110" i="151"/>
  <c r="M90" i="152"/>
  <c r="M90" i="151"/>
  <c r="M66" i="151"/>
  <c r="M10" i="152"/>
  <c r="M10" i="151"/>
  <c r="M121" i="151"/>
  <c r="M121" i="152"/>
  <c r="M117" i="152"/>
  <c r="M117" i="151"/>
  <c r="M113" i="151"/>
  <c r="M113" i="152"/>
  <c r="M109" i="151"/>
  <c r="M109" i="152"/>
  <c r="M105" i="152"/>
  <c r="M105" i="151"/>
  <c r="M101" i="152"/>
  <c r="M101" i="151"/>
  <c r="M97" i="152"/>
  <c r="M97" i="151"/>
  <c r="M93" i="151"/>
  <c r="M93" i="152"/>
  <c r="M89" i="151"/>
  <c r="M89" i="152"/>
  <c r="M85" i="152"/>
  <c r="M85" i="151"/>
  <c r="M81" i="152"/>
  <c r="M81" i="151"/>
  <c r="M77" i="151"/>
  <c r="M77" i="152"/>
  <c r="M73" i="151"/>
  <c r="M73" i="152"/>
  <c r="M69" i="152"/>
  <c r="M69" i="151"/>
  <c r="M65" i="151"/>
  <c r="M65" i="152"/>
  <c r="M61" i="151"/>
  <c r="M61" i="152"/>
  <c r="M57" i="152"/>
  <c r="M57" i="151"/>
  <c r="M53" i="152"/>
  <c r="M53" i="151"/>
  <c r="M49" i="151"/>
  <c r="M49" i="152"/>
  <c r="M45" i="151"/>
  <c r="M45" i="152"/>
  <c r="M41" i="152"/>
  <c r="M41" i="151"/>
  <c r="M37" i="152"/>
  <c r="M37" i="151"/>
  <c r="M33" i="152"/>
  <c r="M33" i="151"/>
  <c r="M29" i="151"/>
  <c r="M29" i="152"/>
  <c r="M25" i="151"/>
  <c r="M25" i="152"/>
  <c r="M21" i="152"/>
  <c r="M21" i="151"/>
  <c r="M17" i="152"/>
  <c r="M17" i="151"/>
  <c r="M13" i="152"/>
  <c r="M13" i="151"/>
  <c r="M9" i="152"/>
  <c r="M9" i="151"/>
  <c r="M5" i="152"/>
  <c r="M5" i="151"/>
  <c r="U19" i="4"/>
  <c r="U5" i="4"/>
  <c r="U6" i="4" l="1"/>
  <c r="U20" i="4"/>
  <c r="U21" i="4" l="1"/>
  <c r="U7" i="4"/>
  <c r="U8" i="4" l="1"/>
  <c r="U22" i="4"/>
  <c r="U23" i="4" l="1"/>
  <c r="U9" i="4"/>
  <c r="U10" i="4" l="1"/>
  <c r="U24" i="4"/>
  <c r="U25" i="4" l="1"/>
  <c r="U11" i="4"/>
  <c r="U12" i="4" l="1"/>
  <c r="U26" i="4"/>
  <c r="U27" i="4" l="1"/>
  <c r="U13" i="4"/>
  <c r="U14" i="4" l="1"/>
  <c r="U15" i="4" s="1"/>
  <c r="U28" i="4"/>
  <c r="U29" i="4" s="1"/>
  <c r="P7" i="148" l="1"/>
  <c r="Q7" i="148"/>
  <c r="R7" i="148"/>
  <c r="S7" i="148"/>
  <c r="T7" i="148"/>
  <c r="P8" i="148"/>
  <c r="Q8" i="148"/>
  <c r="R8" i="148"/>
  <c r="S8" i="148"/>
  <c r="T8" i="148"/>
  <c r="P9" i="148"/>
  <c r="Q9" i="148"/>
  <c r="R9" i="148"/>
  <c r="S9" i="148"/>
  <c r="T9" i="148"/>
  <c r="P10" i="148"/>
  <c r="Q10" i="148"/>
  <c r="R10" i="148"/>
  <c r="S10" i="148"/>
  <c r="T10" i="148"/>
  <c r="P11" i="148"/>
  <c r="Q11" i="148"/>
  <c r="R11" i="148"/>
  <c r="S11" i="148"/>
  <c r="T11" i="148"/>
  <c r="P12" i="148"/>
  <c r="Q12" i="148"/>
  <c r="R12" i="148"/>
  <c r="S12" i="148"/>
  <c r="T12" i="148"/>
  <c r="R13" i="148"/>
  <c r="S13" i="148"/>
  <c r="T13" i="148"/>
  <c r="R14" i="148"/>
  <c r="S14" i="148"/>
  <c r="T14" i="148"/>
  <c r="R15" i="148"/>
  <c r="S15" i="148"/>
  <c r="T15" i="148"/>
  <c r="R16" i="148"/>
  <c r="S16" i="148"/>
  <c r="T16" i="148"/>
  <c r="R17" i="148"/>
  <c r="S17" i="148"/>
  <c r="T17" i="148"/>
  <c r="R18" i="148"/>
  <c r="S18" i="148"/>
  <c r="T18" i="148"/>
  <c r="R27" i="148"/>
  <c r="S27" i="148"/>
  <c r="T27" i="148"/>
  <c r="R28" i="148"/>
  <c r="S28" i="148"/>
  <c r="T28" i="148"/>
  <c r="R29" i="148"/>
  <c r="S29" i="148"/>
  <c r="T29" i="148"/>
  <c r="M26" i="148"/>
  <c r="M36" i="148" s="1"/>
  <c r="N5" i="148"/>
  <c r="N26" i="148" s="1"/>
  <c r="N36" i="148" s="1"/>
  <c r="O5" i="148"/>
  <c r="O26" i="148" s="1"/>
  <c r="O36" i="148" s="1"/>
  <c r="P5" i="148"/>
  <c r="P26" i="148" s="1"/>
  <c r="P36" i="148" s="1"/>
  <c r="Q5" i="148"/>
  <c r="Q26" i="148" s="1"/>
  <c r="Q36" i="148" s="1"/>
  <c r="R5" i="148"/>
  <c r="R26" i="148" s="1"/>
  <c r="S5" i="148"/>
  <c r="S26" i="148" s="1"/>
  <c r="T5" i="148"/>
  <c r="T26" i="148" s="1"/>
  <c r="M5" i="148"/>
  <c r="C51" i="72"/>
  <c r="D51" i="72"/>
  <c r="E51" i="72"/>
  <c r="F51" i="72"/>
  <c r="G51" i="72"/>
  <c r="I37" i="72"/>
  <c r="I36" i="72"/>
  <c r="I32" i="72"/>
  <c r="I31" i="72"/>
  <c r="I27" i="72"/>
  <c r="I26" i="72"/>
  <c r="G38" i="72"/>
  <c r="F38" i="72"/>
  <c r="E38" i="72"/>
  <c r="D38" i="72"/>
  <c r="C38" i="72"/>
  <c r="G33" i="72"/>
  <c r="F33" i="72"/>
  <c r="E33" i="72"/>
  <c r="D33" i="72"/>
  <c r="C33" i="72"/>
  <c r="G28" i="72"/>
  <c r="F28" i="72"/>
  <c r="E28" i="72"/>
  <c r="D28" i="72"/>
  <c r="C28" i="72"/>
  <c r="S58" i="72"/>
  <c r="R58" i="72"/>
  <c r="Q58" i="72"/>
  <c r="P58" i="72"/>
  <c r="E61" i="148"/>
  <c r="K5" i="148"/>
  <c r="I38" i="72" l="1"/>
  <c r="I51" i="72"/>
  <c r="B9" i="73"/>
  <c r="B23" i="73" s="1"/>
  <c r="Q74" i="72"/>
  <c r="R74" i="72"/>
  <c r="B10" i="73"/>
  <c r="B24" i="73" s="1"/>
  <c r="S74" i="72"/>
  <c r="B11" i="73"/>
  <c r="B25" i="73" s="1"/>
  <c r="I28" i="72"/>
  <c r="I33" i="72"/>
  <c r="Q41" i="148"/>
  <c r="Q40" i="148"/>
  <c r="Q38" i="148"/>
  <c r="Q37" i="148"/>
  <c r="P37" i="148"/>
  <c r="Q42" i="148"/>
  <c r="P39" i="148"/>
  <c r="P42" i="148"/>
  <c r="Q39" i="148"/>
  <c r="P40" i="148"/>
  <c r="P41" i="148"/>
  <c r="P38" i="148"/>
  <c r="AA34" i="23" l="1"/>
  <c r="S34" i="23"/>
  <c r="K3" i="76"/>
  <c r="K4" i="76"/>
  <c r="K5" i="76"/>
  <c r="K6" i="76"/>
  <c r="K7" i="76"/>
  <c r="K8" i="76"/>
  <c r="K9" i="76"/>
  <c r="K10" i="76"/>
  <c r="K11" i="76"/>
  <c r="K12" i="76"/>
  <c r="K13" i="76"/>
  <c r="K14" i="76"/>
  <c r="K15" i="76"/>
  <c r="K16" i="76"/>
  <c r="K17" i="76"/>
  <c r="K18" i="76"/>
  <c r="K19" i="76"/>
  <c r="K20" i="76"/>
  <c r="K21" i="76"/>
  <c r="K22" i="76"/>
  <c r="K23" i="76"/>
  <c r="K24" i="76"/>
  <c r="K25" i="76"/>
  <c r="K26" i="76"/>
  <c r="K27" i="76"/>
  <c r="K28" i="76"/>
  <c r="K29" i="76"/>
  <c r="K30" i="76"/>
  <c r="K31" i="76"/>
  <c r="K32" i="76"/>
  <c r="K33" i="76"/>
  <c r="K34" i="76"/>
  <c r="K35" i="76"/>
  <c r="K36" i="76"/>
  <c r="K37" i="76"/>
  <c r="K38" i="76"/>
  <c r="K39" i="76"/>
  <c r="K40" i="76"/>
  <c r="K41" i="76"/>
  <c r="K42" i="76"/>
  <c r="K43" i="76"/>
  <c r="K44" i="76"/>
  <c r="K45" i="76"/>
  <c r="K46" i="76"/>
  <c r="K47" i="76"/>
  <c r="K48" i="76"/>
  <c r="K49" i="76"/>
  <c r="K50" i="76"/>
  <c r="K51" i="76"/>
  <c r="K52" i="76"/>
  <c r="K53" i="76"/>
  <c r="K54" i="76"/>
  <c r="K55" i="76"/>
  <c r="K56" i="76"/>
  <c r="K57" i="76"/>
  <c r="K58" i="76"/>
  <c r="K59" i="76"/>
  <c r="K60" i="76"/>
  <c r="K61" i="76"/>
  <c r="K62" i="76"/>
  <c r="K63" i="76"/>
  <c r="K64" i="76"/>
  <c r="K65" i="76"/>
  <c r="K66" i="76"/>
  <c r="K67" i="76"/>
  <c r="K68" i="76"/>
  <c r="K69" i="76"/>
  <c r="K70" i="76"/>
  <c r="K71" i="76"/>
  <c r="K72" i="76"/>
  <c r="K73" i="76"/>
  <c r="K74" i="76"/>
  <c r="K75" i="76"/>
  <c r="K76" i="76"/>
  <c r="K77" i="76"/>
  <c r="K78" i="76"/>
  <c r="K79" i="76"/>
  <c r="K80" i="76"/>
  <c r="K81" i="76"/>
  <c r="K82" i="76"/>
  <c r="K83" i="76"/>
  <c r="K84" i="76"/>
  <c r="K85" i="76"/>
  <c r="K86" i="76"/>
  <c r="K87" i="76"/>
  <c r="K88" i="76"/>
  <c r="K89" i="76"/>
  <c r="K90" i="76"/>
  <c r="K91" i="76"/>
  <c r="K92" i="76"/>
  <c r="K93" i="76"/>
  <c r="K94" i="76"/>
  <c r="K95" i="76"/>
  <c r="K96" i="76"/>
  <c r="K97" i="76"/>
  <c r="K98" i="76"/>
  <c r="K99" i="76"/>
  <c r="K100" i="76"/>
  <c r="K101" i="76"/>
  <c r="K102" i="76"/>
  <c r="K103" i="76"/>
  <c r="K104" i="76"/>
  <c r="K105" i="76"/>
  <c r="K106" i="76"/>
  <c r="K107" i="76"/>
  <c r="K108" i="76"/>
  <c r="K110" i="76"/>
  <c r="K111" i="76"/>
  <c r="K112" i="76"/>
  <c r="K113" i="76"/>
  <c r="K114" i="76"/>
  <c r="K115" i="76"/>
  <c r="K116" i="76"/>
  <c r="K117" i="76"/>
  <c r="K118" i="76"/>
  <c r="K119" i="76"/>
  <c r="K120" i="76"/>
  <c r="K121" i="76"/>
  <c r="K2" i="76"/>
  <c r="G22" i="23" l="1"/>
  <c r="K109" i="76"/>
  <c r="S22" i="23"/>
  <c r="W22" i="23"/>
  <c r="AA22" i="23"/>
  <c r="AE22" i="23"/>
  <c r="K22" i="23"/>
  <c r="C22" i="23"/>
  <c r="I115" i="34"/>
  <c r="I115" i="30"/>
  <c r="I99" i="34"/>
  <c r="I99" i="30"/>
  <c r="I83" i="34"/>
  <c r="I83" i="30"/>
  <c r="I67" i="34"/>
  <c r="I67" i="30"/>
  <c r="I51" i="34"/>
  <c r="I51" i="30"/>
  <c r="I35" i="34"/>
  <c r="I35" i="30"/>
  <c r="I19" i="34"/>
  <c r="I19" i="30"/>
  <c r="I3" i="34"/>
  <c r="I3" i="30"/>
  <c r="S28" i="23"/>
  <c r="S30" i="23"/>
  <c r="I114" i="30"/>
  <c r="I114" i="34"/>
  <c r="I98" i="30"/>
  <c r="I98" i="34"/>
  <c r="I82" i="30"/>
  <c r="I82" i="34"/>
  <c r="I66" i="30"/>
  <c r="I66" i="34"/>
  <c r="I50" i="30"/>
  <c r="I50" i="34"/>
  <c r="I34" i="30"/>
  <c r="I34" i="34"/>
  <c r="I18" i="30"/>
  <c r="I18" i="34"/>
  <c r="S27" i="23"/>
  <c r="I101" i="30"/>
  <c r="I101" i="34"/>
  <c r="I97" i="30"/>
  <c r="I97" i="34"/>
  <c r="I65" i="30"/>
  <c r="I65" i="34"/>
  <c r="I33" i="30"/>
  <c r="I33" i="34"/>
  <c r="S26" i="23"/>
  <c r="AA33" i="23"/>
  <c r="I32" i="30"/>
  <c r="I32" i="34"/>
  <c r="S25" i="23"/>
  <c r="AA32" i="23"/>
  <c r="I111" i="30"/>
  <c r="I111" i="34"/>
  <c r="I95" i="30"/>
  <c r="I95" i="34"/>
  <c r="I79" i="30"/>
  <c r="I79" i="34"/>
  <c r="I63" i="30"/>
  <c r="I63" i="34"/>
  <c r="I47" i="30"/>
  <c r="I47" i="34"/>
  <c r="I31" i="30"/>
  <c r="I31" i="34"/>
  <c r="I15" i="30"/>
  <c r="I15" i="34"/>
  <c r="S24" i="23"/>
  <c r="AA31" i="23"/>
  <c r="I117" i="30"/>
  <c r="I117" i="34"/>
  <c r="I37" i="30"/>
  <c r="I37" i="34"/>
  <c r="I49" i="30"/>
  <c r="I49" i="34"/>
  <c r="AA30" i="23"/>
  <c r="I69" i="30"/>
  <c r="I69" i="34"/>
  <c r="I112" i="30"/>
  <c r="I112" i="34"/>
  <c r="I96" i="30"/>
  <c r="I96" i="34"/>
  <c r="P96" i="34" s="1"/>
  <c r="I80" i="30"/>
  <c r="I80" i="34"/>
  <c r="I64" i="30"/>
  <c r="I64" i="34"/>
  <c r="I48" i="30"/>
  <c r="I48" i="34"/>
  <c r="I62" i="34"/>
  <c r="I62" i="30"/>
  <c r="I109" i="34"/>
  <c r="I109" i="30"/>
  <c r="I93" i="34"/>
  <c r="I93" i="30"/>
  <c r="I77" i="34"/>
  <c r="I77" i="30"/>
  <c r="I61" i="34"/>
  <c r="I61" i="30"/>
  <c r="I45" i="34"/>
  <c r="I45" i="30"/>
  <c r="I29" i="34"/>
  <c r="I29" i="30"/>
  <c r="I13" i="34"/>
  <c r="I13" i="30"/>
  <c r="AA29" i="23"/>
  <c r="I76" i="30"/>
  <c r="I76" i="34"/>
  <c r="AA28" i="23"/>
  <c r="I75" i="34"/>
  <c r="I75" i="30"/>
  <c r="AA27" i="23"/>
  <c r="I2" i="34"/>
  <c r="P2" i="34" s="1"/>
  <c r="I2" i="30"/>
  <c r="I106" i="34"/>
  <c r="I106" i="30"/>
  <c r="I90" i="34"/>
  <c r="I90" i="30"/>
  <c r="I74" i="34"/>
  <c r="I74" i="30"/>
  <c r="I58" i="34"/>
  <c r="I58" i="30"/>
  <c r="I42" i="34"/>
  <c r="I42" i="30"/>
  <c r="I26" i="34"/>
  <c r="I26" i="30"/>
  <c r="I10" i="34"/>
  <c r="I10" i="30"/>
  <c r="AA26" i="23"/>
  <c r="I53" i="30"/>
  <c r="I53" i="34"/>
  <c r="I110" i="34"/>
  <c r="I110" i="30"/>
  <c r="I27" i="34"/>
  <c r="I27" i="30"/>
  <c r="I121" i="34"/>
  <c r="I121" i="30"/>
  <c r="I105" i="34"/>
  <c r="I105" i="30"/>
  <c r="I89" i="34"/>
  <c r="I89" i="30"/>
  <c r="I73" i="34"/>
  <c r="I73" i="30"/>
  <c r="I57" i="34"/>
  <c r="I57" i="30"/>
  <c r="I41" i="34"/>
  <c r="I41" i="30"/>
  <c r="I25" i="34"/>
  <c r="I25" i="30"/>
  <c r="I9" i="34"/>
  <c r="I9" i="30"/>
  <c r="AA25" i="23"/>
  <c r="I85" i="30"/>
  <c r="I85" i="34"/>
  <c r="I5" i="30"/>
  <c r="I5" i="34"/>
  <c r="I94" i="34"/>
  <c r="I94" i="30"/>
  <c r="I46" i="34"/>
  <c r="I46" i="30"/>
  <c r="I30" i="34"/>
  <c r="I30" i="30"/>
  <c r="I14" i="34"/>
  <c r="I14" i="30"/>
  <c r="I108" i="30"/>
  <c r="I108" i="34"/>
  <c r="I120" i="34"/>
  <c r="I120" i="30"/>
  <c r="I104" i="34"/>
  <c r="I104" i="30"/>
  <c r="I88" i="34"/>
  <c r="I88" i="30"/>
  <c r="I72" i="34"/>
  <c r="I72" i="30"/>
  <c r="I56" i="34"/>
  <c r="I56" i="30"/>
  <c r="I40" i="34"/>
  <c r="I40" i="30"/>
  <c r="I24" i="34"/>
  <c r="I24" i="30"/>
  <c r="I8" i="34"/>
  <c r="I8" i="30"/>
  <c r="S33" i="23"/>
  <c r="T34" i="23" s="1"/>
  <c r="AA24" i="23"/>
  <c r="I17" i="30"/>
  <c r="I17" i="34"/>
  <c r="I16" i="30"/>
  <c r="I16" i="34"/>
  <c r="S23" i="23"/>
  <c r="I92" i="30"/>
  <c r="I92" i="34"/>
  <c r="I60" i="30"/>
  <c r="I60" i="34"/>
  <c r="I44" i="30"/>
  <c r="I44" i="34"/>
  <c r="I28" i="30"/>
  <c r="I28" i="34"/>
  <c r="I12" i="30"/>
  <c r="I12" i="34"/>
  <c r="I107" i="34"/>
  <c r="I107" i="30"/>
  <c r="I91" i="34"/>
  <c r="I91" i="30"/>
  <c r="I59" i="34"/>
  <c r="I59" i="30"/>
  <c r="I43" i="34"/>
  <c r="I43" i="30"/>
  <c r="I11" i="34"/>
  <c r="I11" i="30"/>
  <c r="S32" i="23"/>
  <c r="AA23" i="23"/>
  <c r="I113" i="30"/>
  <c r="I113" i="34"/>
  <c r="I81" i="30"/>
  <c r="I81" i="34"/>
  <c r="I78" i="34"/>
  <c r="I78" i="30"/>
  <c r="I119" i="30"/>
  <c r="I119" i="34"/>
  <c r="I103" i="30"/>
  <c r="I103" i="34"/>
  <c r="I87" i="30"/>
  <c r="I87" i="34"/>
  <c r="I71" i="30"/>
  <c r="I71" i="34"/>
  <c r="I55" i="30"/>
  <c r="I55" i="34"/>
  <c r="I39" i="30"/>
  <c r="I39" i="34"/>
  <c r="I23" i="30"/>
  <c r="I23" i="34"/>
  <c r="I7" i="30"/>
  <c r="I7" i="34"/>
  <c r="I118" i="30"/>
  <c r="I118" i="34"/>
  <c r="I102" i="30"/>
  <c r="I102" i="34"/>
  <c r="I86" i="30"/>
  <c r="I86" i="34"/>
  <c r="I70" i="30"/>
  <c r="I70" i="34"/>
  <c r="I54" i="30"/>
  <c r="I54" i="34"/>
  <c r="I38" i="30"/>
  <c r="I38" i="34"/>
  <c r="I22" i="30"/>
  <c r="I22" i="34"/>
  <c r="I6" i="30"/>
  <c r="I6" i="34"/>
  <c r="S31" i="23"/>
  <c r="I21" i="30"/>
  <c r="I21" i="34"/>
  <c r="I116" i="34"/>
  <c r="I116" i="30"/>
  <c r="I100" i="34"/>
  <c r="I100" i="30"/>
  <c r="I84" i="34"/>
  <c r="I84" i="30"/>
  <c r="I68" i="34"/>
  <c r="I68" i="30"/>
  <c r="I52" i="34"/>
  <c r="I52" i="30"/>
  <c r="I36" i="34"/>
  <c r="I36" i="30"/>
  <c r="I20" i="34"/>
  <c r="I20" i="30"/>
  <c r="I4" i="34"/>
  <c r="I4" i="30"/>
  <c r="S29" i="23"/>
  <c r="T29" i="23" s="1"/>
  <c r="DT115" i="4"/>
  <c r="DT99" i="4"/>
  <c r="DT64" i="4"/>
  <c r="DT16" i="4"/>
  <c r="EV16" i="4"/>
  <c r="EU40" i="4"/>
  <c r="EU22" i="4"/>
  <c r="EU6" i="4"/>
  <c r="DT114" i="4"/>
  <c r="DT98" i="4"/>
  <c r="DT82" i="4"/>
  <c r="DT63" i="4"/>
  <c r="EV47" i="4"/>
  <c r="DT47" i="4"/>
  <c r="EV31" i="4"/>
  <c r="DT31" i="4"/>
  <c r="EV15" i="4"/>
  <c r="DT15" i="4"/>
  <c r="EU39" i="4"/>
  <c r="EU21" i="4"/>
  <c r="EU5" i="4"/>
  <c r="DT113" i="4"/>
  <c r="DT97" i="4"/>
  <c r="DT81" i="4"/>
  <c r="DT62" i="4"/>
  <c r="EV46" i="4"/>
  <c r="DT46" i="4"/>
  <c r="EV30" i="4"/>
  <c r="DT30" i="4"/>
  <c r="EV14" i="4"/>
  <c r="DT14" i="4"/>
  <c r="EU36" i="4"/>
  <c r="DT72" i="4"/>
  <c r="EU38" i="4"/>
  <c r="EU20" i="4"/>
  <c r="EU4" i="4"/>
  <c r="DT112" i="4"/>
  <c r="DT96" i="4"/>
  <c r="DT80" i="4"/>
  <c r="DT61" i="4"/>
  <c r="EV45" i="4"/>
  <c r="DT45" i="4"/>
  <c r="EV29" i="4"/>
  <c r="DT29" i="4"/>
  <c r="EV13" i="4"/>
  <c r="DT13" i="4"/>
  <c r="DT83" i="4"/>
  <c r="DT48" i="4"/>
  <c r="EV48" i="4"/>
  <c r="DT32" i="4"/>
  <c r="EV32" i="4"/>
  <c r="EU37" i="4"/>
  <c r="EU19" i="4"/>
  <c r="EU3" i="4"/>
  <c r="DT111" i="4"/>
  <c r="DT95" i="4"/>
  <c r="DT79" i="4"/>
  <c r="DT60" i="4"/>
  <c r="EV44" i="4"/>
  <c r="DT44" i="4"/>
  <c r="EV28" i="4"/>
  <c r="DT28" i="4"/>
  <c r="EV12" i="4"/>
  <c r="DT12" i="4"/>
  <c r="EU41" i="4"/>
  <c r="EU23" i="4"/>
  <c r="EU7" i="4"/>
  <c r="EU2" i="4"/>
  <c r="EU34" i="4"/>
  <c r="EU18" i="4"/>
  <c r="DT110" i="4"/>
  <c r="DT94" i="4"/>
  <c r="DT78" i="4"/>
  <c r="DT59" i="4"/>
  <c r="EV43" i="4"/>
  <c r="DT43" i="4"/>
  <c r="EV27" i="4"/>
  <c r="DT27" i="4"/>
  <c r="EV11" i="4"/>
  <c r="DT11" i="4"/>
  <c r="EU33" i="4"/>
  <c r="EU17" i="4"/>
  <c r="DT109" i="4"/>
  <c r="DT93" i="4"/>
  <c r="DT77" i="4"/>
  <c r="DT58" i="4"/>
  <c r="DT42" i="4"/>
  <c r="EV42" i="4"/>
  <c r="DT26" i="4"/>
  <c r="EV26" i="4"/>
  <c r="EV10" i="4"/>
  <c r="DT10" i="4"/>
  <c r="EU32" i="4"/>
  <c r="EU16" i="4"/>
  <c r="DT108" i="4"/>
  <c r="DT92" i="4"/>
  <c r="DT76" i="4"/>
  <c r="DT57" i="4"/>
  <c r="DT41" i="4"/>
  <c r="EV41" i="4"/>
  <c r="DT25" i="4"/>
  <c r="EV25" i="4"/>
  <c r="DT9" i="4"/>
  <c r="EV9" i="4"/>
  <c r="EU49" i="4"/>
  <c r="EU31" i="4"/>
  <c r="EU15" i="4"/>
  <c r="DT107" i="4"/>
  <c r="DT91" i="4"/>
  <c r="DT75" i="4"/>
  <c r="DT56" i="4"/>
  <c r="EV40" i="4"/>
  <c r="DT40" i="4"/>
  <c r="DT24" i="4"/>
  <c r="EV24" i="4"/>
  <c r="DT8" i="4"/>
  <c r="EV8" i="4"/>
  <c r="EU48" i="4"/>
  <c r="EU30" i="4"/>
  <c r="EU14" i="4"/>
  <c r="DT2" i="4"/>
  <c r="EV2" i="4"/>
  <c r="DT106" i="4"/>
  <c r="DT90" i="4"/>
  <c r="DT71" i="4"/>
  <c r="DT55" i="4"/>
  <c r="EV39" i="4"/>
  <c r="DT39" i="4"/>
  <c r="EV23" i="4"/>
  <c r="DT23" i="4"/>
  <c r="EV7" i="4"/>
  <c r="DT7" i="4"/>
  <c r="EU47" i="4"/>
  <c r="EU29" i="4"/>
  <c r="EU13" i="4"/>
  <c r="DT121" i="4"/>
  <c r="DT105" i="4"/>
  <c r="DT89" i="4"/>
  <c r="DT70" i="4"/>
  <c r="DT54" i="4"/>
  <c r="EV38" i="4"/>
  <c r="DT38" i="4"/>
  <c r="EV22" i="4"/>
  <c r="DT22" i="4"/>
  <c r="EV6" i="4"/>
  <c r="DT6" i="4"/>
  <c r="EU28" i="4"/>
  <c r="EU12" i="4"/>
  <c r="DT120" i="4"/>
  <c r="DT104" i="4"/>
  <c r="DT88" i="4"/>
  <c r="DT69" i="4"/>
  <c r="DT53" i="4"/>
  <c r="EV37" i="4"/>
  <c r="DT37" i="4"/>
  <c r="EV21" i="4"/>
  <c r="DT21" i="4"/>
  <c r="EV5" i="4"/>
  <c r="DT5" i="4"/>
  <c r="EU45" i="4"/>
  <c r="EU27" i="4"/>
  <c r="EU11" i="4"/>
  <c r="DT119" i="4"/>
  <c r="DT103" i="4"/>
  <c r="DT87" i="4"/>
  <c r="DT68" i="4"/>
  <c r="DT52" i="4"/>
  <c r="EV36" i="4"/>
  <c r="DT36" i="4"/>
  <c r="EV20" i="4"/>
  <c r="DT20" i="4"/>
  <c r="EV4" i="4"/>
  <c r="DT4" i="4"/>
  <c r="EU46" i="4"/>
  <c r="EU44" i="4"/>
  <c r="EU26" i="4"/>
  <c r="EU10" i="4"/>
  <c r="DT118" i="4"/>
  <c r="DT102" i="4"/>
  <c r="DT86" i="4"/>
  <c r="DT67" i="4"/>
  <c r="DT51" i="4"/>
  <c r="EV35" i="4"/>
  <c r="DT35" i="4"/>
  <c r="EV19" i="4"/>
  <c r="DT19" i="4"/>
  <c r="EV3" i="4"/>
  <c r="DT3" i="4"/>
  <c r="EU43" i="4"/>
  <c r="EU25" i="4"/>
  <c r="EU9" i="4"/>
  <c r="DT117" i="4"/>
  <c r="DT101" i="4"/>
  <c r="DT85" i="4"/>
  <c r="DT66" i="4"/>
  <c r="DT50" i="4"/>
  <c r="DT34" i="4"/>
  <c r="EV34" i="4"/>
  <c r="DT18" i="4"/>
  <c r="EV18" i="4"/>
  <c r="EU42" i="4"/>
  <c r="EU24" i="4"/>
  <c r="EU8" i="4"/>
  <c r="DT116" i="4"/>
  <c r="DT100" i="4"/>
  <c r="DT84" i="4"/>
  <c r="DT65" i="4"/>
  <c r="DT49" i="4"/>
  <c r="EV49" i="4"/>
  <c r="DT33" i="4"/>
  <c r="EV33" i="4"/>
  <c r="DT17" i="4"/>
  <c r="EV17" i="4"/>
  <c r="T27" i="23" l="1"/>
  <c r="AB32" i="23"/>
  <c r="T28" i="23"/>
  <c r="T25" i="23"/>
  <c r="T31" i="23"/>
  <c r="AB26" i="23"/>
  <c r="T30" i="23"/>
  <c r="AB30" i="23"/>
  <c r="AB29" i="23"/>
  <c r="S17" i="23"/>
  <c r="AA17" i="23"/>
  <c r="T33" i="23"/>
  <c r="T32" i="23"/>
  <c r="AB28" i="23"/>
  <c r="AB27" i="23"/>
  <c r="AB31" i="23"/>
  <c r="AB34" i="23"/>
  <c r="AB33" i="23"/>
  <c r="AB24" i="23"/>
  <c r="AB25" i="23"/>
  <c r="T24" i="23"/>
  <c r="T26" i="23"/>
  <c r="EU35" i="4"/>
  <c r="DT73" i="4"/>
  <c r="DT74" i="4"/>
  <c r="B48" i="72" l="1"/>
  <c r="G34" i="23" l="1"/>
  <c r="E62" i="148"/>
  <c r="E63" i="148" s="1"/>
  <c r="E64" i="148" s="1"/>
  <c r="E65" i="148" s="1"/>
  <c r="E66" i="148" s="1"/>
  <c r="D61" i="148"/>
  <c r="D62" i="148" s="1"/>
  <c r="D63" i="148" s="1"/>
  <c r="D64" i="148" s="1"/>
  <c r="D65" i="148" s="1"/>
  <c r="D66" i="148" s="1"/>
  <c r="C61" i="148"/>
  <c r="C62" i="148" s="1"/>
  <c r="C63" i="148" s="1"/>
  <c r="C64" i="148" s="1"/>
  <c r="C65" i="148" s="1"/>
  <c r="C66" i="148" s="1"/>
  <c r="D8" i="73" l="1"/>
  <c r="D9" i="73" s="1"/>
  <c r="D10" i="73" s="1"/>
  <c r="D11" i="73" s="1"/>
  <c r="C29" i="23"/>
  <c r="G29" i="23"/>
  <c r="K29" i="23"/>
  <c r="W29" i="23"/>
  <c r="AE29" i="23"/>
  <c r="C30" i="23"/>
  <c r="G30" i="23"/>
  <c r="K30" i="23"/>
  <c r="W30" i="23"/>
  <c r="AE30" i="23"/>
  <c r="C31" i="23"/>
  <c r="G31" i="23"/>
  <c r="K31" i="23"/>
  <c r="W31" i="23"/>
  <c r="AE31" i="23"/>
  <c r="C32" i="23"/>
  <c r="G32" i="23"/>
  <c r="K32" i="23"/>
  <c r="W32" i="23"/>
  <c r="AE32" i="23"/>
  <c r="C33" i="23"/>
  <c r="G33" i="23"/>
  <c r="K33" i="23"/>
  <c r="W33" i="23"/>
  <c r="AE33" i="23"/>
  <c r="C34" i="23"/>
  <c r="K34" i="23"/>
  <c r="W34" i="23"/>
  <c r="AE34" i="23"/>
  <c r="K115" i="36"/>
  <c r="K116" i="36"/>
  <c r="K117" i="36"/>
  <c r="K118" i="36"/>
  <c r="K119" i="36"/>
  <c r="K120" i="36"/>
  <c r="K121" i="36"/>
  <c r="K116" i="34"/>
  <c r="K117" i="34"/>
  <c r="K118" i="34"/>
  <c r="K119" i="34"/>
  <c r="K120" i="34"/>
  <c r="K121" i="34"/>
  <c r="J116" i="38"/>
  <c r="J117" i="38"/>
  <c r="J118" i="38"/>
  <c r="J119" i="38"/>
  <c r="J120" i="38"/>
  <c r="J121" i="38"/>
  <c r="A116" i="32"/>
  <c r="B116" i="32" s="1"/>
  <c r="K116" i="32"/>
  <c r="A117" i="32"/>
  <c r="B117" i="32" s="1"/>
  <c r="K117" i="32"/>
  <c r="A118" i="32"/>
  <c r="C118" i="32" s="1"/>
  <c r="K118" i="32"/>
  <c r="A119" i="32"/>
  <c r="B119" i="32" s="1"/>
  <c r="K119" i="32"/>
  <c r="A120" i="32"/>
  <c r="B120" i="32" s="1"/>
  <c r="K120" i="32"/>
  <c r="A121" i="32"/>
  <c r="B121" i="32" s="1"/>
  <c r="K121" i="32"/>
  <c r="A116" i="30"/>
  <c r="B116" i="30" s="1"/>
  <c r="K116" i="30"/>
  <c r="A117" i="30"/>
  <c r="C117" i="30" s="1"/>
  <c r="K117" i="30"/>
  <c r="A118" i="30"/>
  <c r="C118" i="30" s="1"/>
  <c r="K118" i="30"/>
  <c r="A119" i="30"/>
  <c r="C119" i="30" s="1"/>
  <c r="K119" i="30"/>
  <c r="A120" i="30"/>
  <c r="B120" i="30" s="1"/>
  <c r="K120" i="30"/>
  <c r="A121" i="30"/>
  <c r="B121" i="30" s="1"/>
  <c r="K121" i="30"/>
  <c r="A116" i="28"/>
  <c r="B116" i="28" s="1"/>
  <c r="J116" i="28"/>
  <c r="A117" i="28"/>
  <c r="C117" i="28" s="1"/>
  <c r="J117" i="28"/>
  <c r="A118" i="28"/>
  <c r="B118" i="28" s="1"/>
  <c r="J118" i="28"/>
  <c r="A119" i="28"/>
  <c r="B119" i="28" s="1"/>
  <c r="J119" i="28"/>
  <c r="A120" i="28"/>
  <c r="B120" i="28" s="1"/>
  <c r="J120" i="28"/>
  <c r="A121" i="28"/>
  <c r="B121" i="28" s="1"/>
  <c r="J121" i="28"/>
  <c r="M119" i="69"/>
  <c r="Q82" i="69"/>
  <c r="R82" i="69"/>
  <c r="AD7" i="68"/>
  <c r="AD8" i="68"/>
  <c r="AD9" i="68"/>
  <c r="AD10" i="68"/>
  <c r="AD11" i="68"/>
  <c r="AD12" i="68"/>
  <c r="AD13" i="68"/>
  <c r="AD14" i="68"/>
  <c r="AD15" i="68"/>
  <c r="AD16" i="68"/>
  <c r="AD17" i="68"/>
  <c r="AD18" i="68"/>
  <c r="AD19" i="68"/>
  <c r="AD20" i="68"/>
  <c r="AD21" i="68"/>
  <c r="AD22" i="68"/>
  <c r="AD23" i="68"/>
  <c r="AD24" i="68"/>
  <c r="AD25" i="68"/>
  <c r="AD26" i="68"/>
  <c r="AD27" i="68"/>
  <c r="AD28" i="68"/>
  <c r="AD29" i="68"/>
  <c r="AD30" i="68"/>
  <c r="AD31" i="68"/>
  <c r="AD32" i="68"/>
  <c r="AD33" i="68"/>
  <c r="AD34" i="68"/>
  <c r="AD35" i="68"/>
  <c r="AD36" i="68"/>
  <c r="AD37" i="68"/>
  <c r="AD6" i="68"/>
  <c r="AE37" i="68"/>
  <c r="M97" i="68"/>
  <c r="M98" i="68"/>
  <c r="M99" i="68"/>
  <c r="C35" i="68"/>
  <c r="D35" i="68"/>
  <c r="C5" i="68"/>
  <c r="C6" i="68"/>
  <c r="C7" i="68"/>
  <c r="C8" i="68"/>
  <c r="C9" i="68"/>
  <c r="C10" i="68"/>
  <c r="C11" i="68"/>
  <c r="C12" i="68"/>
  <c r="C13" i="68"/>
  <c r="C14" i="68"/>
  <c r="C15" i="68"/>
  <c r="C16" i="68"/>
  <c r="C17" i="68"/>
  <c r="C18" i="68"/>
  <c r="C19" i="68"/>
  <c r="C20" i="68"/>
  <c r="C21" i="68"/>
  <c r="C22" i="68"/>
  <c r="C23" i="68"/>
  <c r="C24" i="68"/>
  <c r="C25" i="68"/>
  <c r="C26" i="68"/>
  <c r="C27" i="68"/>
  <c r="C28" i="68"/>
  <c r="C29" i="68"/>
  <c r="C30" i="68"/>
  <c r="C31" i="68"/>
  <c r="C32" i="68"/>
  <c r="C33" i="68"/>
  <c r="C34" i="68"/>
  <c r="C4" i="68"/>
  <c r="AE36" i="68"/>
  <c r="M94" i="68"/>
  <c r="O94" i="68"/>
  <c r="P94" i="68"/>
  <c r="Q94" i="68"/>
  <c r="R94" i="68"/>
  <c r="S94" i="68"/>
  <c r="T94" i="68"/>
  <c r="M95" i="68"/>
  <c r="O95" i="68"/>
  <c r="P95" i="68"/>
  <c r="Q95" i="68"/>
  <c r="R95" i="68"/>
  <c r="S95" i="68"/>
  <c r="T95" i="68"/>
  <c r="M96" i="68"/>
  <c r="O96" i="68"/>
  <c r="P96" i="68"/>
  <c r="Q96" i="68"/>
  <c r="R96" i="68"/>
  <c r="S96" i="68"/>
  <c r="T96" i="68"/>
  <c r="D34" i="68"/>
  <c r="AY116" i="67"/>
  <c r="AZ116" i="67"/>
  <c r="BA116" i="67"/>
  <c r="BB116" i="67"/>
  <c r="BC116" i="67"/>
  <c r="BD116" i="67"/>
  <c r="G116" i="76" s="1"/>
  <c r="BE116" i="67"/>
  <c r="F116" i="155" s="1"/>
  <c r="BF116" i="67"/>
  <c r="BG116" i="67"/>
  <c r="H116" i="156" s="1"/>
  <c r="BH116" i="67"/>
  <c r="BI116" i="67"/>
  <c r="H116" i="77" s="1"/>
  <c r="BJ116" i="67"/>
  <c r="BK116" i="67"/>
  <c r="BL116" i="67"/>
  <c r="G116" i="156" s="1"/>
  <c r="BM116" i="67"/>
  <c r="AY117" i="67"/>
  <c r="AZ117" i="67"/>
  <c r="BA117" i="67"/>
  <c r="BB117" i="67"/>
  <c r="BC117" i="67"/>
  <c r="BD117" i="67"/>
  <c r="G117" i="76" s="1"/>
  <c r="BE117" i="67"/>
  <c r="F117" i="155" s="1"/>
  <c r="BF117" i="67"/>
  <c r="BG117" i="67"/>
  <c r="H117" i="156" s="1"/>
  <c r="BH117" i="67"/>
  <c r="BI117" i="67"/>
  <c r="H117" i="77" s="1"/>
  <c r="BJ117" i="67"/>
  <c r="BK117" i="67"/>
  <c r="BL117" i="67"/>
  <c r="G117" i="156" s="1"/>
  <c r="BM117" i="67"/>
  <c r="AY118" i="67"/>
  <c r="AZ118" i="67"/>
  <c r="BA118" i="67"/>
  <c r="BB118" i="67"/>
  <c r="BC118" i="67"/>
  <c r="BD118" i="67"/>
  <c r="G118" i="76" s="1"/>
  <c r="BE118" i="67"/>
  <c r="F118" i="155" s="1"/>
  <c r="BF118" i="67"/>
  <c r="BG118" i="67"/>
  <c r="H118" i="156" s="1"/>
  <c r="BH118" i="67"/>
  <c r="BI118" i="67"/>
  <c r="H118" i="77" s="1"/>
  <c r="BJ118" i="67"/>
  <c r="BK118" i="67"/>
  <c r="BL118" i="67"/>
  <c r="G118" i="156" s="1"/>
  <c r="BM118" i="67"/>
  <c r="AY119" i="67"/>
  <c r="AZ119" i="67"/>
  <c r="BA119" i="67"/>
  <c r="BB119" i="67"/>
  <c r="BC119" i="67"/>
  <c r="BD119" i="67"/>
  <c r="G119" i="76" s="1"/>
  <c r="BE119" i="67"/>
  <c r="F119" i="155" s="1"/>
  <c r="BF119" i="67"/>
  <c r="BG119" i="67"/>
  <c r="H119" i="156" s="1"/>
  <c r="BH119" i="67"/>
  <c r="BI119" i="67"/>
  <c r="H119" i="77" s="1"/>
  <c r="BJ119" i="67"/>
  <c r="BK119" i="67"/>
  <c r="BL119" i="67"/>
  <c r="G119" i="156" s="1"/>
  <c r="BM119" i="67"/>
  <c r="AY120" i="67"/>
  <c r="AZ120" i="67"/>
  <c r="BA120" i="67"/>
  <c r="BB120" i="67"/>
  <c r="BC120" i="67"/>
  <c r="BD120" i="67"/>
  <c r="G120" i="76" s="1"/>
  <c r="BE120" i="67"/>
  <c r="F120" i="155" s="1"/>
  <c r="BF120" i="67"/>
  <c r="BG120" i="67"/>
  <c r="H120" i="156" s="1"/>
  <c r="BH120" i="67"/>
  <c r="BI120" i="67"/>
  <c r="H120" i="77" s="1"/>
  <c r="BJ120" i="67"/>
  <c r="BK120" i="67"/>
  <c r="BL120" i="67"/>
  <c r="G120" i="156" s="1"/>
  <c r="BM120" i="67"/>
  <c r="AY121" i="67"/>
  <c r="AZ121" i="67"/>
  <c r="CX121" i="67" s="1"/>
  <c r="BA121" i="67"/>
  <c r="CY121" i="67" s="1"/>
  <c r="BB121" i="67"/>
  <c r="BC121" i="67"/>
  <c r="CM121" i="67" s="1"/>
  <c r="BD121" i="67"/>
  <c r="G121" i="76" s="1"/>
  <c r="BE121" i="67"/>
  <c r="F121" i="155" s="1"/>
  <c r="BF121" i="67"/>
  <c r="G121" i="75" s="1"/>
  <c r="BG121" i="67"/>
  <c r="H121" i="156" s="1"/>
  <c r="BH121" i="67"/>
  <c r="CR121" i="67" s="1"/>
  <c r="BI121" i="67"/>
  <c r="BJ121" i="67"/>
  <c r="DH121" i="67" s="1"/>
  <c r="BK121" i="67"/>
  <c r="BL121" i="67"/>
  <c r="G121" i="156" s="1"/>
  <c r="BM121" i="67"/>
  <c r="DK121" i="67" s="1"/>
  <c r="G120" i="77" l="1"/>
  <c r="E120" i="32"/>
  <c r="CL121" i="67"/>
  <c r="G121" i="77"/>
  <c r="E121" i="32"/>
  <c r="L31" i="23"/>
  <c r="F121" i="32"/>
  <c r="H121" i="77"/>
  <c r="G116" i="77"/>
  <c r="E116" i="32"/>
  <c r="G117" i="77"/>
  <c r="E117" i="32"/>
  <c r="G118" i="77"/>
  <c r="E118" i="32"/>
  <c r="G119" i="77"/>
  <c r="E119" i="32"/>
  <c r="F121" i="30"/>
  <c r="M121" i="30" s="1"/>
  <c r="F121" i="153"/>
  <c r="O121" i="153" s="1"/>
  <c r="CV120" i="67"/>
  <c r="E120" i="153"/>
  <c r="N120" i="153" s="1"/>
  <c r="CS118" i="67"/>
  <c r="F118" i="32"/>
  <c r="M118" i="32" s="1"/>
  <c r="CV119" i="67"/>
  <c r="E119" i="153"/>
  <c r="N119" i="153" s="1"/>
  <c r="DI118" i="67"/>
  <c r="H118" i="75"/>
  <c r="F118" i="28"/>
  <c r="DF117" i="67"/>
  <c r="CU121" i="67"/>
  <c r="H121" i="75"/>
  <c r="F121" i="28"/>
  <c r="L121" i="28" s="1"/>
  <c r="DH120" i="67"/>
  <c r="CS119" i="67"/>
  <c r="F119" i="32"/>
  <c r="DF118" i="67"/>
  <c r="F117" i="153"/>
  <c r="O117" i="153" s="1"/>
  <c r="DD116" i="67"/>
  <c r="G116" i="75"/>
  <c r="DG120" i="67"/>
  <c r="F120" i="32"/>
  <c r="M120" i="32" s="1"/>
  <c r="CR119" i="67"/>
  <c r="DE118" i="67"/>
  <c r="F118" i="153"/>
  <c r="O118" i="153" s="1"/>
  <c r="G117" i="75"/>
  <c r="DC116" i="67"/>
  <c r="E116" i="151"/>
  <c r="K116" i="151" s="1"/>
  <c r="DF120" i="67"/>
  <c r="F119" i="153"/>
  <c r="O119" i="153" s="1"/>
  <c r="DD118" i="67"/>
  <c r="G118" i="75"/>
  <c r="E117" i="151"/>
  <c r="K117" i="151" s="1"/>
  <c r="DB116" i="67"/>
  <c r="E116" i="30"/>
  <c r="L116" i="30" s="1"/>
  <c r="CO119" i="67"/>
  <c r="E119" i="151"/>
  <c r="K119" i="151" s="1"/>
  <c r="CN118" i="67"/>
  <c r="E118" i="30"/>
  <c r="CM117" i="67"/>
  <c r="CL116" i="67"/>
  <c r="CO121" i="67"/>
  <c r="E121" i="151"/>
  <c r="K121" i="151" s="1"/>
  <c r="CM119" i="67"/>
  <c r="DE120" i="67"/>
  <c r="F120" i="153"/>
  <c r="O120" i="153" s="1"/>
  <c r="G119" i="75"/>
  <c r="DC118" i="67"/>
  <c r="E118" i="151"/>
  <c r="K118" i="151" s="1"/>
  <c r="CN117" i="67"/>
  <c r="E117" i="30"/>
  <c r="L117" i="30" s="1"/>
  <c r="DA116" i="67"/>
  <c r="CP120" i="67"/>
  <c r="G120" i="75"/>
  <c r="E120" i="151"/>
  <c r="K120" i="151" s="1"/>
  <c r="DB119" i="67"/>
  <c r="E119" i="30"/>
  <c r="L119" i="30" s="1"/>
  <c r="CM118" i="67"/>
  <c r="CL117" i="67"/>
  <c r="CK116" i="67"/>
  <c r="CZ118" i="67"/>
  <c r="CY117" i="67"/>
  <c r="DB121" i="67"/>
  <c r="E121" i="30"/>
  <c r="L121" i="30" s="1"/>
  <c r="DA120" i="67"/>
  <c r="CL119" i="67"/>
  <c r="CY118" i="67"/>
  <c r="CJ117" i="67"/>
  <c r="CL120" i="67"/>
  <c r="CY119" i="67"/>
  <c r="CJ118" i="67"/>
  <c r="CY120" i="67"/>
  <c r="CJ119" i="67"/>
  <c r="DK116" i="67"/>
  <c r="DB120" i="67"/>
  <c r="E120" i="30"/>
  <c r="L120" i="30" s="1"/>
  <c r="DJ116" i="67"/>
  <c r="E116" i="153"/>
  <c r="N116" i="153" s="1"/>
  <c r="CW118" i="67"/>
  <c r="DJ117" i="67"/>
  <c r="E117" i="153"/>
  <c r="N117" i="153" s="1"/>
  <c r="CU116" i="67"/>
  <c r="H116" i="75"/>
  <c r="F116" i="28"/>
  <c r="L116" i="28" s="1"/>
  <c r="CX116" i="67"/>
  <c r="DJ118" i="67"/>
  <c r="E118" i="153"/>
  <c r="N118" i="153" s="1"/>
  <c r="CS116" i="67"/>
  <c r="F116" i="32"/>
  <c r="M116" i="32" s="1"/>
  <c r="DK117" i="67"/>
  <c r="DF116" i="67"/>
  <c r="CX120" i="67"/>
  <c r="CW119" i="67"/>
  <c r="CU117" i="67"/>
  <c r="H117" i="75"/>
  <c r="F117" i="28"/>
  <c r="CW120" i="67"/>
  <c r="DI119" i="67"/>
  <c r="F119" i="28"/>
  <c r="L119" i="28" s="1"/>
  <c r="H119" i="75"/>
  <c r="F117" i="32"/>
  <c r="M117" i="32" s="1"/>
  <c r="DJ121" i="67"/>
  <c r="E121" i="153"/>
  <c r="N121" i="153" s="1"/>
  <c r="CQ116" i="67"/>
  <c r="F116" i="153"/>
  <c r="O116" i="153" s="1"/>
  <c r="DI120" i="67"/>
  <c r="H120" i="75"/>
  <c r="F120" i="28"/>
  <c r="L120" i="28" s="1"/>
  <c r="AF34" i="23"/>
  <c r="C120" i="28"/>
  <c r="L34" i="23"/>
  <c r="B118" i="32"/>
  <c r="DH117" i="67"/>
  <c r="CV116" i="67"/>
  <c r="CT116" i="67"/>
  <c r="C121" i="32"/>
  <c r="CN120" i="67"/>
  <c r="DG119" i="67"/>
  <c r="DE117" i="67"/>
  <c r="CZ117" i="67"/>
  <c r="AF32" i="23"/>
  <c r="H120" i="76"/>
  <c r="CP121" i="67"/>
  <c r="CZ120" i="67"/>
  <c r="DJ119" i="67"/>
  <c r="DH116" i="67"/>
  <c r="CN119" i="67"/>
  <c r="CL118" i="67"/>
  <c r="E120" i="28"/>
  <c r="K120" i="28" s="1"/>
  <c r="DA117" i="67"/>
  <c r="DG116" i="67"/>
  <c r="H118" i="76"/>
  <c r="F116" i="30"/>
  <c r="M116" i="30" s="1"/>
  <c r="F120" i="30"/>
  <c r="M120" i="30" s="1"/>
  <c r="L118" i="28"/>
  <c r="H116" i="76"/>
  <c r="E118" i="28"/>
  <c r="K118" i="28" s="1"/>
  <c r="L121" i="32"/>
  <c r="L116" i="32"/>
  <c r="DI121" i="67"/>
  <c r="DK120" i="67"/>
  <c r="D30" i="23"/>
  <c r="L33" i="23"/>
  <c r="D31" i="23"/>
  <c r="H32" i="23"/>
  <c r="AF31" i="23"/>
  <c r="X31" i="23"/>
  <c r="AF33" i="23"/>
  <c r="X32" i="23"/>
  <c r="C121" i="30"/>
  <c r="B117" i="30"/>
  <c r="C120" i="30"/>
  <c r="B119" i="30"/>
  <c r="CQ121" i="67"/>
  <c r="DD121" i="67"/>
  <c r="DG121" i="67"/>
  <c r="CS121" i="67"/>
  <c r="CJ120" i="67"/>
  <c r="E117" i="28"/>
  <c r="K117" i="28" s="1"/>
  <c r="CP117" i="67"/>
  <c r="CO120" i="67"/>
  <c r="DC120" i="67"/>
  <c r="M121" i="32"/>
  <c r="H33" i="23"/>
  <c r="H34" i="23"/>
  <c r="DE119" i="67"/>
  <c r="H119" i="76"/>
  <c r="F119" i="30"/>
  <c r="M119" i="30" s="1"/>
  <c r="M119" i="32"/>
  <c r="CQ119" i="67"/>
  <c r="DF119" i="67"/>
  <c r="CV118" i="67"/>
  <c r="DH118" i="67"/>
  <c r="L118" i="32"/>
  <c r="CT117" i="67"/>
  <c r="L117" i="32"/>
  <c r="CP119" i="67"/>
  <c r="E119" i="28"/>
  <c r="K119" i="28" s="1"/>
  <c r="E121" i="28"/>
  <c r="K121" i="28" s="1"/>
  <c r="DK118" i="67"/>
  <c r="DD117" i="67"/>
  <c r="CW116" i="67"/>
  <c r="CX118" i="67"/>
  <c r="DB117" i="67"/>
  <c r="DD119" i="67"/>
  <c r="DC117" i="67"/>
  <c r="CO117" i="67"/>
  <c r="CU118" i="67"/>
  <c r="DG117" i="67"/>
  <c r="CS117" i="67"/>
  <c r="DF121" i="67"/>
  <c r="DC119" i="67"/>
  <c r="DH119" i="67"/>
  <c r="L119" i="32"/>
  <c r="CJ116" i="67"/>
  <c r="L120" i="32"/>
  <c r="DE121" i="67"/>
  <c r="CT121" i="67"/>
  <c r="CK120" i="67"/>
  <c r="CQ117" i="67"/>
  <c r="L117" i="28"/>
  <c r="H117" i="76"/>
  <c r="F117" i="30"/>
  <c r="M117" i="30" s="1"/>
  <c r="B118" i="30"/>
  <c r="H121" i="76"/>
  <c r="C116" i="30"/>
  <c r="C117" i="32"/>
  <c r="X34" i="23"/>
  <c r="X30" i="23"/>
  <c r="F118" i="30"/>
  <c r="M118" i="30" s="1"/>
  <c r="DA118" i="67"/>
  <c r="DI116" i="67"/>
  <c r="L118" i="30"/>
  <c r="H30" i="23"/>
  <c r="H31" i="23"/>
  <c r="D33" i="23"/>
  <c r="CW121" i="67"/>
  <c r="CU119" i="67"/>
  <c r="E116" i="28"/>
  <c r="K116" i="28" s="1"/>
  <c r="L32" i="23"/>
  <c r="X33" i="23"/>
  <c r="D32" i="23"/>
  <c r="L30" i="23"/>
  <c r="AF30" i="23"/>
  <c r="D34" i="23"/>
  <c r="C119" i="32"/>
  <c r="C120" i="32"/>
  <c r="C116" i="32"/>
  <c r="B117" i="28"/>
  <c r="C121" i="28"/>
  <c r="C116" i="28"/>
  <c r="C119" i="28"/>
  <c r="C118" i="28"/>
  <c r="CK117" i="67"/>
  <c r="CN121" i="67"/>
  <c r="CU120" i="67"/>
  <c r="DJ120" i="67"/>
  <c r="DA119" i="67"/>
  <c r="CR118" i="67"/>
  <c r="CP116" i="67"/>
  <c r="CS120" i="67"/>
  <c r="CO116" i="67"/>
  <c r="DA121" i="67"/>
  <c r="CR120" i="67"/>
  <c r="CP118" i="67"/>
  <c r="CW117" i="67"/>
  <c r="CO118" i="67"/>
  <c r="DD120" i="67"/>
  <c r="CM120" i="67"/>
  <c r="CT119" i="67"/>
  <c r="CK118" i="67"/>
  <c r="CR117" i="67"/>
  <c r="CY116" i="67"/>
  <c r="DC121" i="67"/>
  <c r="CK119" i="67"/>
  <c r="CZ119" i="67"/>
  <c r="DG118" i="67"/>
  <c r="DE116" i="67"/>
  <c r="CZ121" i="67"/>
  <c r="CX119" i="67"/>
  <c r="DB118" i="67"/>
  <c r="DI117" i="67"/>
  <c r="CZ116" i="67"/>
  <c r="CV121" i="67"/>
  <c r="CT118" i="67"/>
  <c r="CR116" i="67"/>
  <c r="CT120" i="67"/>
  <c r="CV117" i="67"/>
  <c r="CQ118" i="67"/>
  <c r="CX117" i="67"/>
  <c r="CK121" i="67"/>
  <c r="CN116" i="67"/>
  <c r="CJ121" i="67"/>
  <c r="CQ120" i="67"/>
  <c r="DK119" i="67"/>
  <c r="CM116" i="67"/>
  <c r="J116" i="75" l="1"/>
  <c r="G116" i="38"/>
  <c r="M116" i="38" s="1"/>
  <c r="G116" i="28"/>
  <c r="M116" i="28" s="1"/>
  <c r="G121" i="38"/>
  <c r="M121" i="38" s="1"/>
  <c r="G121" i="28"/>
  <c r="M121" i="28" s="1"/>
  <c r="J121" i="75"/>
  <c r="G117" i="38"/>
  <c r="M117" i="38" s="1"/>
  <c r="G117" i="28"/>
  <c r="M117" i="28" s="1"/>
  <c r="J117" i="75"/>
  <c r="G119" i="38"/>
  <c r="M119" i="38" s="1"/>
  <c r="J119" i="75"/>
  <c r="G119" i="28"/>
  <c r="M119" i="28" s="1"/>
  <c r="J118" i="75"/>
  <c r="G118" i="28"/>
  <c r="M118" i="28" s="1"/>
  <c r="G118" i="38"/>
  <c r="M118" i="38" s="1"/>
  <c r="G120" i="38"/>
  <c r="M120" i="38" s="1"/>
  <c r="G120" i="28"/>
  <c r="M120" i="28" s="1"/>
  <c r="J120" i="75"/>
  <c r="R98" i="68"/>
  <c r="R99" i="68"/>
  <c r="R97" i="68"/>
  <c r="O98" i="68" l="1"/>
  <c r="O99" i="68"/>
  <c r="O97" i="68"/>
  <c r="T98" i="68"/>
  <c r="T97" i="68"/>
  <c r="T99" i="68"/>
  <c r="S98" i="68"/>
  <c r="S99" i="68"/>
  <c r="S97" i="68"/>
  <c r="P98" i="68" l="1"/>
  <c r="P97" i="68"/>
  <c r="P99" i="68"/>
  <c r="Q99" i="68"/>
  <c r="Q98" i="68"/>
  <c r="Q97" i="68"/>
  <c r="B116" i="67" l="1"/>
  <c r="C116" i="67"/>
  <c r="B117" i="67"/>
  <c r="C117" i="67"/>
  <c r="B118" i="67"/>
  <c r="C118" i="67"/>
  <c r="B119" i="67"/>
  <c r="C119" i="67"/>
  <c r="B120" i="67"/>
  <c r="C120" i="67"/>
  <c r="B121" i="67"/>
  <c r="C121" i="67"/>
  <c r="DR1" i="4" l="1"/>
  <c r="DQ1" i="4"/>
  <c r="DP1" i="4"/>
  <c r="ET1" i="4"/>
  <c r="ES1" i="4"/>
  <c r="ER1" i="4"/>
  <c r="AE23" i="23"/>
  <c r="AE24" i="23"/>
  <c r="AE25" i="23"/>
  <c r="AE26" i="23"/>
  <c r="AE27" i="23"/>
  <c r="AE28" i="23"/>
  <c r="AF29" i="23" s="1"/>
  <c r="W23" i="23"/>
  <c r="W24" i="23"/>
  <c r="W25" i="23"/>
  <c r="W26" i="23"/>
  <c r="W27" i="23"/>
  <c r="W28" i="23"/>
  <c r="X29" i="23" s="1"/>
  <c r="K23" i="23"/>
  <c r="K24" i="23"/>
  <c r="K25" i="23"/>
  <c r="K26" i="23"/>
  <c r="K27" i="23"/>
  <c r="K28" i="23"/>
  <c r="L29" i="23" s="1"/>
  <c r="G23" i="23"/>
  <c r="G24" i="23"/>
  <c r="G25" i="23"/>
  <c r="G26" i="23"/>
  <c r="G27" i="23"/>
  <c r="G28" i="23"/>
  <c r="H29" i="23" s="1"/>
  <c r="C23" i="23"/>
  <c r="C24" i="23"/>
  <c r="C25" i="23"/>
  <c r="C26" i="23"/>
  <c r="C27" i="23"/>
  <c r="C28" i="23"/>
  <c r="D29" i="23" s="1"/>
  <c r="A2" i="77"/>
  <c r="B2" i="77" s="1"/>
  <c r="A3" i="77"/>
  <c r="C3" i="77" s="1"/>
  <c r="A4" i="77"/>
  <c r="C4" i="77" s="1"/>
  <c r="A5" i="77"/>
  <c r="B5" i="77" s="1"/>
  <c r="A6" i="77"/>
  <c r="B6" i="77" s="1"/>
  <c r="A7" i="77"/>
  <c r="B7" i="77" s="1"/>
  <c r="A8" i="77"/>
  <c r="B8" i="77" s="1"/>
  <c r="A9" i="77"/>
  <c r="A10" i="77"/>
  <c r="B10" i="77" s="1"/>
  <c r="A11" i="77"/>
  <c r="C11" i="77" s="1"/>
  <c r="A12" i="77"/>
  <c r="A13" i="77"/>
  <c r="B13" i="77" s="1"/>
  <c r="A14" i="77"/>
  <c r="B14" i="77" s="1"/>
  <c r="A15" i="77"/>
  <c r="C15" i="77" s="1"/>
  <c r="A16" i="77"/>
  <c r="C16" i="77" s="1"/>
  <c r="A17" i="77"/>
  <c r="B17" i="77" s="1"/>
  <c r="A18" i="77"/>
  <c r="B18" i="77" s="1"/>
  <c r="A19" i="77"/>
  <c r="B19" i="77" s="1"/>
  <c r="A20" i="77"/>
  <c r="B20" i="77" s="1"/>
  <c r="A21" i="77"/>
  <c r="B21" i="77" s="1"/>
  <c r="A22" i="77"/>
  <c r="B22" i="77" s="1"/>
  <c r="A23" i="77"/>
  <c r="C23" i="77" s="1"/>
  <c r="A24" i="77"/>
  <c r="B24" i="77" s="1"/>
  <c r="A25" i="77"/>
  <c r="B25" i="77" s="1"/>
  <c r="A26" i="77"/>
  <c r="A27" i="77"/>
  <c r="B27" i="77" s="1"/>
  <c r="A28" i="77"/>
  <c r="C28" i="77" s="1"/>
  <c r="A29" i="77"/>
  <c r="A30" i="77"/>
  <c r="B30" i="77" s="1"/>
  <c r="A31" i="77"/>
  <c r="C31" i="77" s="1"/>
  <c r="A32" i="77"/>
  <c r="B32" i="77" s="1"/>
  <c r="A33" i="77"/>
  <c r="C33" i="77" s="1"/>
  <c r="A34" i="77"/>
  <c r="B34" i="77" s="1"/>
  <c r="A35" i="77"/>
  <c r="B35" i="77" s="1"/>
  <c r="A36" i="77"/>
  <c r="A37" i="77"/>
  <c r="B37" i="77" s="1"/>
  <c r="A38" i="77"/>
  <c r="B38" i="77" s="1"/>
  <c r="A39" i="77"/>
  <c r="A40" i="77"/>
  <c r="C40" i="77" s="1"/>
  <c r="A41" i="77"/>
  <c r="B41" i="77" s="1"/>
  <c r="A42" i="77"/>
  <c r="B42" i="77" s="1"/>
  <c r="A43" i="77"/>
  <c r="B43" i="77" s="1"/>
  <c r="A44" i="77"/>
  <c r="B44" i="77" s="1"/>
  <c r="A45" i="77"/>
  <c r="C45" i="77" s="1"/>
  <c r="A46" i="77"/>
  <c r="A47" i="77"/>
  <c r="B47" i="77" s="1"/>
  <c r="A48" i="77"/>
  <c r="B48" i="77" s="1"/>
  <c r="A49" i="77"/>
  <c r="C49" i="77" s="1"/>
  <c r="A50" i="77"/>
  <c r="B50" i="77" s="1"/>
  <c r="A51" i="77"/>
  <c r="B51" i="77" s="1"/>
  <c r="A52" i="77"/>
  <c r="A53" i="77"/>
  <c r="C53" i="77" s="1"/>
  <c r="A54" i="77"/>
  <c r="B54" i="77" s="1"/>
  <c r="A55" i="77"/>
  <c r="B55" i="77" s="1"/>
  <c r="A56" i="77"/>
  <c r="B56" i="77" s="1"/>
  <c r="A57" i="77"/>
  <c r="C57" i="77" s="1"/>
  <c r="A58" i="77"/>
  <c r="B58" i="77" s="1"/>
  <c r="A59" i="77"/>
  <c r="A60" i="77"/>
  <c r="B60" i="77" s="1"/>
  <c r="A61" i="77"/>
  <c r="A62" i="77"/>
  <c r="A63" i="77"/>
  <c r="A64" i="77"/>
  <c r="A65" i="77"/>
  <c r="A66" i="77"/>
  <c r="B66" i="77" s="1"/>
  <c r="A67" i="77"/>
  <c r="B67" i="77" s="1"/>
  <c r="A68" i="77"/>
  <c r="C68" i="77" s="1"/>
  <c r="A69" i="77"/>
  <c r="B69" i="77" s="1"/>
  <c r="A70" i="77"/>
  <c r="B70" i="77" s="1"/>
  <c r="A71" i="77"/>
  <c r="B71" i="77" s="1"/>
  <c r="A72" i="77"/>
  <c r="C72" i="77" s="1"/>
  <c r="A73" i="77"/>
  <c r="C73" i="77" s="1"/>
  <c r="A74" i="77"/>
  <c r="A75" i="77"/>
  <c r="A76" i="77"/>
  <c r="A77" i="77"/>
  <c r="A78" i="77"/>
  <c r="B78" i="77" s="1"/>
  <c r="A79" i="77"/>
  <c r="C79" i="77" s="1"/>
  <c r="A80" i="77"/>
  <c r="B80" i="77" s="1"/>
  <c r="A81" i="77"/>
  <c r="C81" i="77" s="1"/>
  <c r="A82" i="77"/>
  <c r="B82" i="77" s="1"/>
  <c r="A83" i="77"/>
  <c r="C83" i="77" s="1"/>
  <c r="A84" i="77"/>
  <c r="B84" i="77" s="1"/>
  <c r="A85" i="77"/>
  <c r="A86" i="77"/>
  <c r="B86" i="77" s="1"/>
  <c r="A87" i="77"/>
  <c r="A88" i="77"/>
  <c r="B88" i="77" s="1"/>
  <c r="A89" i="77"/>
  <c r="B89" i="77" s="1"/>
  <c r="A90" i="77"/>
  <c r="B90" i="77" s="1"/>
  <c r="A91" i="77"/>
  <c r="C91" i="77" s="1"/>
  <c r="A92" i="77"/>
  <c r="A93" i="77"/>
  <c r="B93" i="77" s="1"/>
  <c r="A94" i="77"/>
  <c r="B94" i="77" s="1"/>
  <c r="A95" i="77"/>
  <c r="B95" i="77" s="1"/>
  <c r="A96" i="77"/>
  <c r="C96" i="77" s="1"/>
  <c r="A97" i="77"/>
  <c r="A98" i="77"/>
  <c r="A99" i="77"/>
  <c r="A100" i="77"/>
  <c r="B100" i="77" s="1"/>
  <c r="A101" i="77"/>
  <c r="B101" i="77" s="1"/>
  <c r="A102" i="77"/>
  <c r="B102" i="77" s="1"/>
  <c r="A103" i="77"/>
  <c r="A104" i="77"/>
  <c r="C104" i="77" s="1"/>
  <c r="A105" i="77"/>
  <c r="B105" i="77" s="1"/>
  <c r="A106" i="77"/>
  <c r="B106" i="77" s="1"/>
  <c r="A107" i="77"/>
  <c r="B107" i="77" s="1"/>
  <c r="A108" i="77"/>
  <c r="B108" i="77" s="1"/>
  <c r="A109" i="77"/>
  <c r="A110" i="77"/>
  <c r="B110" i="77" s="1"/>
  <c r="A111" i="77"/>
  <c r="A112" i="77"/>
  <c r="B112" i="77" s="1"/>
  <c r="A113" i="77"/>
  <c r="C113" i="77" s="1"/>
  <c r="A114" i="77"/>
  <c r="B114" i="77" s="1"/>
  <c r="A115" i="77"/>
  <c r="B115" i="77" s="1"/>
  <c r="K2" i="77"/>
  <c r="K3" i="77"/>
  <c r="K4" i="77"/>
  <c r="K5" i="77"/>
  <c r="K6" i="77"/>
  <c r="K7" i="77"/>
  <c r="K8" i="77"/>
  <c r="K9" i="77"/>
  <c r="K10" i="77"/>
  <c r="K11" i="77"/>
  <c r="K12" i="77"/>
  <c r="K13" i="77"/>
  <c r="K14" i="77"/>
  <c r="K15" i="77"/>
  <c r="K16" i="77"/>
  <c r="K17" i="77"/>
  <c r="K18" i="77"/>
  <c r="K19" i="77"/>
  <c r="K20" i="77"/>
  <c r="K21" i="77"/>
  <c r="K22" i="77"/>
  <c r="K23" i="77"/>
  <c r="K24" i="77"/>
  <c r="K25" i="77"/>
  <c r="K26" i="77"/>
  <c r="K27" i="77"/>
  <c r="K28" i="77"/>
  <c r="K29" i="77"/>
  <c r="K30" i="77"/>
  <c r="K31" i="77"/>
  <c r="K32" i="77"/>
  <c r="K33" i="77"/>
  <c r="K34" i="77"/>
  <c r="K35" i="77"/>
  <c r="K36" i="77"/>
  <c r="K37" i="77"/>
  <c r="K38" i="77"/>
  <c r="K39" i="77"/>
  <c r="K40" i="77"/>
  <c r="K41" i="77"/>
  <c r="K42" i="77"/>
  <c r="K43" i="77"/>
  <c r="K44" i="77"/>
  <c r="K45" i="77"/>
  <c r="K46" i="77"/>
  <c r="K47" i="77"/>
  <c r="K48" i="77"/>
  <c r="K49" i="77"/>
  <c r="K1" i="77"/>
  <c r="F1" i="77"/>
  <c r="D1" i="77"/>
  <c r="A1" i="77"/>
  <c r="A2" i="76"/>
  <c r="B2" i="76" s="1"/>
  <c r="A3" i="76"/>
  <c r="B3" i="76" s="1"/>
  <c r="A4" i="76"/>
  <c r="B4" i="76" s="1"/>
  <c r="A5" i="76"/>
  <c r="B5" i="76" s="1"/>
  <c r="A6" i="76"/>
  <c r="B6" i="76" s="1"/>
  <c r="A7" i="76"/>
  <c r="A8" i="76"/>
  <c r="B8" i="76" s="1"/>
  <c r="A9" i="76"/>
  <c r="B9" i="76" s="1"/>
  <c r="A10" i="76"/>
  <c r="B10" i="76" s="1"/>
  <c r="A11" i="76"/>
  <c r="B11" i="76" s="1"/>
  <c r="A12" i="76"/>
  <c r="B12" i="76" s="1"/>
  <c r="A13" i="76"/>
  <c r="B13" i="76" s="1"/>
  <c r="A14" i="76"/>
  <c r="B14" i="76" s="1"/>
  <c r="A15" i="76"/>
  <c r="B15" i="76" s="1"/>
  <c r="A16" i="76"/>
  <c r="B16" i="76" s="1"/>
  <c r="A17" i="76"/>
  <c r="B17" i="76" s="1"/>
  <c r="A18" i="76"/>
  <c r="B18" i="76" s="1"/>
  <c r="A19" i="76"/>
  <c r="B19" i="76" s="1"/>
  <c r="A20" i="76"/>
  <c r="B20" i="76" s="1"/>
  <c r="A21" i="76"/>
  <c r="B21" i="76" s="1"/>
  <c r="A22" i="76"/>
  <c r="B22" i="76" s="1"/>
  <c r="A23" i="76"/>
  <c r="B23" i="76" s="1"/>
  <c r="A24" i="76"/>
  <c r="B24" i="76" s="1"/>
  <c r="A25" i="76"/>
  <c r="B25" i="76" s="1"/>
  <c r="A26" i="76"/>
  <c r="B26" i="76" s="1"/>
  <c r="A27" i="76"/>
  <c r="A28" i="76"/>
  <c r="B28" i="76" s="1"/>
  <c r="A29" i="76"/>
  <c r="B29" i="76" s="1"/>
  <c r="A30" i="76"/>
  <c r="B30" i="76" s="1"/>
  <c r="A31" i="76"/>
  <c r="B31" i="76" s="1"/>
  <c r="A32" i="76"/>
  <c r="B32" i="76" s="1"/>
  <c r="A33" i="76"/>
  <c r="A34" i="76"/>
  <c r="B34" i="76" s="1"/>
  <c r="A35" i="76"/>
  <c r="B35" i="76" s="1"/>
  <c r="A36" i="76"/>
  <c r="B36" i="76" s="1"/>
  <c r="A37" i="76"/>
  <c r="B37" i="76" s="1"/>
  <c r="A38" i="76"/>
  <c r="B38" i="76" s="1"/>
  <c r="A39" i="76"/>
  <c r="A40" i="76"/>
  <c r="B40" i="76" s="1"/>
  <c r="A41" i="76"/>
  <c r="B41" i="76" s="1"/>
  <c r="A42" i="76"/>
  <c r="B42" i="76" s="1"/>
  <c r="A43" i="76"/>
  <c r="B43" i="76" s="1"/>
  <c r="A44" i="76"/>
  <c r="B44" i="76" s="1"/>
  <c r="A45" i="76"/>
  <c r="B45" i="76" s="1"/>
  <c r="A46" i="76"/>
  <c r="B46" i="76" s="1"/>
  <c r="A47" i="76"/>
  <c r="B47" i="76" s="1"/>
  <c r="A48" i="76"/>
  <c r="B48" i="76" s="1"/>
  <c r="A49" i="76"/>
  <c r="B49" i="76" s="1"/>
  <c r="A50" i="76"/>
  <c r="B50" i="76" s="1"/>
  <c r="A51" i="76"/>
  <c r="A52" i="76"/>
  <c r="B52" i="76" s="1"/>
  <c r="A53" i="76"/>
  <c r="B53" i="76" s="1"/>
  <c r="A54" i="76"/>
  <c r="B54" i="76" s="1"/>
  <c r="A55" i="76"/>
  <c r="B55" i="76" s="1"/>
  <c r="A56" i="76"/>
  <c r="B56" i="76" s="1"/>
  <c r="A57" i="76"/>
  <c r="A58" i="76"/>
  <c r="B58" i="76" s="1"/>
  <c r="A59" i="76"/>
  <c r="C59" i="76" s="1"/>
  <c r="A60" i="76"/>
  <c r="B60" i="76" s="1"/>
  <c r="A61" i="76"/>
  <c r="B61" i="76" s="1"/>
  <c r="A62" i="76"/>
  <c r="B62" i="76" s="1"/>
  <c r="A63" i="76"/>
  <c r="A64" i="76"/>
  <c r="B64" i="76" s="1"/>
  <c r="A65" i="76"/>
  <c r="B65" i="76" s="1"/>
  <c r="A66" i="76"/>
  <c r="B66" i="76" s="1"/>
  <c r="A67" i="76"/>
  <c r="C67" i="76" s="1"/>
  <c r="A68" i="76"/>
  <c r="B68" i="76" s="1"/>
  <c r="A69" i="76"/>
  <c r="B69" i="76" s="1"/>
  <c r="A70" i="76"/>
  <c r="B70" i="76" s="1"/>
  <c r="A71" i="76"/>
  <c r="B71" i="76" s="1"/>
  <c r="A72" i="76"/>
  <c r="B72" i="76" s="1"/>
  <c r="A73" i="76"/>
  <c r="A74" i="76"/>
  <c r="B74" i="76" s="1"/>
  <c r="A75" i="76"/>
  <c r="B75" i="76" s="1"/>
  <c r="A76" i="76"/>
  <c r="B76" i="76" s="1"/>
  <c r="A77" i="76"/>
  <c r="B77" i="76" s="1"/>
  <c r="A78" i="76"/>
  <c r="B78" i="76" s="1"/>
  <c r="A79" i="76"/>
  <c r="C79" i="76" s="1"/>
  <c r="A80" i="76"/>
  <c r="B80" i="76" s="1"/>
  <c r="A81" i="76"/>
  <c r="B81" i="76" s="1"/>
  <c r="A82" i="76"/>
  <c r="B82" i="76" s="1"/>
  <c r="A83" i="76"/>
  <c r="A84" i="76"/>
  <c r="B84" i="76" s="1"/>
  <c r="A85" i="76"/>
  <c r="B85" i="76" s="1"/>
  <c r="A86" i="76"/>
  <c r="B86" i="76" s="1"/>
  <c r="A87" i="76"/>
  <c r="B87" i="76" s="1"/>
  <c r="A88" i="76"/>
  <c r="B88" i="76" s="1"/>
  <c r="A89" i="76"/>
  <c r="A90" i="76"/>
  <c r="B90" i="76" s="1"/>
  <c r="A91" i="76"/>
  <c r="A92" i="76"/>
  <c r="B92" i="76" s="1"/>
  <c r="A93" i="76"/>
  <c r="B93" i="76" s="1"/>
  <c r="A94" i="76"/>
  <c r="B94" i="76" s="1"/>
  <c r="A95" i="76"/>
  <c r="B95" i="76" s="1"/>
  <c r="A96" i="76"/>
  <c r="B96" i="76" s="1"/>
  <c r="A97" i="76"/>
  <c r="A98" i="76"/>
  <c r="B98" i="76" s="1"/>
  <c r="A99" i="76"/>
  <c r="B99" i="76" s="1"/>
  <c r="A100" i="76"/>
  <c r="B100" i="76" s="1"/>
  <c r="A101" i="76"/>
  <c r="B101" i="76" s="1"/>
  <c r="A102" i="76"/>
  <c r="B102" i="76" s="1"/>
  <c r="A103" i="76"/>
  <c r="C103" i="76" s="1"/>
  <c r="A104" i="76"/>
  <c r="B104" i="76" s="1"/>
  <c r="A105" i="76"/>
  <c r="B105" i="76" s="1"/>
  <c r="A106" i="76"/>
  <c r="B106" i="76" s="1"/>
  <c r="A107" i="76"/>
  <c r="B107" i="76" s="1"/>
  <c r="A108" i="76"/>
  <c r="B108" i="76" s="1"/>
  <c r="A109" i="76"/>
  <c r="A110" i="76"/>
  <c r="B110" i="76" s="1"/>
  <c r="A111" i="76"/>
  <c r="B111" i="76" s="1"/>
  <c r="A112" i="76"/>
  <c r="B112" i="76" s="1"/>
  <c r="A113" i="76"/>
  <c r="A114" i="76"/>
  <c r="B114" i="76" s="1"/>
  <c r="A115" i="76"/>
  <c r="H1" i="76"/>
  <c r="F1" i="76" s="1"/>
  <c r="E1" i="76"/>
  <c r="D1" i="76"/>
  <c r="A1" i="76"/>
  <c r="A2" i="75"/>
  <c r="B2" i="75" s="1"/>
  <c r="A3" i="75"/>
  <c r="C3" i="75" s="1"/>
  <c r="A4" i="75"/>
  <c r="B4" i="75" s="1"/>
  <c r="A5" i="75"/>
  <c r="B5" i="75" s="1"/>
  <c r="A6" i="75"/>
  <c r="C6" i="75" s="1"/>
  <c r="A7" i="75"/>
  <c r="B7" i="75" s="1"/>
  <c r="A8" i="75"/>
  <c r="B8" i="75" s="1"/>
  <c r="A9" i="75"/>
  <c r="B9" i="75" s="1"/>
  <c r="A10" i="75"/>
  <c r="B10" i="75" s="1"/>
  <c r="A11" i="75"/>
  <c r="A12" i="75"/>
  <c r="B12" i="75" s="1"/>
  <c r="A13" i="75"/>
  <c r="B13" i="75" s="1"/>
  <c r="A14" i="75"/>
  <c r="B14" i="75" s="1"/>
  <c r="A15" i="75"/>
  <c r="B15" i="75" s="1"/>
  <c r="A16" i="75"/>
  <c r="B16" i="75" s="1"/>
  <c r="A17" i="75"/>
  <c r="B17" i="75" s="1"/>
  <c r="A18" i="75"/>
  <c r="C18" i="75" s="1"/>
  <c r="A19" i="75"/>
  <c r="B19" i="75" s="1"/>
  <c r="A20" i="75"/>
  <c r="B20" i="75" s="1"/>
  <c r="A21" i="75"/>
  <c r="A22" i="75"/>
  <c r="B22" i="75" s="1"/>
  <c r="A23" i="75"/>
  <c r="A24" i="75"/>
  <c r="B24" i="75" s="1"/>
  <c r="A25" i="75"/>
  <c r="B25" i="75" s="1"/>
  <c r="A26" i="75"/>
  <c r="A27" i="75"/>
  <c r="B27" i="75" s="1"/>
  <c r="A28" i="75"/>
  <c r="B28" i="75" s="1"/>
  <c r="A29" i="75"/>
  <c r="A30" i="75"/>
  <c r="B30" i="75" s="1"/>
  <c r="A31" i="75"/>
  <c r="C31" i="75" s="1"/>
  <c r="A32" i="75"/>
  <c r="B32" i="75" s="1"/>
  <c r="A33" i="75"/>
  <c r="A34" i="75"/>
  <c r="B34" i="75" s="1"/>
  <c r="A35" i="75"/>
  <c r="A36" i="75"/>
  <c r="B36" i="75" s="1"/>
  <c r="A37" i="75"/>
  <c r="B37" i="75" s="1"/>
  <c r="A38" i="75"/>
  <c r="A39" i="75"/>
  <c r="B39" i="75" s="1"/>
  <c r="A40" i="75"/>
  <c r="B40" i="75" s="1"/>
  <c r="A41" i="75"/>
  <c r="B41" i="75" s="1"/>
  <c r="A42" i="75"/>
  <c r="B42" i="75" s="1"/>
  <c r="A43" i="75"/>
  <c r="C43" i="75" s="1"/>
  <c r="A44" i="75"/>
  <c r="B44" i="75" s="1"/>
  <c r="A45" i="75"/>
  <c r="B45" i="75" s="1"/>
  <c r="A46" i="75"/>
  <c r="C46" i="75" s="1"/>
  <c r="A47" i="75"/>
  <c r="B47" i="75" s="1"/>
  <c r="A48" i="75"/>
  <c r="B48" i="75" s="1"/>
  <c r="A49" i="75"/>
  <c r="B49" i="75" s="1"/>
  <c r="A50" i="75"/>
  <c r="B50" i="75" s="1"/>
  <c r="A51" i="75"/>
  <c r="B51" i="75" s="1"/>
  <c r="A52" i="75"/>
  <c r="B52" i="75" s="1"/>
  <c r="A53" i="75"/>
  <c r="B53" i="75" s="1"/>
  <c r="A54" i="75"/>
  <c r="A55" i="75"/>
  <c r="A56" i="75"/>
  <c r="B56" i="75" s="1"/>
  <c r="A57" i="75"/>
  <c r="B57" i="75" s="1"/>
  <c r="A58" i="75"/>
  <c r="B58" i="75" s="1"/>
  <c r="A59" i="75"/>
  <c r="C59" i="75" s="1"/>
  <c r="A60" i="75"/>
  <c r="B60" i="75" s="1"/>
  <c r="A61" i="75"/>
  <c r="B61" i="75" s="1"/>
  <c r="A62" i="75"/>
  <c r="B62" i="75" s="1"/>
  <c r="A63" i="75"/>
  <c r="B63" i="75" s="1"/>
  <c r="A64" i="75"/>
  <c r="B64" i="75" s="1"/>
  <c r="A65" i="75"/>
  <c r="B65" i="75" s="1"/>
  <c r="A66" i="75"/>
  <c r="B66" i="75" s="1"/>
  <c r="A67" i="75"/>
  <c r="C67" i="75" s="1"/>
  <c r="A68" i="75"/>
  <c r="B68" i="75" s="1"/>
  <c r="A69" i="75"/>
  <c r="B69" i="75" s="1"/>
  <c r="A70" i="75"/>
  <c r="C70" i="75" s="1"/>
  <c r="A71" i="75"/>
  <c r="B71" i="75" s="1"/>
  <c r="A72" i="75"/>
  <c r="B72" i="75" s="1"/>
  <c r="A73" i="75"/>
  <c r="B73" i="75" s="1"/>
  <c r="A74" i="75"/>
  <c r="C74" i="75" s="1"/>
  <c r="A75" i="75"/>
  <c r="A76" i="75"/>
  <c r="B76" i="75" s="1"/>
  <c r="A77" i="75"/>
  <c r="B77" i="75" s="1"/>
  <c r="A78" i="75"/>
  <c r="B78" i="75" s="1"/>
  <c r="A79" i="75"/>
  <c r="B79" i="75" s="1"/>
  <c r="A80" i="75"/>
  <c r="B80" i="75" s="1"/>
  <c r="A81" i="75"/>
  <c r="B81" i="75" s="1"/>
  <c r="A82" i="75"/>
  <c r="A83" i="75"/>
  <c r="A84" i="75"/>
  <c r="B84" i="75" s="1"/>
  <c r="A85" i="75"/>
  <c r="B85" i="75" s="1"/>
  <c r="A86" i="75"/>
  <c r="B86" i="75" s="1"/>
  <c r="A87" i="75"/>
  <c r="A88" i="75"/>
  <c r="B88" i="75" s="1"/>
  <c r="A89" i="75"/>
  <c r="B89" i="75" s="1"/>
  <c r="A90" i="75"/>
  <c r="C90" i="75" s="1"/>
  <c r="A91" i="75"/>
  <c r="B91" i="75" s="1"/>
  <c r="A92" i="75"/>
  <c r="B92" i="75" s="1"/>
  <c r="A93" i="75"/>
  <c r="A94" i="75"/>
  <c r="B94" i="75" s="1"/>
  <c r="A95" i="75"/>
  <c r="A96" i="75"/>
  <c r="B96" i="75" s="1"/>
  <c r="A97" i="75"/>
  <c r="B97" i="75" s="1"/>
  <c r="A98" i="75"/>
  <c r="B98" i="75" s="1"/>
  <c r="A99" i="75"/>
  <c r="A100" i="75"/>
  <c r="B100" i="75" s="1"/>
  <c r="A101" i="75"/>
  <c r="B101" i="75" s="1"/>
  <c r="A102" i="75"/>
  <c r="B102" i="75" s="1"/>
  <c r="A103" i="75"/>
  <c r="B103" i="75" s="1"/>
  <c r="A104" i="75"/>
  <c r="B104" i="75" s="1"/>
  <c r="A105" i="75"/>
  <c r="A106" i="75"/>
  <c r="B106" i="75" s="1"/>
  <c r="A107" i="75"/>
  <c r="A108" i="75"/>
  <c r="B108" i="75" s="1"/>
  <c r="A109" i="75"/>
  <c r="B109" i="75" s="1"/>
  <c r="A110" i="75"/>
  <c r="A111" i="75"/>
  <c r="B111" i="75" s="1"/>
  <c r="A112" i="75"/>
  <c r="B112" i="75" s="1"/>
  <c r="A113" i="75"/>
  <c r="B113" i="75" s="1"/>
  <c r="A114" i="75"/>
  <c r="B114" i="75" s="1"/>
  <c r="A115" i="75"/>
  <c r="B115" i="75" s="1"/>
  <c r="F1" i="75"/>
  <c r="G1" i="75"/>
  <c r="E1" i="75" s="1"/>
  <c r="D1" i="75"/>
  <c r="A1" i="75"/>
  <c r="A2" i="36"/>
  <c r="B2" i="36" s="1"/>
  <c r="A3" i="36"/>
  <c r="B3" i="36" s="1"/>
  <c r="A4" i="36"/>
  <c r="B4" i="36" s="1"/>
  <c r="A5" i="36"/>
  <c r="B5" i="36" s="1"/>
  <c r="A6" i="36"/>
  <c r="B6" i="36" s="1"/>
  <c r="A7" i="36"/>
  <c r="B7" i="36" s="1"/>
  <c r="A8" i="36"/>
  <c r="B8" i="36" s="1"/>
  <c r="A9" i="36"/>
  <c r="C9" i="36" s="1"/>
  <c r="A10" i="36"/>
  <c r="B10" i="36" s="1"/>
  <c r="A11" i="36"/>
  <c r="B11" i="36" s="1"/>
  <c r="A12" i="36"/>
  <c r="B12" i="36" s="1"/>
  <c r="A13" i="36"/>
  <c r="B13" i="36" s="1"/>
  <c r="A14" i="36"/>
  <c r="A15" i="36"/>
  <c r="B15" i="36" s="1"/>
  <c r="A16" i="36"/>
  <c r="C16" i="36" s="1"/>
  <c r="A17" i="36"/>
  <c r="B17" i="36" s="1"/>
  <c r="A18" i="36"/>
  <c r="B18" i="36" s="1"/>
  <c r="A19" i="36"/>
  <c r="B19" i="36" s="1"/>
  <c r="A20" i="36"/>
  <c r="C20" i="36" s="1"/>
  <c r="A21" i="36"/>
  <c r="A22" i="36"/>
  <c r="B22" i="36" s="1"/>
  <c r="A23" i="36"/>
  <c r="B23" i="36" s="1"/>
  <c r="A24" i="36"/>
  <c r="C24" i="36" s="1"/>
  <c r="A25" i="36"/>
  <c r="B25" i="36" s="1"/>
  <c r="A26" i="36"/>
  <c r="B26" i="36" s="1"/>
  <c r="A27" i="36"/>
  <c r="B27" i="36" s="1"/>
  <c r="A28" i="36"/>
  <c r="B28" i="36" s="1"/>
  <c r="A29" i="36"/>
  <c r="A30" i="36"/>
  <c r="B30" i="36" s="1"/>
  <c r="A31" i="36"/>
  <c r="B31" i="36" s="1"/>
  <c r="A32" i="36"/>
  <c r="B32" i="36" s="1"/>
  <c r="A33" i="36"/>
  <c r="B33" i="36" s="1"/>
  <c r="A34" i="36"/>
  <c r="B34" i="36" s="1"/>
  <c r="A35" i="36"/>
  <c r="B35" i="36" s="1"/>
  <c r="A36" i="36"/>
  <c r="A37" i="36"/>
  <c r="B37" i="36" s="1"/>
  <c r="A38" i="36"/>
  <c r="B38" i="36" s="1"/>
  <c r="A39" i="36"/>
  <c r="B39" i="36" s="1"/>
  <c r="A40" i="36"/>
  <c r="B40" i="36" s="1"/>
  <c r="A41" i="36"/>
  <c r="B41" i="36" s="1"/>
  <c r="A42" i="36"/>
  <c r="B42" i="36" s="1"/>
  <c r="A43" i="36"/>
  <c r="B43" i="36" s="1"/>
  <c r="A44" i="36"/>
  <c r="A45" i="36"/>
  <c r="C45" i="36" s="1"/>
  <c r="A46" i="36"/>
  <c r="B46" i="36" s="1"/>
  <c r="A47" i="36"/>
  <c r="B47" i="36" s="1"/>
  <c r="A48" i="36"/>
  <c r="C48" i="36" s="1"/>
  <c r="A49" i="36"/>
  <c r="C49" i="36" s="1"/>
  <c r="A50" i="36"/>
  <c r="B50" i="36" s="1"/>
  <c r="A51" i="36"/>
  <c r="B51" i="36" s="1"/>
  <c r="A52" i="36"/>
  <c r="A53" i="36"/>
  <c r="C53" i="36" s="1"/>
  <c r="A54" i="36"/>
  <c r="A55" i="36"/>
  <c r="B55" i="36" s="1"/>
  <c r="A56" i="36"/>
  <c r="A57" i="36"/>
  <c r="B57" i="36" s="1"/>
  <c r="A58" i="36"/>
  <c r="B58" i="36" s="1"/>
  <c r="A59" i="36"/>
  <c r="B59" i="36" s="1"/>
  <c r="A60" i="36"/>
  <c r="B60" i="36" s="1"/>
  <c r="A61" i="36"/>
  <c r="C61" i="36" s="1"/>
  <c r="A62" i="36"/>
  <c r="B62" i="36" s="1"/>
  <c r="A63" i="36"/>
  <c r="B63" i="36" s="1"/>
  <c r="A64" i="36"/>
  <c r="C64" i="36" s="1"/>
  <c r="A65" i="36"/>
  <c r="B65" i="36" s="1"/>
  <c r="A66" i="36"/>
  <c r="B66" i="36" s="1"/>
  <c r="A67" i="36"/>
  <c r="B67" i="36" s="1"/>
  <c r="A68" i="36"/>
  <c r="B68" i="36" s="1"/>
  <c r="A69" i="36"/>
  <c r="A70" i="36"/>
  <c r="B70" i="36" s="1"/>
  <c r="A71" i="36"/>
  <c r="B71" i="36" s="1"/>
  <c r="A72" i="36"/>
  <c r="A73" i="36"/>
  <c r="B73" i="36" s="1"/>
  <c r="A74" i="36"/>
  <c r="B74" i="36" s="1"/>
  <c r="A75" i="36"/>
  <c r="B75" i="36" s="1"/>
  <c r="A76" i="36"/>
  <c r="B76" i="36" s="1"/>
  <c r="A77" i="36"/>
  <c r="C77" i="36" s="1"/>
  <c r="A78" i="36"/>
  <c r="B78" i="36" s="1"/>
  <c r="A79" i="36"/>
  <c r="B79" i="36" s="1"/>
  <c r="A80" i="36"/>
  <c r="B80" i="36" s="1"/>
  <c r="A81" i="36"/>
  <c r="B81" i="36" s="1"/>
  <c r="A82" i="36"/>
  <c r="A83" i="36"/>
  <c r="B83" i="36" s="1"/>
  <c r="A84" i="36"/>
  <c r="A85" i="36"/>
  <c r="B85" i="36" s="1"/>
  <c r="A86" i="36"/>
  <c r="B86" i="36" s="1"/>
  <c r="A87" i="36"/>
  <c r="B87" i="36" s="1"/>
  <c r="A88" i="36"/>
  <c r="A89" i="36"/>
  <c r="B89" i="36" s="1"/>
  <c r="A90" i="36"/>
  <c r="B90" i="36" s="1"/>
  <c r="A91" i="36"/>
  <c r="B91" i="36" s="1"/>
  <c r="A92" i="36"/>
  <c r="A93" i="36"/>
  <c r="B93" i="36" s="1"/>
  <c r="A94" i="36"/>
  <c r="B94" i="36" s="1"/>
  <c r="A95" i="36"/>
  <c r="B95" i="36" s="1"/>
  <c r="A96" i="36"/>
  <c r="B96" i="36" s="1"/>
  <c r="A97" i="36"/>
  <c r="A98" i="36"/>
  <c r="B98" i="36" s="1"/>
  <c r="A99" i="36"/>
  <c r="B99" i="36" s="1"/>
  <c r="A100" i="36"/>
  <c r="B100" i="36" s="1"/>
  <c r="A101" i="36"/>
  <c r="B101" i="36" s="1"/>
  <c r="A102" i="36"/>
  <c r="B102" i="36" s="1"/>
  <c r="A103" i="36"/>
  <c r="B103" i="36" s="1"/>
  <c r="A104" i="36"/>
  <c r="B104" i="36" s="1"/>
  <c r="A105" i="36"/>
  <c r="B105" i="36" s="1"/>
  <c r="A106" i="36"/>
  <c r="B106" i="36" s="1"/>
  <c r="A107" i="36"/>
  <c r="B107" i="36" s="1"/>
  <c r="A108" i="36"/>
  <c r="A109" i="36"/>
  <c r="B109" i="36" s="1"/>
  <c r="A110" i="36"/>
  <c r="A111" i="36"/>
  <c r="B111" i="36" s="1"/>
  <c r="A112" i="36"/>
  <c r="B112" i="36" s="1"/>
  <c r="A113" i="36"/>
  <c r="C113" i="36" s="1"/>
  <c r="A114" i="36"/>
  <c r="B114" i="36" s="1"/>
  <c r="A115" i="36"/>
  <c r="B115" i="36" s="1"/>
  <c r="A1" i="36"/>
  <c r="A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F1" i="34"/>
  <c r="D1" i="34"/>
  <c r="A1" i="34"/>
  <c r="A2" i="38"/>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E1" i="38"/>
  <c r="D1" i="38"/>
  <c r="A1" i="38"/>
  <c r="A2" i="32"/>
  <c r="C2" i="32" s="1"/>
  <c r="A3" i="32"/>
  <c r="C3" i="32" s="1"/>
  <c r="A4" i="32"/>
  <c r="C4" i="32" s="1"/>
  <c r="A5" i="32"/>
  <c r="B5" i="32" s="1"/>
  <c r="A6" i="32"/>
  <c r="A7" i="32"/>
  <c r="B7" i="32" s="1"/>
  <c r="A8" i="32"/>
  <c r="B8" i="32" s="1"/>
  <c r="A9" i="32"/>
  <c r="B9" i="32" s="1"/>
  <c r="A10" i="32"/>
  <c r="C10" i="32" s="1"/>
  <c r="A11" i="32"/>
  <c r="B11" i="32" s="1"/>
  <c r="A12" i="32"/>
  <c r="B12" i="32" s="1"/>
  <c r="A13" i="32"/>
  <c r="B13" i="32" s="1"/>
  <c r="A14" i="32"/>
  <c r="A15" i="32"/>
  <c r="C15" i="32" s="1"/>
  <c r="A16" i="32"/>
  <c r="B16" i="32" s="1"/>
  <c r="A17" i="32"/>
  <c r="A18" i="32"/>
  <c r="C18" i="32" s="1"/>
  <c r="A19" i="32"/>
  <c r="A20" i="32"/>
  <c r="B20" i="32" s="1"/>
  <c r="A21" i="32"/>
  <c r="C21" i="32" s="1"/>
  <c r="A22" i="32"/>
  <c r="B22" i="32" s="1"/>
  <c r="A23" i="32"/>
  <c r="B23" i="32" s="1"/>
  <c r="A24" i="32"/>
  <c r="B24" i="32" s="1"/>
  <c r="A25" i="32"/>
  <c r="C25" i="32" s="1"/>
  <c r="A26" i="32"/>
  <c r="C26" i="32" s="1"/>
  <c r="A27" i="32"/>
  <c r="C27" i="32" s="1"/>
  <c r="A28" i="32"/>
  <c r="B28" i="32" s="1"/>
  <c r="A29" i="32"/>
  <c r="B29" i="32" s="1"/>
  <c r="A30" i="32"/>
  <c r="B30" i="32" s="1"/>
  <c r="A31" i="32"/>
  <c r="A32" i="32"/>
  <c r="B32" i="32" s="1"/>
  <c r="A33" i="32"/>
  <c r="B33" i="32" s="1"/>
  <c r="A34" i="32"/>
  <c r="C34" i="32" s="1"/>
  <c r="A35" i="32"/>
  <c r="B35" i="32" s="1"/>
  <c r="A36" i="32"/>
  <c r="B36" i="32" s="1"/>
  <c r="A37" i="32"/>
  <c r="B37" i="32" s="1"/>
  <c r="A38" i="32"/>
  <c r="B38" i="32" s="1"/>
  <c r="A39" i="32"/>
  <c r="B39" i="32" s="1"/>
  <c r="A40" i="32"/>
  <c r="C40" i="32" s="1"/>
  <c r="A41" i="32"/>
  <c r="C41" i="32" s="1"/>
  <c r="A42" i="32"/>
  <c r="C42" i="32" s="1"/>
  <c r="A43" i="32"/>
  <c r="C43" i="32" s="1"/>
  <c r="A44" i="32"/>
  <c r="B44" i="32" s="1"/>
  <c r="A45" i="32"/>
  <c r="C45" i="32" s="1"/>
  <c r="A46" i="32"/>
  <c r="C46" i="32" s="1"/>
  <c r="A47" i="32"/>
  <c r="B47" i="32" s="1"/>
  <c r="A48" i="32"/>
  <c r="B48" i="32" s="1"/>
  <c r="A49" i="32"/>
  <c r="A50" i="32"/>
  <c r="C50" i="32" s="1"/>
  <c r="A51" i="32"/>
  <c r="C51" i="32" s="1"/>
  <c r="A52" i="32"/>
  <c r="B52" i="32" s="1"/>
  <c r="A53" i="32"/>
  <c r="B53" i="32" s="1"/>
  <c r="A54" i="32"/>
  <c r="C54" i="32" s="1"/>
  <c r="A55" i="32"/>
  <c r="A56" i="32"/>
  <c r="B56" i="32" s="1"/>
  <c r="A57" i="32"/>
  <c r="B57" i="32" s="1"/>
  <c r="A58" i="32"/>
  <c r="A59" i="32"/>
  <c r="A60" i="32"/>
  <c r="B60" i="32" s="1"/>
  <c r="A61" i="32"/>
  <c r="B61" i="32" s="1"/>
  <c r="A62" i="32"/>
  <c r="C62" i="32" s="1"/>
  <c r="A63" i="32"/>
  <c r="C63" i="32" s="1"/>
  <c r="A64" i="32"/>
  <c r="B64" i="32" s="1"/>
  <c r="A65" i="32"/>
  <c r="B65" i="32" s="1"/>
  <c r="A66" i="32"/>
  <c r="A67" i="32"/>
  <c r="B67" i="32" s="1"/>
  <c r="A68" i="32"/>
  <c r="A69" i="32"/>
  <c r="C69" i="32" s="1"/>
  <c r="A70" i="32"/>
  <c r="B70" i="32" s="1"/>
  <c r="A71" i="32"/>
  <c r="B71" i="32" s="1"/>
  <c r="A72" i="32"/>
  <c r="C72" i="32" s="1"/>
  <c r="A73" i="32"/>
  <c r="A74" i="32"/>
  <c r="A75" i="32"/>
  <c r="B75" i="32" s="1"/>
  <c r="A76" i="32"/>
  <c r="B76" i="32" s="1"/>
  <c r="A77" i="32"/>
  <c r="C77" i="32" s="1"/>
  <c r="A78" i="32"/>
  <c r="A79" i="32"/>
  <c r="A80" i="32"/>
  <c r="C80" i="32" s="1"/>
  <c r="A81" i="32"/>
  <c r="B81" i="32" s="1"/>
  <c r="A82" i="32"/>
  <c r="C82" i="32" s="1"/>
  <c r="A83" i="32"/>
  <c r="B83" i="32" s="1"/>
  <c r="A84" i="32"/>
  <c r="B84" i="32" s="1"/>
  <c r="A85" i="32"/>
  <c r="C85" i="32" s="1"/>
  <c r="A86" i="32"/>
  <c r="C86" i="32" s="1"/>
  <c r="A87" i="32"/>
  <c r="C87" i="32" s="1"/>
  <c r="A88" i="32"/>
  <c r="B88" i="32" s="1"/>
  <c r="A89" i="32"/>
  <c r="B89" i="32" s="1"/>
  <c r="A90" i="32"/>
  <c r="C90" i="32" s="1"/>
  <c r="A91" i="32"/>
  <c r="B91" i="32" s="1"/>
  <c r="A92" i="32"/>
  <c r="B92" i="32" s="1"/>
  <c r="A93" i="32"/>
  <c r="B93" i="32" s="1"/>
  <c r="A94" i="32"/>
  <c r="B94" i="32" s="1"/>
  <c r="A95" i="32"/>
  <c r="C95" i="32" s="1"/>
  <c r="A96" i="32"/>
  <c r="A97" i="32"/>
  <c r="A98" i="32"/>
  <c r="C98" i="32" s="1"/>
  <c r="A99" i="32"/>
  <c r="B99" i="32" s="1"/>
  <c r="A100" i="32"/>
  <c r="A101" i="32"/>
  <c r="A102" i="32"/>
  <c r="A103" i="32"/>
  <c r="B103" i="32" s="1"/>
  <c r="A104" i="32"/>
  <c r="C104" i="32" s="1"/>
  <c r="A105" i="32"/>
  <c r="C105" i="32" s="1"/>
  <c r="A106" i="32"/>
  <c r="C106" i="32" s="1"/>
  <c r="A107" i="32"/>
  <c r="C107" i="32" s="1"/>
  <c r="A108" i="32"/>
  <c r="B108" i="32" s="1"/>
  <c r="A109" i="32"/>
  <c r="B109" i="32" s="1"/>
  <c r="A110" i="32"/>
  <c r="B110" i="32" s="1"/>
  <c r="A111" i="32"/>
  <c r="B111" i="32" s="1"/>
  <c r="A112" i="32"/>
  <c r="B112" i="32" s="1"/>
  <c r="A113" i="32"/>
  <c r="C113" i="32" s="1"/>
  <c r="A114" i="32"/>
  <c r="A115" i="32"/>
  <c r="C115" i="32" s="1"/>
  <c r="D1" i="32"/>
  <c r="A1" i="32"/>
  <c r="A2" i="30"/>
  <c r="C2" i="30" s="1"/>
  <c r="A3" i="30"/>
  <c r="B3" i="30" s="1"/>
  <c r="A4" i="30"/>
  <c r="B4" i="30" s="1"/>
  <c r="A5" i="30"/>
  <c r="B5" i="30" s="1"/>
  <c r="A6" i="30"/>
  <c r="B6" i="30" s="1"/>
  <c r="A7" i="30"/>
  <c r="A8" i="30"/>
  <c r="C8" i="30" s="1"/>
  <c r="A9" i="30"/>
  <c r="B9" i="30" s="1"/>
  <c r="A10" i="30"/>
  <c r="B10" i="30" s="1"/>
  <c r="A11" i="30"/>
  <c r="B11" i="30" s="1"/>
  <c r="A12" i="30"/>
  <c r="A13" i="30"/>
  <c r="A14" i="30"/>
  <c r="B14" i="30" s="1"/>
  <c r="A15" i="30"/>
  <c r="C15" i="30" s="1"/>
  <c r="A16" i="30"/>
  <c r="B16" i="30" s="1"/>
  <c r="A17" i="30"/>
  <c r="B17" i="30" s="1"/>
  <c r="A18" i="30"/>
  <c r="A19" i="30"/>
  <c r="C19" i="30" s="1"/>
  <c r="A20" i="30"/>
  <c r="C20" i="30" s="1"/>
  <c r="A21" i="30"/>
  <c r="B21" i="30" s="1"/>
  <c r="A22" i="30"/>
  <c r="C22" i="30" s="1"/>
  <c r="A23" i="30"/>
  <c r="C23" i="30" s="1"/>
  <c r="A24" i="30"/>
  <c r="B24" i="30" s="1"/>
  <c r="A25" i="30"/>
  <c r="B25" i="30" s="1"/>
  <c r="A26" i="30"/>
  <c r="B26" i="30" s="1"/>
  <c r="A27" i="30"/>
  <c r="B27" i="30" s="1"/>
  <c r="A28" i="30"/>
  <c r="B28" i="30" s="1"/>
  <c r="A29" i="30"/>
  <c r="B29" i="30" s="1"/>
  <c r="A30" i="30"/>
  <c r="A31" i="30"/>
  <c r="A32" i="30"/>
  <c r="C32" i="30" s="1"/>
  <c r="A33" i="30"/>
  <c r="B33" i="30" s="1"/>
  <c r="A34" i="30"/>
  <c r="B34" i="30" s="1"/>
  <c r="A35" i="30"/>
  <c r="A36" i="30"/>
  <c r="A37" i="30"/>
  <c r="B37" i="30" s="1"/>
  <c r="A38" i="30"/>
  <c r="B38" i="30" s="1"/>
  <c r="A39" i="30"/>
  <c r="C39" i="30" s="1"/>
  <c r="A40" i="30"/>
  <c r="B40" i="30" s="1"/>
  <c r="A41" i="30"/>
  <c r="B41" i="30" s="1"/>
  <c r="A42" i="30"/>
  <c r="B42" i="30" s="1"/>
  <c r="A43" i="30"/>
  <c r="B43" i="30" s="1"/>
  <c r="A44" i="30"/>
  <c r="B44" i="30" s="1"/>
  <c r="A45" i="30"/>
  <c r="C45" i="30" s="1"/>
  <c r="A46" i="30"/>
  <c r="B46" i="30" s="1"/>
  <c r="A47" i="30"/>
  <c r="C47" i="30" s="1"/>
  <c r="A48" i="30"/>
  <c r="B48" i="30" s="1"/>
  <c r="A49" i="30"/>
  <c r="B49" i="30" s="1"/>
  <c r="A50" i="30"/>
  <c r="B50" i="30" s="1"/>
  <c r="A51" i="30"/>
  <c r="B51" i="30" s="1"/>
  <c r="A52" i="30"/>
  <c r="C52" i="30" s="1"/>
  <c r="A53" i="30"/>
  <c r="A54" i="30"/>
  <c r="A55" i="30"/>
  <c r="C55" i="30" s="1"/>
  <c r="A56" i="30"/>
  <c r="B56" i="30" s="1"/>
  <c r="A57" i="30"/>
  <c r="B57" i="30" s="1"/>
  <c r="A58" i="30"/>
  <c r="A59" i="30"/>
  <c r="A60" i="30"/>
  <c r="B60" i="30" s="1"/>
  <c r="A61" i="30"/>
  <c r="B61" i="30" s="1"/>
  <c r="A62" i="30"/>
  <c r="C62" i="30" s="1"/>
  <c r="A63" i="30"/>
  <c r="C63" i="30" s="1"/>
  <c r="A64" i="30"/>
  <c r="C64" i="30" s="1"/>
  <c r="A65" i="30"/>
  <c r="B65" i="30" s="1"/>
  <c r="A66" i="30"/>
  <c r="B66" i="30" s="1"/>
  <c r="A67" i="30"/>
  <c r="B67" i="30" s="1"/>
  <c r="A68" i="30"/>
  <c r="C68" i="30" s="1"/>
  <c r="A69" i="30"/>
  <c r="B69" i="30" s="1"/>
  <c r="A70" i="30"/>
  <c r="B70" i="30" s="1"/>
  <c r="A71" i="30"/>
  <c r="A72" i="30"/>
  <c r="C72" i="30" s="1"/>
  <c r="A73" i="30"/>
  <c r="B73" i="30" s="1"/>
  <c r="A74" i="30"/>
  <c r="B74" i="30" s="1"/>
  <c r="A75" i="30"/>
  <c r="B75" i="30" s="1"/>
  <c r="A76" i="30"/>
  <c r="A77" i="30"/>
  <c r="A78" i="30"/>
  <c r="B78" i="30" s="1"/>
  <c r="A79" i="30"/>
  <c r="C79" i="30" s="1"/>
  <c r="A80" i="30"/>
  <c r="C80" i="30" s="1"/>
  <c r="A81" i="30"/>
  <c r="B81" i="30" s="1"/>
  <c r="A82" i="30"/>
  <c r="A83" i="30"/>
  <c r="B83" i="30" s="1"/>
  <c r="A84" i="30"/>
  <c r="C84" i="30" s="1"/>
  <c r="A85" i="30"/>
  <c r="B85" i="30" s="1"/>
  <c r="A86" i="30"/>
  <c r="B86" i="30" s="1"/>
  <c r="A87" i="30"/>
  <c r="C87" i="30" s="1"/>
  <c r="A88" i="30"/>
  <c r="B88" i="30" s="1"/>
  <c r="A89" i="30"/>
  <c r="B89" i="30" s="1"/>
  <c r="A90" i="30"/>
  <c r="B90" i="30" s="1"/>
  <c r="A91" i="30"/>
  <c r="B91" i="30" s="1"/>
  <c r="A92" i="30"/>
  <c r="B92" i="30" s="1"/>
  <c r="A93" i="30"/>
  <c r="C93" i="30" s="1"/>
  <c r="A94" i="30"/>
  <c r="A95" i="30"/>
  <c r="A96" i="30"/>
  <c r="B96" i="30" s="1"/>
  <c r="A97" i="30"/>
  <c r="B97" i="30" s="1"/>
  <c r="A98" i="30"/>
  <c r="B98" i="30" s="1"/>
  <c r="A99" i="30"/>
  <c r="C99" i="30" s="1"/>
  <c r="A100" i="30"/>
  <c r="C100" i="30" s="1"/>
  <c r="A101" i="30"/>
  <c r="C101" i="30" s="1"/>
  <c r="A102" i="30"/>
  <c r="C102" i="30" s="1"/>
  <c r="A103" i="30"/>
  <c r="C103" i="30" s="1"/>
  <c r="A104" i="30"/>
  <c r="B104" i="30" s="1"/>
  <c r="A105" i="30"/>
  <c r="A106" i="30"/>
  <c r="B106" i="30" s="1"/>
  <c r="A107" i="30"/>
  <c r="B107" i="30" s="1"/>
  <c r="A108" i="30"/>
  <c r="C108" i="30" s="1"/>
  <c r="A109" i="30"/>
  <c r="C109" i="30" s="1"/>
  <c r="A110" i="30"/>
  <c r="B110" i="30" s="1"/>
  <c r="A111" i="30"/>
  <c r="C111" i="30" s="1"/>
  <c r="A112" i="30"/>
  <c r="B112" i="30" s="1"/>
  <c r="A113" i="30"/>
  <c r="B113" i="30" s="1"/>
  <c r="A114" i="30"/>
  <c r="B114" i="30" s="1"/>
  <c r="A115" i="30"/>
  <c r="B115" i="30" s="1"/>
  <c r="F1" i="30"/>
  <c r="D1" i="30"/>
  <c r="A1" i="30"/>
  <c r="A2" i="28"/>
  <c r="B2" i="28" s="1"/>
  <c r="A3" i="28"/>
  <c r="C3" i="28" s="1"/>
  <c r="A4" i="28"/>
  <c r="A5" i="28"/>
  <c r="C5" i="28" s="1"/>
  <c r="A6" i="28"/>
  <c r="A7" i="28"/>
  <c r="C7" i="28" s="1"/>
  <c r="A8" i="28"/>
  <c r="C8" i="28" s="1"/>
  <c r="A9" i="28"/>
  <c r="B9" i="28" s="1"/>
  <c r="A10" i="28"/>
  <c r="A11" i="28"/>
  <c r="B11" i="28" s="1"/>
  <c r="A12" i="28"/>
  <c r="B12" i="28" s="1"/>
  <c r="A13" i="28"/>
  <c r="B13" i="28" s="1"/>
  <c r="A14" i="28"/>
  <c r="B14" i="28" s="1"/>
  <c r="A15" i="28"/>
  <c r="B15" i="28" s="1"/>
  <c r="A16" i="28"/>
  <c r="B16" i="28" s="1"/>
  <c r="A17" i="28"/>
  <c r="B17" i="28" s="1"/>
  <c r="A18" i="28"/>
  <c r="B18" i="28" s="1"/>
  <c r="A19" i="28"/>
  <c r="B19" i="28" s="1"/>
  <c r="A20" i="28"/>
  <c r="B20" i="28" s="1"/>
  <c r="A21" i="28"/>
  <c r="C21" i="28" s="1"/>
  <c r="A22" i="28"/>
  <c r="C22" i="28" s="1"/>
  <c r="A23" i="28"/>
  <c r="C23" i="28" s="1"/>
  <c r="A24" i="28"/>
  <c r="C24" i="28" s="1"/>
  <c r="A25" i="28"/>
  <c r="B25" i="28" s="1"/>
  <c r="A26" i="28"/>
  <c r="C26" i="28" s="1"/>
  <c r="A27" i="28"/>
  <c r="C27" i="28" s="1"/>
  <c r="A28" i="28"/>
  <c r="B28" i="28" s="1"/>
  <c r="A29" i="28"/>
  <c r="C29" i="28" s="1"/>
  <c r="A30" i="28"/>
  <c r="B30" i="28" s="1"/>
  <c r="A31" i="28"/>
  <c r="C31" i="28" s="1"/>
  <c r="A32" i="28"/>
  <c r="B32" i="28" s="1"/>
  <c r="A33" i="28"/>
  <c r="B33" i="28" s="1"/>
  <c r="A34" i="28"/>
  <c r="B34" i="28" s="1"/>
  <c r="A35" i="28"/>
  <c r="A36" i="28"/>
  <c r="C36" i="28" s="1"/>
  <c r="A37" i="28"/>
  <c r="C37" i="28" s="1"/>
  <c r="A38" i="28"/>
  <c r="A39" i="28"/>
  <c r="A40" i="28"/>
  <c r="C40" i="28" s="1"/>
  <c r="A41" i="28"/>
  <c r="B41" i="28" s="1"/>
  <c r="A42" i="28"/>
  <c r="A43" i="28"/>
  <c r="A44" i="28"/>
  <c r="C44" i="28" s="1"/>
  <c r="A45" i="28"/>
  <c r="B45" i="28" s="1"/>
  <c r="A46" i="28"/>
  <c r="B46" i="28" s="1"/>
  <c r="A47" i="28"/>
  <c r="B47" i="28" s="1"/>
  <c r="A48" i="28"/>
  <c r="B48" i="28" s="1"/>
  <c r="A49" i="28"/>
  <c r="B49" i="28" s="1"/>
  <c r="A50" i="28"/>
  <c r="B50" i="28" s="1"/>
  <c r="A51" i="28"/>
  <c r="B51" i="28" s="1"/>
  <c r="A52" i="28"/>
  <c r="C52" i="28" s="1"/>
  <c r="A53" i="28"/>
  <c r="C53" i="28" s="1"/>
  <c r="A54" i="28"/>
  <c r="A55" i="28"/>
  <c r="C55" i="28" s="1"/>
  <c r="A56" i="28"/>
  <c r="C56" i="28" s="1"/>
  <c r="A57" i="28"/>
  <c r="B57" i="28" s="1"/>
  <c r="A58" i="28"/>
  <c r="A59" i="28"/>
  <c r="B59" i="28" s="1"/>
  <c r="A60" i="28"/>
  <c r="C60" i="28" s="1"/>
  <c r="A61" i="28"/>
  <c r="B61" i="28" s="1"/>
  <c r="A62" i="28"/>
  <c r="B62" i="28" s="1"/>
  <c r="A63" i="28"/>
  <c r="C63" i="28" s="1"/>
  <c r="A64" i="28"/>
  <c r="B64" i="28" s="1"/>
  <c r="A65" i="28"/>
  <c r="B65" i="28" s="1"/>
  <c r="A66" i="28"/>
  <c r="B66" i="28" s="1"/>
  <c r="A67" i="28"/>
  <c r="B67" i="28" s="1"/>
  <c r="A68" i="28"/>
  <c r="A69" i="28"/>
  <c r="C69" i="28" s="1"/>
  <c r="A70" i="28"/>
  <c r="B70" i="28" s="1"/>
  <c r="A71" i="28"/>
  <c r="C71" i="28" s="1"/>
  <c r="A72" i="28"/>
  <c r="C72" i="28" s="1"/>
  <c r="A73" i="28"/>
  <c r="B73" i="28" s="1"/>
  <c r="A74" i="28"/>
  <c r="B74" i="28" s="1"/>
  <c r="A75" i="28"/>
  <c r="B75" i="28" s="1"/>
  <c r="A76" i="28"/>
  <c r="B76" i="28" s="1"/>
  <c r="A77" i="28"/>
  <c r="C77" i="28" s="1"/>
  <c r="A78" i="28"/>
  <c r="B78" i="28" s="1"/>
  <c r="A79" i="28"/>
  <c r="C79" i="28" s="1"/>
  <c r="A80" i="28"/>
  <c r="B80" i="28" s="1"/>
  <c r="A81" i="28"/>
  <c r="B81" i="28" s="1"/>
  <c r="A82" i="28"/>
  <c r="B82" i="28" s="1"/>
  <c r="A83" i="28"/>
  <c r="C83" i="28" s="1"/>
  <c r="A84" i="28"/>
  <c r="B84" i="28" s="1"/>
  <c r="A85" i="28"/>
  <c r="C85" i="28" s="1"/>
  <c r="A86" i="28"/>
  <c r="B86" i="28" s="1"/>
  <c r="A87" i="28"/>
  <c r="C87" i="28" s="1"/>
  <c r="A88" i="28"/>
  <c r="C88" i="28" s="1"/>
  <c r="A89" i="28"/>
  <c r="B89" i="28" s="1"/>
  <c r="A90" i="28"/>
  <c r="C90" i="28" s="1"/>
  <c r="A91" i="28"/>
  <c r="B91" i="28" s="1"/>
  <c r="A92" i="28"/>
  <c r="C92" i="28" s="1"/>
  <c r="A93" i="28"/>
  <c r="B93" i="28" s="1"/>
  <c r="A94" i="28"/>
  <c r="B94" i="28" s="1"/>
  <c r="A95" i="28"/>
  <c r="B95" i="28" s="1"/>
  <c r="A96" i="28"/>
  <c r="B96" i="28" s="1"/>
  <c r="A97" i="28"/>
  <c r="B97" i="28" s="1"/>
  <c r="A98" i="28"/>
  <c r="B98" i="28" s="1"/>
  <c r="A99" i="28"/>
  <c r="B99" i="28" s="1"/>
  <c r="A100" i="28"/>
  <c r="C100" i="28" s="1"/>
  <c r="A101" i="28"/>
  <c r="C101" i="28" s="1"/>
  <c r="A102" i="28"/>
  <c r="B102" i="28" s="1"/>
  <c r="A103" i="28"/>
  <c r="C103" i="28" s="1"/>
  <c r="A104" i="28"/>
  <c r="C104" i="28" s="1"/>
  <c r="A105" i="28"/>
  <c r="B105" i="28" s="1"/>
  <c r="A106" i="28"/>
  <c r="B106" i="28" s="1"/>
  <c r="A107" i="28"/>
  <c r="B107" i="28" s="1"/>
  <c r="A108" i="28"/>
  <c r="B108" i="28" s="1"/>
  <c r="A109" i="28"/>
  <c r="B109" i="28" s="1"/>
  <c r="A110" i="28"/>
  <c r="B110" i="28" s="1"/>
  <c r="A111" i="28"/>
  <c r="C111" i="28" s="1"/>
  <c r="A112" i="28"/>
  <c r="B112" i="28" s="1"/>
  <c r="A113" i="28"/>
  <c r="B113" i="28" s="1"/>
  <c r="A114" i="28"/>
  <c r="C114" i="28" s="1"/>
  <c r="A115" i="28"/>
  <c r="B115" i="28" s="1"/>
  <c r="E1" i="28"/>
  <c r="D1" i="28"/>
  <c r="A1" i="28"/>
  <c r="B43" i="75" l="1"/>
  <c r="G17" i="23"/>
  <c r="B40" i="28"/>
  <c r="B53" i="28"/>
  <c r="B104" i="32"/>
  <c r="B84" i="30"/>
  <c r="B15" i="77"/>
  <c r="B69" i="32"/>
  <c r="C113" i="30"/>
  <c r="B21" i="32"/>
  <c r="C5" i="32"/>
  <c r="B90" i="28"/>
  <c r="C50" i="30"/>
  <c r="C39" i="32"/>
  <c r="C28" i="32"/>
  <c r="B79" i="76"/>
  <c r="C107" i="30"/>
  <c r="B44" i="28"/>
  <c r="C34" i="28"/>
  <c r="B86" i="32"/>
  <c r="B51" i="32"/>
  <c r="C55" i="76"/>
  <c r="C67" i="30"/>
  <c r="B81" i="77"/>
  <c r="B46" i="32"/>
  <c r="B87" i="28"/>
  <c r="C62" i="75"/>
  <c r="C9" i="32"/>
  <c r="C78" i="36"/>
  <c r="C29" i="30"/>
  <c r="B45" i="36"/>
  <c r="C57" i="75"/>
  <c r="C9" i="76"/>
  <c r="B3" i="28"/>
  <c r="B100" i="30"/>
  <c r="C48" i="30"/>
  <c r="C12" i="32"/>
  <c r="B72" i="30"/>
  <c r="C75" i="32"/>
  <c r="B62" i="32"/>
  <c r="C47" i="77"/>
  <c r="B63" i="28"/>
  <c r="B104" i="77"/>
  <c r="B91" i="77"/>
  <c r="C26" i="30"/>
  <c r="C44" i="77"/>
  <c r="B60" i="28"/>
  <c r="C111" i="76"/>
  <c r="C89" i="75"/>
  <c r="C14" i="75"/>
  <c r="B100" i="28"/>
  <c r="B71" i="28"/>
  <c r="C90" i="30"/>
  <c r="C70" i="36"/>
  <c r="C41" i="36"/>
  <c r="C40" i="30"/>
  <c r="C35" i="32"/>
  <c r="C30" i="32"/>
  <c r="C107" i="76"/>
  <c r="B68" i="77"/>
  <c r="B111" i="28"/>
  <c r="B59" i="76"/>
  <c r="C13" i="76"/>
  <c r="C37" i="36"/>
  <c r="C107" i="77"/>
  <c r="C93" i="77"/>
  <c r="C65" i="36"/>
  <c r="B20" i="30"/>
  <c r="C109" i="32"/>
  <c r="B3" i="77"/>
  <c r="C38" i="77"/>
  <c r="C13" i="32"/>
  <c r="C21" i="30"/>
  <c r="B2" i="30"/>
  <c r="C53" i="32"/>
  <c r="C101" i="36"/>
  <c r="C20" i="77"/>
  <c r="B36" i="28"/>
  <c r="B33" i="77"/>
  <c r="B47" i="30"/>
  <c r="C9" i="30"/>
  <c r="C43" i="77"/>
  <c r="B31" i="77"/>
  <c r="C18" i="77"/>
  <c r="C31" i="76"/>
  <c r="B37" i="28"/>
  <c r="C33" i="28"/>
  <c r="B23" i="28"/>
  <c r="B102" i="30"/>
  <c r="B62" i="30"/>
  <c r="C43" i="30"/>
  <c r="B32" i="30"/>
  <c r="B22" i="30"/>
  <c r="C111" i="32"/>
  <c r="C93" i="36"/>
  <c r="C80" i="36"/>
  <c r="C25" i="36"/>
  <c r="C109" i="75"/>
  <c r="C76" i="28"/>
  <c r="B7" i="28"/>
  <c r="C25" i="30"/>
  <c r="B19" i="30"/>
  <c r="C4" i="30"/>
  <c r="C88" i="32"/>
  <c r="C65" i="75"/>
  <c r="C70" i="77"/>
  <c r="B57" i="77"/>
  <c r="C22" i="77"/>
  <c r="B101" i="30"/>
  <c r="C61" i="30"/>
  <c r="C49" i="30"/>
  <c r="B39" i="30"/>
  <c r="C11" i="30"/>
  <c r="B26" i="32"/>
  <c r="B3" i="32"/>
  <c r="C35" i="76"/>
  <c r="C49" i="76"/>
  <c r="C21" i="76"/>
  <c r="C10" i="77"/>
  <c r="C109" i="28"/>
  <c r="C106" i="30"/>
  <c r="C86" i="30"/>
  <c r="C91" i="75"/>
  <c r="C84" i="28"/>
  <c r="C66" i="30"/>
  <c r="C60" i="30"/>
  <c r="C24" i="30"/>
  <c r="C14" i="30"/>
  <c r="C108" i="32"/>
  <c r="B34" i="32"/>
  <c r="B53" i="77"/>
  <c r="B31" i="28"/>
  <c r="B45" i="30"/>
  <c r="C61" i="32"/>
  <c r="B25" i="32"/>
  <c r="B15" i="32"/>
  <c r="B20" i="36"/>
  <c r="C5" i="36"/>
  <c r="C30" i="77"/>
  <c r="B52" i="30"/>
  <c r="B107" i="32"/>
  <c r="B43" i="32"/>
  <c r="C102" i="75"/>
  <c r="C106" i="28"/>
  <c r="C59" i="28"/>
  <c r="C4" i="36"/>
  <c r="C17" i="76"/>
  <c r="C115" i="77"/>
  <c r="B40" i="77"/>
  <c r="C93" i="28"/>
  <c r="C82" i="28"/>
  <c r="B69" i="28"/>
  <c r="B106" i="32"/>
  <c r="C93" i="32"/>
  <c r="B82" i="32"/>
  <c r="C33" i="32"/>
  <c r="C98" i="36"/>
  <c r="C85" i="36"/>
  <c r="C58" i="36"/>
  <c r="C85" i="76"/>
  <c r="C90" i="77"/>
  <c r="C17" i="77"/>
  <c r="C5" i="77"/>
  <c r="C113" i="75"/>
  <c r="C30" i="75"/>
  <c r="C115" i="28"/>
  <c r="B104" i="28"/>
  <c r="C67" i="28"/>
  <c r="C91" i="32"/>
  <c r="B55" i="28"/>
  <c r="B108" i="30"/>
  <c r="C96" i="30"/>
  <c r="C75" i="30"/>
  <c r="B68" i="30"/>
  <c r="B27" i="32"/>
  <c r="C41" i="75"/>
  <c r="C27" i="75"/>
  <c r="C95" i="76"/>
  <c r="C25" i="76"/>
  <c r="C86" i="77"/>
  <c r="B23" i="77"/>
  <c r="C14" i="77"/>
  <c r="C99" i="28"/>
  <c r="C70" i="28"/>
  <c r="B52" i="28"/>
  <c r="B105" i="32"/>
  <c r="B87" i="32"/>
  <c r="B45" i="32"/>
  <c r="B41" i="32"/>
  <c r="B4" i="32"/>
  <c r="C81" i="28"/>
  <c r="B79" i="28"/>
  <c r="C18" i="28"/>
  <c r="B74" i="75"/>
  <c r="C49" i="75"/>
  <c r="B18" i="75"/>
  <c r="B113" i="77"/>
  <c r="C82" i="77"/>
  <c r="B72" i="77"/>
  <c r="B77" i="36"/>
  <c r="C33" i="36"/>
  <c r="C22" i="36"/>
  <c r="C10" i="36"/>
  <c r="C50" i="28"/>
  <c r="B27" i="28"/>
  <c r="C89" i="30"/>
  <c r="C16" i="30"/>
  <c r="C110" i="32"/>
  <c r="C20" i="32"/>
  <c r="C7" i="32"/>
  <c r="C98" i="75"/>
  <c r="C73" i="75"/>
  <c r="B6" i="75"/>
  <c r="B77" i="28"/>
  <c r="C12" i="28"/>
  <c r="B64" i="30"/>
  <c r="C42" i="30"/>
  <c r="C92" i="32"/>
  <c r="C67" i="32"/>
  <c r="C48" i="32"/>
  <c r="C44" i="32"/>
  <c r="B40" i="32"/>
  <c r="C76" i="36"/>
  <c r="B53" i="36"/>
  <c r="C47" i="75"/>
  <c r="C39" i="75"/>
  <c r="C21" i="77"/>
  <c r="B114" i="28"/>
  <c r="C95" i="28"/>
  <c r="B85" i="28"/>
  <c r="B85" i="32"/>
  <c r="B64" i="36"/>
  <c r="C15" i="75"/>
  <c r="C19" i="76"/>
  <c r="C80" i="77"/>
  <c r="B45" i="77"/>
  <c r="C37" i="77"/>
  <c r="B4" i="77"/>
  <c r="C40" i="36"/>
  <c r="C97" i="75"/>
  <c r="B103" i="76"/>
  <c r="C53" i="76"/>
  <c r="C41" i="76"/>
  <c r="C29" i="76"/>
  <c r="C89" i="77"/>
  <c r="C56" i="77"/>
  <c r="C13" i="77"/>
  <c r="C113" i="28"/>
  <c r="B21" i="28"/>
  <c r="C2" i="28"/>
  <c r="B63" i="30"/>
  <c r="C84" i="32"/>
  <c r="B46" i="75"/>
  <c r="C25" i="75"/>
  <c r="B3" i="75"/>
  <c r="B96" i="77"/>
  <c r="B79" i="77"/>
  <c r="B28" i="77"/>
  <c r="C11" i="28"/>
  <c r="C38" i="30"/>
  <c r="C102" i="28"/>
  <c r="C74" i="28"/>
  <c r="C66" i="28"/>
  <c r="C57" i="30"/>
  <c r="C41" i="30"/>
  <c r="C27" i="30"/>
  <c r="B15" i="30"/>
  <c r="B90" i="32"/>
  <c r="C83" i="32"/>
  <c r="C64" i="32"/>
  <c r="C22" i="32"/>
  <c r="B2" i="32"/>
  <c r="C45" i="75"/>
  <c r="C101" i="76"/>
  <c r="C61" i="76"/>
  <c r="C3" i="76"/>
  <c r="C95" i="77"/>
  <c r="C78" i="77"/>
  <c r="C35" i="77"/>
  <c r="C27" i="77"/>
  <c r="B92" i="28"/>
  <c r="B83" i="28"/>
  <c r="C115" i="30"/>
  <c r="B109" i="30"/>
  <c r="B80" i="30"/>
  <c r="B8" i="30"/>
  <c r="B115" i="32"/>
  <c r="B98" i="32"/>
  <c r="B72" i="32"/>
  <c r="C57" i="32"/>
  <c r="C106" i="36"/>
  <c r="C81" i="36"/>
  <c r="B48" i="36"/>
  <c r="C38" i="36"/>
  <c r="C26" i="36"/>
  <c r="C103" i="75"/>
  <c r="B67" i="75"/>
  <c r="C13" i="75"/>
  <c r="C106" i="77"/>
  <c r="B11" i="77"/>
  <c r="C2" i="77"/>
  <c r="B16" i="36"/>
  <c r="C91" i="30"/>
  <c r="C114" i="30"/>
  <c r="B103" i="30"/>
  <c r="B79" i="30"/>
  <c r="B113" i="32"/>
  <c r="C81" i="32"/>
  <c r="C70" i="32"/>
  <c r="C56" i="32"/>
  <c r="C38" i="32"/>
  <c r="C71" i="76"/>
  <c r="C42" i="77"/>
  <c r="C25" i="77"/>
  <c r="B95" i="32"/>
  <c r="C57" i="36"/>
  <c r="B31" i="75"/>
  <c r="C19" i="75"/>
  <c r="C47" i="76"/>
  <c r="C23" i="76"/>
  <c r="C32" i="77"/>
  <c r="C68" i="36"/>
  <c r="B24" i="36"/>
  <c r="B90" i="75"/>
  <c r="C42" i="75"/>
  <c r="C9" i="75"/>
  <c r="B83" i="77"/>
  <c r="B73" i="77"/>
  <c r="B16" i="77"/>
  <c r="C8" i="77"/>
  <c r="B101" i="28"/>
  <c r="B43" i="28"/>
  <c r="C43" i="28"/>
  <c r="B6" i="28"/>
  <c r="C6" i="28"/>
  <c r="C97" i="28"/>
  <c r="C68" i="28"/>
  <c r="B68" i="28"/>
  <c r="C65" i="28"/>
  <c r="C91" i="28"/>
  <c r="B10" i="28"/>
  <c r="C10" i="28"/>
  <c r="C108" i="28"/>
  <c r="C86" i="28"/>
  <c r="C75" i="28"/>
  <c r="C61" i="28"/>
  <c r="B58" i="28"/>
  <c r="C58" i="28"/>
  <c r="C39" i="28"/>
  <c r="B39" i="28"/>
  <c r="B4" i="28"/>
  <c r="C4" i="28"/>
  <c r="B54" i="28"/>
  <c r="C54" i="28"/>
  <c r="B42" i="28"/>
  <c r="C42" i="28"/>
  <c r="B105" i="30"/>
  <c r="C105" i="30"/>
  <c r="C98" i="28"/>
  <c r="B88" i="28"/>
  <c r="B29" i="28"/>
  <c r="B35" i="28"/>
  <c r="C35" i="28"/>
  <c r="B38" i="28"/>
  <c r="C38" i="28"/>
  <c r="C107" i="28"/>
  <c r="B103" i="28"/>
  <c r="B26" i="28"/>
  <c r="B22" i="28"/>
  <c r="C20" i="28"/>
  <c r="C112" i="30"/>
  <c r="B99" i="30"/>
  <c r="B93" i="30"/>
  <c r="C88" i="30"/>
  <c r="C44" i="30"/>
  <c r="B36" i="30"/>
  <c r="C36" i="30"/>
  <c r="B100" i="32"/>
  <c r="C100" i="32"/>
  <c r="B80" i="32"/>
  <c r="B63" i="32"/>
  <c r="B12" i="30"/>
  <c r="C12" i="30"/>
  <c r="B96" i="32"/>
  <c r="C96" i="32"/>
  <c r="B54" i="32"/>
  <c r="B76" i="30"/>
  <c r="C76" i="30"/>
  <c r="C58" i="32"/>
  <c r="B58" i="32"/>
  <c r="B56" i="28"/>
  <c r="C110" i="30"/>
  <c r="C97" i="30"/>
  <c r="C95" i="30"/>
  <c r="B95" i="30"/>
  <c r="C85" i="30"/>
  <c r="C83" i="30"/>
  <c r="C70" i="30"/>
  <c r="B53" i="30"/>
  <c r="C53" i="30"/>
  <c r="C31" i="30"/>
  <c r="B31" i="30"/>
  <c r="C7" i="30"/>
  <c r="B7" i="30"/>
  <c r="C103" i="32"/>
  <c r="B79" i="32"/>
  <c r="C79" i="32"/>
  <c r="B68" i="32"/>
  <c r="C68" i="32"/>
  <c r="B8" i="28"/>
  <c r="C78" i="30"/>
  <c r="C73" i="30"/>
  <c r="B18" i="30"/>
  <c r="C18" i="30"/>
  <c r="C65" i="30"/>
  <c r="B58" i="30"/>
  <c r="C58" i="30"/>
  <c r="B55" i="30"/>
  <c r="B102" i="32"/>
  <c r="C102" i="32"/>
  <c r="C74" i="32"/>
  <c r="B74" i="32"/>
  <c r="B35" i="30"/>
  <c r="C35" i="30"/>
  <c r="C114" i="32"/>
  <c r="B114" i="32"/>
  <c r="B78" i="32"/>
  <c r="C78" i="32"/>
  <c r="B19" i="32"/>
  <c r="C19" i="32"/>
  <c r="C19" i="28"/>
  <c r="C15" i="28"/>
  <c r="C13" i="28"/>
  <c r="C98" i="30"/>
  <c r="B82" i="30"/>
  <c r="C82" i="30"/>
  <c r="C37" i="30"/>
  <c r="B13" i="30"/>
  <c r="C13" i="30"/>
  <c r="C6" i="30"/>
  <c r="C66" i="32"/>
  <c r="B66" i="32"/>
  <c r="C17" i="28"/>
  <c r="B111" i="30"/>
  <c r="B77" i="30"/>
  <c r="C77" i="30"/>
  <c r="B77" i="32"/>
  <c r="B94" i="30"/>
  <c r="C94" i="30"/>
  <c r="B54" i="30"/>
  <c r="C54" i="30"/>
  <c r="B30" i="30"/>
  <c r="C30" i="30"/>
  <c r="C14" i="32"/>
  <c r="B14" i="32"/>
  <c r="B97" i="32"/>
  <c r="C97" i="32"/>
  <c r="B73" i="32"/>
  <c r="C73" i="32"/>
  <c r="C51" i="28"/>
  <c r="C28" i="28"/>
  <c r="B5" i="28"/>
  <c r="B59" i="30"/>
  <c r="C59" i="30"/>
  <c r="B101" i="32"/>
  <c r="C101" i="32"/>
  <c r="B72" i="28"/>
  <c r="C47" i="28"/>
  <c r="C45" i="28"/>
  <c r="C104" i="30"/>
  <c r="C34" i="30"/>
  <c r="C3" i="30"/>
  <c r="C49" i="28"/>
  <c r="B24" i="28"/>
  <c r="C71" i="30"/>
  <c r="B71" i="30"/>
  <c r="B17" i="32"/>
  <c r="C17" i="32"/>
  <c r="C56" i="30"/>
  <c r="C99" i="32"/>
  <c r="B59" i="32"/>
  <c r="C59" i="32"/>
  <c r="C92" i="30"/>
  <c r="C74" i="30"/>
  <c r="C69" i="30"/>
  <c r="C51" i="30"/>
  <c r="C46" i="30"/>
  <c r="C33" i="30"/>
  <c r="C28" i="30"/>
  <c r="C10" i="30"/>
  <c r="C5" i="30"/>
  <c r="C112" i="32"/>
  <c r="C94" i="32"/>
  <c r="C89" i="32"/>
  <c r="C76" i="32"/>
  <c r="C71" i="32"/>
  <c r="B87" i="30"/>
  <c r="B23" i="30"/>
  <c r="C108" i="36"/>
  <c r="B108" i="36"/>
  <c r="B55" i="32"/>
  <c r="C55" i="32"/>
  <c r="C49" i="32"/>
  <c r="B49" i="32"/>
  <c r="C31" i="32"/>
  <c r="B31" i="32"/>
  <c r="B6" i="32"/>
  <c r="C6" i="32"/>
  <c r="B36" i="36"/>
  <c r="C36" i="36"/>
  <c r="C81" i="30"/>
  <c r="C17" i="30"/>
  <c r="B18" i="32"/>
  <c r="C35" i="75"/>
  <c r="B35" i="75"/>
  <c r="C8" i="32"/>
  <c r="C30" i="36"/>
  <c r="C65" i="32"/>
  <c r="C52" i="32"/>
  <c r="C47" i="32"/>
  <c r="C29" i="32"/>
  <c r="C16" i="32"/>
  <c r="B92" i="36"/>
  <c r="C92" i="36"/>
  <c r="B82" i="36"/>
  <c r="C82" i="36"/>
  <c r="B21" i="36"/>
  <c r="C21" i="36"/>
  <c r="B42" i="32"/>
  <c r="C24" i="32"/>
  <c r="B29" i="36"/>
  <c r="C29" i="36"/>
  <c r="C60" i="32"/>
  <c r="C37" i="32"/>
  <c r="C32" i="32"/>
  <c r="C11" i="32"/>
  <c r="B50" i="32"/>
  <c r="B44" i="36"/>
  <c r="C44" i="36"/>
  <c r="B9" i="36"/>
  <c r="C72" i="36"/>
  <c r="B72" i="36"/>
  <c r="C88" i="36"/>
  <c r="B88" i="36"/>
  <c r="B52" i="36"/>
  <c r="C52" i="36"/>
  <c r="B29" i="75"/>
  <c r="C29" i="75"/>
  <c r="B97" i="36"/>
  <c r="C97" i="36"/>
  <c r="C23" i="32"/>
  <c r="C36" i="32"/>
  <c r="B10" i="32"/>
  <c r="B14" i="36"/>
  <c r="C14" i="36"/>
  <c r="B21" i="75"/>
  <c r="C21" i="75"/>
  <c r="B113" i="36"/>
  <c r="C96" i="36"/>
  <c r="C28" i="36"/>
  <c r="C18" i="36"/>
  <c r="C13" i="36"/>
  <c r="C73" i="36"/>
  <c r="C8" i="36"/>
  <c r="C78" i="75"/>
  <c r="C34" i="75"/>
  <c r="C90" i="36"/>
  <c r="C42" i="36"/>
  <c r="B70" i="75"/>
  <c r="C5" i="75"/>
  <c r="C112" i="36"/>
  <c r="C100" i="36"/>
  <c r="C32" i="36"/>
  <c r="C17" i="36"/>
  <c r="B54" i="75"/>
  <c r="C54" i="75"/>
  <c r="C12" i="36"/>
  <c r="C2" i="36"/>
  <c r="B33" i="75"/>
  <c r="C33" i="75"/>
  <c r="B26" i="75"/>
  <c r="C26" i="75"/>
  <c r="B11" i="75"/>
  <c r="C11" i="75"/>
  <c r="B89" i="76"/>
  <c r="C89" i="76"/>
  <c r="C46" i="36"/>
  <c r="C10" i="75"/>
  <c r="C6" i="36"/>
  <c r="C27" i="76"/>
  <c r="B27" i="76"/>
  <c r="B107" i="75"/>
  <c r="C107" i="75"/>
  <c r="B99" i="75"/>
  <c r="C99" i="75"/>
  <c r="B73" i="76"/>
  <c r="C73" i="76"/>
  <c r="B83" i="75"/>
  <c r="C83" i="75"/>
  <c r="B59" i="75"/>
  <c r="B38" i="75"/>
  <c r="C38" i="75"/>
  <c r="B97" i="76"/>
  <c r="C97" i="76"/>
  <c r="B23" i="75"/>
  <c r="C23" i="75"/>
  <c r="C102" i="36"/>
  <c r="C86" i="36"/>
  <c r="C34" i="36"/>
  <c r="B113" i="76"/>
  <c r="C113" i="76"/>
  <c r="C106" i="75"/>
  <c r="C53" i="75"/>
  <c r="C37" i="75"/>
  <c r="C22" i="75"/>
  <c r="C7" i="75"/>
  <c r="C111" i="75"/>
  <c r="C69" i="75"/>
  <c r="C63" i="75"/>
  <c r="C58" i="75"/>
  <c r="C17" i="75"/>
  <c r="C2" i="75"/>
  <c r="B29" i="77"/>
  <c r="C29" i="77"/>
  <c r="C94" i="75"/>
  <c r="B33" i="76"/>
  <c r="C33" i="76"/>
  <c r="B7" i="76"/>
  <c r="C7" i="76"/>
  <c r="B36" i="77"/>
  <c r="C36" i="77"/>
  <c r="B91" i="76"/>
  <c r="C91" i="76"/>
  <c r="C15" i="76"/>
  <c r="B109" i="76"/>
  <c r="C109" i="76"/>
  <c r="B65" i="77"/>
  <c r="C65" i="77"/>
  <c r="B67" i="76"/>
  <c r="B74" i="77"/>
  <c r="C74" i="77"/>
  <c r="B39" i="76"/>
  <c r="C39" i="76"/>
  <c r="C115" i="76"/>
  <c r="B115" i="76"/>
  <c r="B99" i="77"/>
  <c r="C99" i="77"/>
  <c r="B76" i="77"/>
  <c r="C76" i="77"/>
  <c r="C43" i="76"/>
  <c r="B63" i="77"/>
  <c r="C63" i="77"/>
  <c r="C37" i="76"/>
  <c r="B52" i="77"/>
  <c r="C52" i="77"/>
  <c r="B97" i="77"/>
  <c r="C97" i="77"/>
  <c r="C60" i="77"/>
  <c r="B12" i="77"/>
  <c r="C12" i="77"/>
  <c r="B59" i="77"/>
  <c r="C59" i="77"/>
  <c r="B26" i="77"/>
  <c r="C26" i="77"/>
  <c r="C105" i="76"/>
  <c r="C99" i="76"/>
  <c r="C11" i="76"/>
  <c r="B39" i="77"/>
  <c r="C39" i="77"/>
  <c r="C5" i="76"/>
  <c r="B46" i="77"/>
  <c r="C46" i="77"/>
  <c r="B9" i="77"/>
  <c r="C9" i="77"/>
  <c r="C45" i="76"/>
  <c r="B111" i="77"/>
  <c r="C111" i="77"/>
  <c r="B85" i="77"/>
  <c r="C85" i="77"/>
  <c r="C110" i="77"/>
  <c r="C66" i="77"/>
  <c r="C102" i="77"/>
  <c r="C34" i="77"/>
  <c r="C100" i="77"/>
  <c r="C41" i="77"/>
  <c r="C24" i="77"/>
  <c r="C7" i="77"/>
  <c r="C51" i="77"/>
  <c r="C19" i="77"/>
  <c r="C6" i="77"/>
  <c r="B110" i="36"/>
  <c r="C110" i="36"/>
  <c r="B62" i="77"/>
  <c r="C62" i="77"/>
  <c r="B87" i="77"/>
  <c r="C87" i="77"/>
  <c r="C48" i="77"/>
  <c r="C87" i="75"/>
  <c r="B87" i="75"/>
  <c r="B55" i="75"/>
  <c r="C55" i="75"/>
  <c r="B77" i="77"/>
  <c r="C77" i="77"/>
  <c r="B54" i="36"/>
  <c r="C54" i="36"/>
  <c r="B93" i="75"/>
  <c r="C93" i="75"/>
  <c r="B83" i="76"/>
  <c r="C83" i="76"/>
  <c r="B61" i="77"/>
  <c r="C61" i="77"/>
  <c r="B69" i="36"/>
  <c r="C69" i="36"/>
  <c r="B98" i="77"/>
  <c r="C98" i="77"/>
  <c r="C66" i="36"/>
  <c r="B95" i="75"/>
  <c r="C95" i="75"/>
  <c r="B82" i="75"/>
  <c r="C82" i="75"/>
  <c r="C75" i="75"/>
  <c r="B75" i="75"/>
  <c r="B64" i="77"/>
  <c r="C64" i="77"/>
  <c r="B103" i="77"/>
  <c r="C103" i="77"/>
  <c r="B92" i="77"/>
  <c r="C92" i="77"/>
  <c r="B56" i="36"/>
  <c r="C56" i="36"/>
  <c r="C114" i="75"/>
  <c r="C79" i="75"/>
  <c r="C51" i="76"/>
  <c r="B51" i="76"/>
  <c r="C112" i="77"/>
  <c r="B61" i="36"/>
  <c r="B49" i="36"/>
  <c r="C85" i="75"/>
  <c r="B57" i="76"/>
  <c r="C57" i="76"/>
  <c r="B49" i="77"/>
  <c r="B63" i="76"/>
  <c r="C63" i="76"/>
  <c r="B75" i="77"/>
  <c r="C75" i="77"/>
  <c r="C62" i="36"/>
  <c r="B105" i="75"/>
  <c r="C105" i="75"/>
  <c r="C65" i="76"/>
  <c r="C94" i="77"/>
  <c r="C105" i="36"/>
  <c r="B84" i="36"/>
  <c r="C84" i="36"/>
  <c r="C50" i="75"/>
  <c r="C108" i="77"/>
  <c r="C69" i="77"/>
  <c r="C55" i="77"/>
  <c r="B109" i="77"/>
  <c r="C109" i="77"/>
  <c r="B110" i="75"/>
  <c r="C110" i="75"/>
  <c r="C77" i="75"/>
  <c r="C77" i="76"/>
  <c r="C114" i="36"/>
  <c r="C109" i="36"/>
  <c r="C60" i="36"/>
  <c r="C50" i="36"/>
  <c r="C101" i="75"/>
  <c r="C86" i="75"/>
  <c r="C71" i="75"/>
  <c r="C93" i="76"/>
  <c r="C87" i="76"/>
  <c r="C114" i="77"/>
  <c r="C101" i="77"/>
  <c r="C84" i="77"/>
  <c r="C67" i="77"/>
  <c r="C50" i="77"/>
  <c r="C104" i="36"/>
  <c r="C94" i="36"/>
  <c r="C89" i="36"/>
  <c r="C115" i="75"/>
  <c r="C81" i="75"/>
  <c r="C66" i="75"/>
  <c r="C51" i="75"/>
  <c r="C81" i="76"/>
  <c r="C75" i="76"/>
  <c r="C105" i="77"/>
  <c r="C88" i="77"/>
  <c r="C71" i="77"/>
  <c r="C54" i="77"/>
  <c r="C74" i="36"/>
  <c r="C61" i="75"/>
  <c r="C69" i="76"/>
  <c r="C58" i="77"/>
  <c r="C114" i="76"/>
  <c r="C110" i="76"/>
  <c r="C106" i="76"/>
  <c r="C102" i="76"/>
  <c r="C98" i="76"/>
  <c r="C94" i="76"/>
  <c r="C90" i="76"/>
  <c r="C86" i="76"/>
  <c r="C82" i="76"/>
  <c r="C78" i="76"/>
  <c r="C74" i="76"/>
  <c r="C70" i="76"/>
  <c r="C66" i="76"/>
  <c r="C62" i="76"/>
  <c r="C58" i="76"/>
  <c r="C54" i="76"/>
  <c r="C50" i="76"/>
  <c r="C46" i="76"/>
  <c r="C42" i="76"/>
  <c r="C38" i="76"/>
  <c r="C34" i="76"/>
  <c r="C30" i="76"/>
  <c r="C26" i="76"/>
  <c r="C22" i="76"/>
  <c r="C18" i="76"/>
  <c r="C14" i="76"/>
  <c r="C10" i="76"/>
  <c r="C6" i="76"/>
  <c r="C2" i="76"/>
  <c r="C112" i="76"/>
  <c r="C108" i="76"/>
  <c r="C104" i="76"/>
  <c r="C100" i="76"/>
  <c r="C96" i="76"/>
  <c r="C92" i="76"/>
  <c r="C88" i="76"/>
  <c r="C84" i="76"/>
  <c r="C80" i="76"/>
  <c r="C76" i="76"/>
  <c r="C72" i="76"/>
  <c r="C68" i="76"/>
  <c r="C64" i="76"/>
  <c r="C60" i="76"/>
  <c r="C56" i="76"/>
  <c r="C52" i="76"/>
  <c r="C48" i="76"/>
  <c r="C44" i="76"/>
  <c r="C40" i="76"/>
  <c r="C36" i="76"/>
  <c r="C32" i="76"/>
  <c r="C28" i="76"/>
  <c r="C24" i="76"/>
  <c r="C20" i="76"/>
  <c r="C16" i="76"/>
  <c r="C12" i="76"/>
  <c r="C8" i="76"/>
  <c r="C4" i="76"/>
  <c r="C112" i="75"/>
  <c r="C108" i="75"/>
  <c r="C104" i="75"/>
  <c r="C100" i="75"/>
  <c r="C96" i="75"/>
  <c r="C92" i="75"/>
  <c r="C88" i="75"/>
  <c r="C84" i="75"/>
  <c r="C80" i="75"/>
  <c r="C76" i="75"/>
  <c r="C72" i="75"/>
  <c r="C68" i="75"/>
  <c r="C64" i="75"/>
  <c r="C60" i="75"/>
  <c r="C56" i="75"/>
  <c r="C52" i="75"/>
  <c r="C48" i="75"/>
  <c r="C44" i="75"/>
  <c r="C40" i="75"/>
  <c r="C36" i="75"/>
  <c r="C32" i="75"/>
  <c r="C28" i="75"/>
  <c r="C24" i="75"/>
  <c r="C20" i="75"/>
  <c r="C16" i="75"/>
  <c r="C12" i="75"/>
  <c r="C8" i="75"/>
  <c r="C4" i="75"/>
  <c r="C115" i="36"/>
  <c r="C111" i="36"/>
  <c r="C107" i="36"/>
  <c r="C103" i="36"/>
  <c r="C99" i="36"/>
  <c r="C95" i="36"/>
  <c r="C91" i="36"/>
  <c r="C87" i="36"/>
  <c r="C83" i="36"/>
  <c r="C79" i="36"/>
  <c r="C75" i="36"/>
  <c r="C71" i="36"/>
  <c r="C67" i="36"/>
  <c r="C63" i="36"/>
  <c r="C59" i="36"/>
  <c r="C55" i="36"/>
  <c r="C51" i="36"/>
  <c r="C47" i="36"/>
  <c r="C43" i="36"/>
  <c r="C39" i="36"/>
  <c r="C35" i="36"/>
  <c r="C31" i="36"/>
  <c r="C27" i="36"/>
  <c r="C23" i="36"/>
  <c r="C19" i="36"/>
  <c r="C15" i="36"/>
  <c r="C11" i="36"/>
  <c r="C7" i="36"/>
  <c r="C3" i="36"/>
  <c r="C110" i="28"/>
  <c r="C94" i="28"/>
  <c r="C78" i="28"/>
  <c r="C62" i="28"/>
  <c r="C46" i="28"/>
  <c r="C30" i="28"/>
  <c r="C14" i="28"/>
  <c r="C105" i="28"/>
  <c r="C89" i="28"/>
  <c r="C73" i="28"/>
  <c r="C57" i="28"/>
  <c r="C41" i="28"/>
  <c r="C25" i="28"/>
  <c r="C9" i="28"/>
  <c r="C112" i="28"/>
  <c r="C96" i="28"/>
  <c r="C80" i="28"/>
  <c r="C64" i="28"/>
  <c r="C48" i="28"/>
  <c r="C32" i="28"/>
  <c r="C16" i="28"/>
  <c r="S2" i="25" l="1"/>
  <c r="T2" i="25"/>
  <c r="U2" i="25"/>
  <c r="N122" i="65"/>
  <c r="AS120" i="67" s="1"/>
  <c r="R1" i="76"/>
  <c r="Q1" i="76"/>
  <c r="P1" i="76"/>
  <c r="T2" i="65"/>
  <c r="U2" i="65"/>
  <c r="N16" i="65"/>
  <c r="O16" i="65"/>
  <c r="P16" i="65"/>
  <c r="Q16" i="65"/>
  <c r="N17" i="65"/>
  <c r="O17" i="65"/>
  <c r="P17" i="65"/>
  <c r="Q17" i="65"/>
  <c r="N18" i="65"/>
  <c r="O18" i="65"/>
  <c r="P18" i="65"/>
  <c r="Q18" i="65"/>
  <c r="N19" i="65"/>
  <c r="O19" i="65"/>
  <c r="P19" i="65"/>
  <c r="Q19" i="65"/>
  <c r="N20" i="65"/>
  <c r="O20" i="65"/>
  <c r="P20" i="65"/>
  <c r="Q20" i="65"/>
  <c r="N21" i="65"/>
  <c r="O21" i="65"/>
  <c r="P21" i="65"/>
  <c r="Q21" i="65"/>
  <c r="N22" i="65"/>
  <c r="O22" i="65"/>
  <c r="P22" i="65"/>
  <c r="Q22" i="65"/>
  <c r="N23" i="65"/>
  <c r="O23" i="65"/>
  <c r="P23" i="65"/>
  <c r="Q23" i="65"/>
  <c r="N24" i="65"/>
  <c r="O24" i="65"/>
  <c r="P24" i="65"/>
  <c r="Q24" i="65"/>
  <c r="N25" i="65"/>
  <c r="O25" i="65"/>
  <c r="P25" i="65"/>
  <c r="Q25" i="65"/>
  <c r="N26" i="65"/>
  <c r="O26" i="65"/>
  <c r="P26" i="65"/>
  <c r="Q26" i="65"/>
  <c r="N27" i="65"/>
  <c r="O27" i="65"/>
  <c r="P27" i="65"/>
  <c r="Q27" i="65"/>
  <c r="N28" i="65"/>
  <c r="O28" i="65"/>
  <c r="P28" i="65"/>
  <c r="Q28" i="65"/>
  <c r="N29" i="65"/>
  <c r="O29" i="65"/>
  <c r="P29" i="65"/>
  <c r="Q29" i="65"/>
  <c r="N30" i="65"/>
  <c r="O30" i="65"/>
  <c r="P30" i="65"/>
  <c r="Q30" i="65"/>
  <c r="N31" i="65"/>
  <c r="O31" i="65"/>
  <c r="P31" i="65"/>
  <c r="Q31" i="65"/>
  <c r="N32" i="65"/>
  <c r="O32" i="65"/>
  <c r="P32" i="65"/>
  <c r="Q32" i="65"/>
  <c r="N33" i="65"/>
  <c r="O33" i="65"/>
  <c r="P33" i="65"/>
  <c r="Q33" i="65"/>
  <c r="N34" i="65"/>
  <c r="O34" i="65"/>
  <c r="P34" i="65"/>
  <c r="Q34" i="65"/>
  <c r="N35" i="65"/>
  <c r="O35" i="65"/>
  <c r="P35" i="65"/>
  <c r="Q35" i="65"/>
  <c r="N36" i="65"/>
  <c r="O36" i="65"/>
  <c r="P36" i="65"/>
  <c r="Q36" i="65"/>
  <c r="N37" i="65"/>
  <c r="O37" i="65"/>
  <c r="P37" i="65"/>
  <c r="Q37" i="65"/>
  <c r="N38" i="65"/>
  <c r="O38" i="65"/>
  <c r="P38" i="65"/>
  <c r="Q38" i="65"/>
  <c r="N39" i="65"/>
  <c r="O39" i="65"/>
  <c r="P39" i="65"/>
  <c r="Q39" i="65"/>
  <c r="N40" i="65"/>
  <c r="O40" i="65"/>
  <c r="P40" i="65"/>
  <c r="Q40" i="65"/>
  <c r="N41" i="65"/>
  <c r="O41" i="65"/>
  <c r="P41" i="65"/>
  <c r="Q41" i="65"/>
  <c r="N42" i="65"/>
  <c r="O42" i="65"/>
  <c r="P42" i="65"/>
  <c r="Q42" i="65"/>
  <c r="N43" i="65"/>
  <c r="O43" i="65"/>
  <c r="P43" i="65"/>
  <c r="Q43" i="65"/>
  <c r="N44" i="65"/>
  <c r="O44" i="65"/>
  <c r="P44" i="65"/>
  <c r="Q44" i="65"/>
  <c r="N45" i="65"/>
  <c r="O45" i="65"/>
  <c r="P45" i="65"/>
  <c r="Q45" i="65"/>
  <c r="N46" i="65"/>
  <c r="O46" i="65"/>
  <c r="P46" i="65"/>
  <c r="Q46" i="65"/>
  <c r="N47" i="65"/>
  <c r="O47" i="65"/>
  <c r="P47" i="65"/>
  <c r="Q47" i="65"/>
  <c r="N48" i="65"/>
  <c r="O48" i="65"/>
  <c r="P48" i="65"/>
  <c r="Q48" i="65"/>
  <c r="N49" i="65"/>
  <c r="O49" i="65"/>
  <c r="P49" i="65"/>
  <c r="Q49" i="65"/>
  <c r="N50" i="65"/>
  <c r="O50" i="65"/>
  <c r="P50" i="65"/>
  <c r="Q50" i="65"/>
  <c r="N51" i="65"/>
  <c r="O51" i="65"/>
  <c r="P51" i="65"/>
  <c r="Q51" i="65"/>
  <c r="N52" i="65"/>
  <c r="O52" i="65"/>
  <c r="P52" i="65"/>
  <c r="Q52" i="65"/>
  <c r="N53" i="65"/>
  <c r="O53" i="65"/>
  <c r="P53" i="65"/>
  <c r="Q53" i="65"/>
  <c r="N54" i="65"/>
  <c r="O54" i="65"/>
  <c r="P54" i="65"/>
  <c r="Q54" i="65"/>
  <c r="N55" i="65"/>
  <c r="O55" i="65"/>
  <c r="P55" i="65"/>
  <c r="Q55" i="65"/>
  <c r="N56" i="65"/>
  <c r="O56" i="65"/>
  <c r="P56" i="65"/>
  <c r="Q56" i="65"/>
  <c r="N57" i="65"/>
  <c r="O57" i="65"/>
  <c r="P57" i="65"/>
  <c r="Q57" i="65"/>
  <c r="N58" i="65"/>
  <c r="O58" i="65"/>
  <c r="P58" i="65"/>
  <c r="Q58" i="65"/>
  <c r="N59" i="65"/>
  <c r="O59" i="65"/>
  <c r="P59" i="65"/>
  <c r="Q59" i="65"/>
  <c r="N60" i="65"/>
  <c r="O60" i="65"/>
  <c r="P60" i="65"/>
  <c r="Q60" i="65"/>
  <c r="N61" i="65"/>
  <c r="O61" i="65"/>
  <c r="P61" i="65"/>
  <c r="Q61" i="65"/>
  <c r="N62" i="65"/>
  <c r="O62" i="65"/>
  <c r="P62" i="65"/>
  <c r="Q62" i="65"/>
  <c r="N63" i="65"/>
  <c r="O63" i="65"/>
  <c r="P63" i="65"/>
  <c r="Q63" i="65"/>
  <c r="N64" i="65"/>
  <c r="O64" i="65"/>
  <c r="P64" i="65"/>
  <c r="Q64" i="65"/>
  <c r="N65" i="65"/>
  <c r="O65" i="65"/>
  <c r="P65" i="65"/>
  <c r="Q65" i="65"/>
  <c r="N66" i="65"/>
  <c r="O66" i="65"/>
  <c r="P66" i="65"/>
  <c r="Q66" i="65"/>
  <c r="N67" i="65"/>
  <c r="O67" i="65"/>
  <c r="P67" i="65"/>
  <c r="Q67" i="65"/>
  <c r="N68" i="65"/>
  <c r="O68" i="65"/>
  <c r="P68" i="65"/>
  <c r="Q68" i="65"/>
  <c r="N69" i="65"/>
  <c r="O69" i="65"/>
  <c r="P69" i="65"/>
  <c r="Q69" i="65"/>
  <c r="N70" i="65"/>
  <c r="O70" i="65"/>
  <c r="P70" i="65"/>
  <c r="Q70" i="65"/>
  <c r="N71" i="65"/>
  <c r="O71" i="65"/>
  <c r="P71" i="65"/>
  <c r="Q71" i="65"/>
  <c r="N72" i="65"/>
  <c r="O72" i="65"/>
  <c r="P72" i="65"/>
  <c r="Q72" i="65"/>
  <c r="N73" i="65"/>
  <c r="O73" i="65"/>
  <c r="P73" i="65"/>
  <c r="Q73" i="65"/>
  <c r="N74" i="65"/>
  <c r="O74" i="65"/>
  <c r="P74" i="65"/>
  <c r="Q74" i="65"/>
  <c r="N75" i="65"/>
  <c r="O75" i="65"/>
  <c r="P75" i="65"/>
  <c r="Q75" i="65"/>
  <c r="N76" i="65"/>
  <c r="O76" i="65"/>
  <c r="P76" i="65"/>
  <c r="Q76" i="65"/>
  <c r="N77" i="65"/>
  <c r="O77" i="65"/>
  <c r="P77" i="65"/>
  <c r="Q77" i="65"/>
  <c r="N78" i="65"/>
  <c r="O78" i="65"/>
  <c r="P78" i="65"/>
  <c r="Q78" i="65"/>
  <c r="N79" i="65"/>
  <c r="O79" i="65"/>
  <c r="P79" i="65"/>
  <c r="Q79" i="65"/>
  <c r="N80" i="65"/>
  <c r="O80" i="65"/>
  <c r="P80" i="65"/>
  <c r="Q80" i="65"/>
  <c r="N81" i="65"/>
  <c r="O81" i="65"/>
  <c r="P81" i="65"/>
  <c r="Q81" i="65"/>
  <c r="N82" i="65"/>
  <c r="O82" i="65"/>
  <c r="P82" i="65"/>
  <c r="Q82" i="65"/>
  <c r="N83" i="65"/>
  <c r="O83" i="65"/>
  <c r="P83" i="65"/>
  <c r="Q83" i="65"/>
  <c r="N84" i="65"/>
  <c r="O84" i="65"/>
  <c r="P84" i="65"/>
  <c r="Q84" i="65"/>
  <c r="N85" i="65"/>
  <c r="O85" i="65"/>
  <c r="P85" i="65"/>
  <c r="Q85" i="65"/>
  <c r="N86" i="65"/>
  <c r="O86" i="65"/>
  <c r="P86" i="65"/>
  <c r="Q86" i="65"/>
  <c r="N87" i="65"/>
  <c r="O87" i="65"/>
  <c r="P87" i="65"/>
  <c r="Q87" i="65"/>
  <c r="N88" i="65"/>
  <c r="O88" i="65"/>
  <c r="P88" i="65"/>
  <c r="Q88" i="65"/>
  <c r="N89" i="65"/>
  <c r="O89" i="65"/>
  <c r="P89" i="65"/>
  <c r="Q89" i="65"/>
  <c r="N90" i="65"/>
  <c r="O90" i="65"/>
  <c r="P90" i="65"/>
  <c r="Q90" i="65"/>
  <c r="N91" i="65"/>
  <c r="O91" i="65"/>
  <c r="P91" i="65"/>
  <c r="Q91" i="65"/>
  <c r="N92" i="65"/>
  <c r="O92" i="65"/>
  <c r="P92" i="65"/>
  <c r="Q92" i="65"/>
  <c r="N93" i="65"/>
  <c r="O93" i="65"/>
  <c r="P93" i="65"/>
  <c r="Q93" i="65"/>
  <c r="N94" i="65"/>
  <c r="O94" i="65"/>
  <c r="P94" i="65"/>
  <c r="Q94" i="65"/>
  <c r="N95" i="65"/>
  <c r="O95" i="65"/>
  <c r="P95" i="65"/>
  <c r="Q95" i="65"/>
  <c r="N96" i="65"/>
  <c r="O96" i="65"/>
  <c r="P96" i="65"/>
  <c r="Q96" i="65"/>
  <c r="N97" i="65"/>
  <c r="O97" i="65"/>
  <c r="P97" i="65"/>
  <c r="Q97" i="65"/>
  <c r="N98" i="65"/>
  <c r="O98" i="65"/>
  <c r="P98" i="65"/>
  <c r="Q98" i="65"/>
  <c r="N99" i="65"/>
  <c r="O99" i="65"/>
  <c r="P99" i="65"/>
  <c r="Q99" i="65"/>
  <c r="N100" i="65"/>
  <c r="O100" i="65"/>
  <c r="P100" i="65"/>
  <c r="Q100" i="65"/>
  <c r="N101" i="65"/>
  <c r="O101" i="65"/>
  <c r="P101" i="65"/>
  <c r="Q101" i="65"/>
  <c r="N102" i="65"/>
  <c r="O102" i="65"/>
  <c r="P102" i="65"/>
  <c r="Q102" i="65"/>
  <c r="N103" i="65"/>
  <c r="O103" i="65"/>
  <c r="P103" i="65"/>
  <c r="Q103" i="65"/>
  <c r="N104" i="65"/>
  <c r="O104" i="65"/>
  <c r="P104" i="65"/>
  <c r="Q104" i="65"/>
  <c r="N105" i="65"/>
  <c r="O105" i="65"/>
  <c r="P105" i="65"/>
  <c r="Q105" i="65"/>
  <c r="N106" i="65"/>
  <c r="O106" i="65"/>
  <c r="P106" i="65"/>
  <c r="Q106" i="65"/>
  <c r="N107" i="65"/>
  <c r="O107" i="65"/>
  <c r="P107" i="65"/>
  <c r="Q107" i="65"/>
  <c r="N108" i="65"/>
  <c r="O108" i="65"/>
  <c r="P108" i="65"/>
  <c r="Q108" i="65"/>
  <c r="N109" i="65"/>
  <c r="O109" i="65"/>
  <c r="P109" i="65"/>
  <c r="Q109" i="65"/>
  <c r="N110" i="65"/>
  <c r="O110" i="65"/>
  <c r="P110" i="65"/>
  <c r="Q110" i="65"/>
  <c r="N111" i="65"/>
  <c r="O111" i="65"/>
  <c r="P111" i="65"/>
  <c r="Q111" i="65"/>
  <c r="N112" i="65"/>
  <c r="O112" i="65"/>
  <c r="P112" i="65"/>
  <c r="Q112" i="65"/>
  <c r="N113" i="65"/>
  <c r="O113" i="65"/>
  <c r="P113" i="65"/>
  <c r="Q113" i="65"/>
  <c r="N114" i="65"/>
  <c r="O114" i="65"/>
  <c r="P114" i="65"/>
  <c r="Q114" i="65"/>
  <c r="N115" i="65"/>
  <c r="O115" i="65"/>
  <c r="P115" i="65"/>
  <c r="Q115" i="65"/>
  <c r="N116" i="65"/>
  <c r="O116" i="65"/>
  <c r="P116" i="65"/>
  <c r="Q116" i="65"/>
  <c r="N117" i="65"/>
  <c r="O117" i="65"/>
  <c r="P117" i="65"/>
  <c r="Q117" i="65"/>
  <c r="N118" i="65"/>
  <c r="AS116" i="67" s="1"/>
  <c r="O118" i="65"/>
  <c r="AT116" i="67" s="1"/>
  <c r="P118" i="65"/>
  <c r="AU116" i="67" s="1"/>
  <c r="Q118" i="65"/>
  <c r="AV116" i="67" s="1"/>
  <c r="N119" i="65"/>
  <c r="AS117" i="67" s="1"/>
  <c r="O119" i="65"/>
  <c r="AT117" i="67" s="1"/>
  <c r="P119" i="65"/>
  <c r="AU117" i="67" s="1"/>
  <c r="Q119" i="65"/>
  <c r="AV117" i="67" s="1"/>
  <c r="N120" i="65"/>
  <c r="AS118" i="67" s="1"/>
  <c r="O120" i="65"/>
  <c r="AT118" i="67" s="1"/>
  <c r="P120" i="65"/>
  <c r="AU118" i="67" s="1"/>
  <c r="Q120" i="65"/>
  <c r="AV118" i="67" s="1"/>
  <c r="N121" i="65"/>
  <c r="AS119" i="67" s="1"/>
  <c r="O121" i="65"/>
  <c r="AT119" i="67" s="1"/>
  <c r="P121" i="65"/>
  <c r="Q121" i="65"/>
  <c r="AV119" i="67" s="1"/>
  <c r="O122" i="65"/>
  <c r="AT120" i="67" s="1"/>
  <c r="P122" i="65"/>
  <c r="Q122" i="65"/>
  <c r="AV120" i="67" s="1"/>
  <c r="O123" i="65"/>
  <c r="AT121" i="67" s="1"/>
  <c r="P123" i="65"/>
  <c r="Q123" i="65"/>
  <c r="AV121" i="67" s="1"/>
  <c r="B110" i="38"/>
  <c r="C110" i="38"/>
  <c r="J110" i="38"/>
  <c r="B111" i="38"/>
  <c r="C111" i="38"/>
  <c r="J111" i="38"/>
  <c r="B112" i="38"/>
  <c r="C112" i="38"/>
  <c r="J112" i="38"/>
  <c r="B113" i="38"/>
  <c r="C113" i="38"/>
  <c r="J113" i="38"/>
  <c r="B114" i="38"/>
  <c r="C114" i="38"/>
  <c r="J114" i="38"/>
  <c r="B115" i="38"/>
  <c r="C115" i="38"/>
  <c r="J115" i="38"/>
  <c r="K110" i="32"/>
  <c r="K111" i="32"/>
  <c r="K112" i="32"/>
  <c r="K113" i="32"/>
  <c r="K114" i="32"/>
  <c r="K115" i="32"/>
  <c r="K110" i="30"/>
  <c r="K111" i="30"/>
  <c r="K112" i="30"/>
  <c r="K113" i="30"/>
  <c r="K114" i="30"/>
  <c r="K115" i="30"/>
  <c r="K2" i="30"/>
  <c r="K3" i="30"/>
  <c r="K4" i="30"/>
  <c r="K5" i="30"/>
  <c r="K6" i="30"/>
  <c r="K7" i="30"/>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J110" i="28"/>
  <c r="J111" i="28"/>
  <c r="J112" i="28"/>
  <c r="J113" i="28"/>
  <c r="J114" i="28"/>
  <c r="J115" i="28"/>
  <c r="S82" i="69"/>
  <c r="T82" i="69"/>
  <c r="U82" i="69"/>
  <c r="V82" i="69"/>
  <c r="W82" i="69"/>
  <c r="X82" i="69"/>
  <c r="Y82" i="69"/>
  <c r="Z82" i="69"/>
  <c r="Y81" i="69"/>
  <c r="AA82" i="69" s="1"/>
  <c r="Z81" i="69" l="1"/>
  <c r="AA81" i="69" s="1"/>
  <c r="AU119" i="67"/>
  <c r="AU121" i="67"/>
  <c r="AU120" i="67"/>
  <c r="N123" i="65"/>
  <c r="AS121" i="67" s="1"/>
  <c r="I119" i="69" l="1"/>
  <c r="I104" i="69" s="1"/>
  <c r="AE35" i="68"/>
  <c r="AE34" i="68"/>
  <c r="S4" i="68"/>
  <c r="Y4" i="68" s="1"/>
  <c r="T4" i="68"/>
  <c r="Z4" i="68" s="1"/>
  <c r="S5" i="68"/>
  <c r="T5" i="68"/>
  <c r="S6" i="68"/>
  <c r="T6" i="68"/>
  <c r="S7" i="68"/>
  <c r="T7" i="68"/>
  <c r="S8" i="68"/>
  <c r="T8" i="68"/>
  <c r="S9" i="68"/>
  <c r="T9" i="68"/>
  <c r="S10" i="68"/>
  <c r="T10" i="68"/>
  <c r="S11" i="68"/>
  <c r="T11" i="68"/>
  <c r="S12" i="68"/>
  <c r="T12" i="68"/>
  <c r="S13" i="68"/>
  <c r="T13" i="68"/>
  <c r="S14" i="68"/>
  <c r="T14" i="68"/>
  <c r="S15" i="68"/>
  <c r="T15" i="68"/>
  <c r="S16" i="68"/>
  <c r="T16" i="68"/>
  <c r="S17" i="68"/>
  <c r="T17" i="68"/>
  <c r="S18" i="68"/>
  <c r="T18" i="68"/>
  <c r="S19" i="68"/>
  <c r="T19" i="68"/>
  <c r="S20" i="68"/>
  <c r="T20" i="68"/>
  <c r="S21" i="68"/>
  <c r="T21" i="68"/>
  <c r="S22" i="68"/>
  <c r="T22" i="68"/>
  <c r="S23" i="68"/>
  <c r="T23" i="68"/>
  <c r="S24" i="68"/>
  <c r="T24" i="68"/>
  <c r="S25" i="68"/>
  <c r="T25" i="68"/>
  <c r="S26" i="68"/>
  <c r="T26" i="68"/>
  <c r="S27" i="68"/>
  <c r="T27" i="68"/>
  <c r="S28" i="68"/>
  <c r="T28" i="68"/>
  <c r="S29" i="68"/>
  <c r="T29" i="68"/>
  <c r="S30" i="68"/>
  <c r="T30" i="68"/>
  <c r="S31" i="68"/>
  <c r="T31" i="68"/>
  <c r="S32" i="68"/>
  <c r="T32" i="68"/>
  <c r="S33" i="68"/>
  <c r="T33" i="68"/>
  <c r="S34" i="68"/>
  <c r="T34" i="68"/>
  <c r="S35" i="68"/>
  <c r="T35" i="68"/>
  <c r="S36" i="68"/>
  <c r="T36" i="68"/>
  <c r="S37" i="68"/>
  <c r="T37" i="68"/>
  <c r="S38" i="68"/>
  <c r="T38" i="68"/>
  <c r="S39" i="68"/>
  <c r="T39" i="68"/>
  <c r="S40" i="68"/>
  <c r="T40" i="68"/>
  <c r="S41" i="68"/>
  <c r="T41" i="68"/>
  <c r="S42" i="68"/>
  <c r="T42" i="68"/>
  <c r="S43" i="68"/>
  <c r="T43" i="68"/>
  <c r="S44" i="68"/>
  <c r="T44" i="68"/>
  <c r="S45" i="68"/>
  <c r="T45" i="68"/>
  <c r="S46" i="68"/>
  <c r="T46" i="68"/>
  <c r="S47" i="68"/>
  <c r="T47" i="68"/>
  <c r="S48" i="68"/>
  <c r="T48" i="68"/>
  <c r="S49" i="68"/>
  <c r="T49" i="68"/>
  <c r="S50" i="68"/>
  <c r="T50" i="68"/>
  <c r="S51" i="68"/>
  <c r="T51" i="68"/>
  <c r="S52" i="68"/>
  <c r="T52" i="68"/>
  <c r="S53" i="68"/>
  <c r="T53" i="68"/>
  <c r="S54" i="68"/>
  <c r="T54" i="68"/>
  <c r="S55" i="68"/>
  <c r="T55" i="68"/>
  <c r="S56" i="68"/>
  <c r="T56" i="68"/>
  <c r="S57" i="68"/>
  <c r="T57" i="68"/>
  <c r="S58" i="68"/>
  <c r="T58" i="68"/>
  <c r="S59" i="68"/>
  <c r="T59" i="68"/>
  <c r="S60" i="68"/>
  <c r="T60" i="68"/>
  <c r="S61" i="68"/>
  <c r="T61" i="68"/>
  <c r="S62" i="68"/>
  <c r="T62" i="68"/>
  <c r="S63" i="68"/>
  <c r="T63" i="68"/>
  <c r="S64" i="68"/>
  <c r="T64" i="68"/>
  <c r="S65" i="68"/>
  <c r="T65" i="68"/>
  <c r="S66" i="68"/>
  <c r="T66" i="68"/>
  <c r="S67" i="68"/>
  <c r="T67" i="68"/>
  <c r="S68" i="68"/>
  <c r="T68" i="68"/>
  <c r="S69" i="68"/>
  <c r="T69" i="68"/>
  <c r="S70" i="68"/>
  <c r="T70" i="68"/>
  <c r="S71" i="68"/>
  <c r="T71" i="68"/>
  <c r="S72" i="68"/>
  <c r="T72" i="68"/>
  <c r="S73" i="68"/>
  <c r="T73" i="68"/>
  <c r="S74" i="68"/>
  <c r="T74" i="68"/>
  <c r="S75" i="68"/>
  <c r="T75" i="68"/>
  <c r="S76" i="68"/>
  <c r="T76" i="68"/>
  <c r="S77" i="68"/>
  <c r="T77" i="68"/>
  <c r="S78" i="68"/>
  <c r="T78" i="68"/>
  <c r="S79" i="68"/>
  <c r="T79" i="68"/>
  <c r="S80" i="68"/>
  <c r="T80" i="68"/>
  <c r="S81" i="68"/>
  <c r="T81" i="68"/>
  <c r="S82" i="68"/>
  <c r="T82" i="68"/>
  <c r="S83" i="68"/>
  <c r="T83" i="68"/>
  <c r="S84" i="68"/>
  <c r="T84" i="68"/>
  <c r="S85" i="68"/>
  <c r="T85" i="68"/>
  <c r="S86" i="68"/>
  <c r="T86" i="68"/>
  <c r="S87" i="68"/>
  <c r="T87" i="68"/>
  <c r="S88" i="68"/>
  <c r="T88" i="68"/>
  <c r="S89" i="68"/>
  <c r="T89" i="68"/>
  <c r="S90" i="68"/>
  <c r="T90" i="68"/>
  <c r="S91" i="68"/>
  <c r="T91" i="68"/>
  <c r="S92" i="68"/>
  <c r="T92" i="68"/>
  <c r="S93" i="68"/>
  <c r="T93" i="68"/>
  <c r="R4" i="68"/>
  <c r="X4" i="68" s="1"/>
  <c r="R5" i="68"/>
  <c r="R6"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P4" i="68"/>
  <c r="V4" i="68" s="1"/>
  <c r="Q4" i="68"/>
  <c r="W4" i="68" s="1"/>
  <c r="P5" i="68"/>
  <c r="Q5" i="68"/>
  <c r="P6" i="68"/>
  <c r="Q6" i="68"/>
  <c r="P7" i="68"/>
  <c r="Q7" i="68"/>
  <c r="P8" i="68"/>
  <c r="Q8" i="68"/>
  <c r="P9" i="68"/>
  <c r="Q9" i="68"/>
  <c r="P10" i="68"/>
  <c r="Q10" i="68"/>
  <c r="P11" i="68"/>
  <c r="Q11" i="68"/>
  <c r="P12" i="68"/>
  <c r="Q12" i="68"/>
  <c r="P13" i="68"/>
  <c r="Q13" i="68"/>
  <c r="P14" i="68"/>
  <c r="Q14" i="68"/>
  <c r="P15" i="68"/>
  <c r="Q15" i="68"/>
  <c r="P16" i="68"/>
  <c r="Q16" i="68"/>
  <c r="P17" i="68"/>
  <c r="Q17" i="68"/>
  <c r="P18" i="68"/>
  <c r="Q18" i="68"/>
  <c r="P19" i="68"/>
  <c r="Q19" i="68"/>
  <c r="P20" i="68"/>
  <c r="Q20" i="68"/>
  <c r="P21" i="68"/>
  <c r="Q21" i="68"/>
  <c r="P22" i="68"/>
  <c r="Q22" i="68"/>
  <c r="P23" i="68"/>
  <c r="Q23" i="68"/>
  <c r="P24" i="68"/>
  <c r="Q24" i="68"/>
  <c r="P25" i="68"/>
  <c r="Q25" i="68"/>
  <c r="P26" i="68"/>
  <c r="Q26" i="68"/>
  <c r="P27" i="68"/>
  <c r="Q27" i="68"/>
  <c r="P28" i="68"/>
  <c r="Q28" i="68"/>
  <c r="P29" i="68"/>
  <c r="Q29" i="68"/>
  <c r="P30" i="68"/>
  <c r="Q30" i="68"/>
  <c r="P31" i="68"/>
  <c r="Q31" i="68"/>
  <c r="P32" i="68"/>
  <c r="Q32" i="68"/>
  <c r="P33" i="68"/>
  <c r="Q33" i="68"/>
  <c r="P34" i="68"/>
  <c r="Q34" i="68"/>
  <c r="P35" i="68"/>
  <c r="Q35" i="68"/>
  <c r="P36" i="68"/>
  <c r="Q36" i="68"/>
  <c r="P37" i="68"/>
  <c r="Q37" i="68"/>
  <c r="P38" i="68"/>
  <c r="Q38" i="68"/>
  <c r="P39" i="68"/>
  <c r="Q39" i="68"/>
  <c r="P40" i="68"/>
  <c r="Q40" i="68"/>
  <c r="P41" i="68"/>
  <c r="Q41" i="68"/>
  <c r="P42" i="68"/>
  <c r="Q42" i="68"/>
  <c r="P43" i="68"/>
  <c r="Q43" i="68"/>
  <c r="P44" i="68"/>
  <c r="Q44" i="68"/>
  <c r="P45" i="68"/>
  <c r="Q45" i="68"/>
  <c r="P46" i="68"/>
  <c r="Q46" i="68"/>
  <c r="P47" i="68"/>
  <c r="Q47" i="68"/>
  <c r="P48" i="68"/>
  <c r="Q48" i="68"/>
  <c r="P49" i="68"/>
  <c r="Q49" i="68"/>
  <c r="P50" i="68"/>
  <c r="Q50" i="68"/>
  <c r="P51" i="68"/>
  <c r="Q51" i="68"/>
  <c r="P52" i="68"/>
  <c r="Q52" i="68"/>
  <c r="P53" i="68"/>
  <c r="Q53" i="68"/>
  <c r="P54" i="68"/>
  <c r="Q54" i="68"/>
  <c r="P55" i="68"/>
  <c r="Q55" i="68"/>
  <c r="P56" i="68"/>
  <c r="Q56" i="68"/>
  <c r="P57" i="68"/>
  <c r="Q57" i="68"/>
  <c r="P58" i="68"/>
  <c r="Q58" i="68"/>
  <c r="P59" i="68"/>
  <c r="Q59" i="68"/>
  <c r="P60" i="68"/>
  <c r="Q60" i="68"/>
  <c r="P61" i="68"/>
  <c r="Q61" i="68"/>
  <c r="P62" i="68"/>
  <c r="Q62" i="68"/>
  <c r="P63" i="68"/>
  <c r="Q63" i="68"/>
  <c r="P64" i="68"/>
  <c r="Q64" i="68"/>
  <c r="P65" i="68"/>
  <c r="Q65" i="68"/>
  <c r="P66" i="68"/>
  <c r="Q66" i="68"/>
  <c r="P67" i="68"/>
  <c r="Q67" i="68"/>
  <c r="P68" i="68"/>
  <c r="Q68" i="68"/>
  <c r="P69" i="68"/>
  <c r="Q69" i="68"/>
  <c r="P70" i="68"/>
  <c r="Q70" i="68"/>
  <c r="P71" i="68"/>
  <c r="Q71" i="68"/>
  <c r="P72" i="68"/>
  <c r="Q72" i="68"/>
  <c r="P73" i="68"/>
  <c r="Q73" i="68"/>
  <c r="P74" i="68"/>
  <c r="Q74" i="68"/>
  <c r="P75" i="68"/>
  <c r="Q75" i="68"/>
  <c r="P76" i="68"/>
  <c r="Q76" i="68"/>
  <c r="P77" i="68"/>
  <c r="Q77" i="68"/>
  <c r="P78" i="68"/>
  <c r="Q78" i="68"/>
  <c r="P79" i="68"/>
  <c r="Q79" i="68"/>
  <c r="P80" i="68"/>
  <c r="Q80" i="68"/>
  <c r="P81" i="68"/>
  <c r="Q81" i="68"/>
  <c r="P82" i="68"/>
  <c r="Q82" i="68"/>
  <c r="P83" i="68"/>
  <c r="Q83" i="68"/>
  <c r="P84" i="68"/>
  <c r="Q84" i="68"/>
  <c r="P85" i="68"/>
  <c r="Q85" i="68"/>
  <c r="P86" i="68"/>
  <c r="Q86" i="68"/>
  <c r="P87" i="68"/>
  <c r="Q87" i="68"/>
  <c r="P88" i="68"/>
  <c r="Q88" i="68"/>
  <c r="P89" i="68"/>
  <c r="Q89" i="68"/>
  <c r="P90" i="68"/>
  <c r="Q90" i="68"/>
  <c r="P91" i="68"/>
  <c r="Q91" i="68"/>
  <c r="P92" i="68"/>
  <c r="Q92" i="68"/>
  <c r="P93" i="68"/>
  <c r="Q93" i="68"/>
  <c r="O5" i="68"/>
  <c r="O6" i="68"/>
  <c r="O7" i="68"/>
  <c r="O8" i="68"/>
  <c r="O9" i="68"/>
  <c r="O10" i="68"/>
  <c r="O11" i="68"/>
  <c r="O12" i="68"/>
  <c r="O13" i="68"/>
  <c r="O14" i="68"/>
  <c r="O15" i="68"/>
  <c r="O16" i="68"/>
  <c r="O17" i="68"/>
  <c r="O18" i="68"/>
  <c r="O19" i="68"/>
  <c r="O20" i="68"/>
  <c r="O21" i="68"/>
  <c r="O22" i="68"/>
  <c r="O23" i="68"/>
  <c r="O24" i="68"/>
  <c r="O25" i="68"/>
  <c r="O26" i="68"/>
  <c r="O27" i="68"/>
  <c r="O28" i="68"/>
  <c r="O29" i="68"/>
  <c r="O30" i="68"/>
  <c r="O31" i="68"/>
  <c r="O32" i="68"/>
  <c r="O33" i="68"/>
  <c r="O34" i="68"/>
  <c r="O35" i="68"/>
  <c r="O36" i="68"/>
  <c r="O37" i="68"/>
  <c r="O38" i="68"/>
  <c r="O39" i="68"/>
  <c r="O40" i="68"/>
  <c r="O41" i="68"/>
  <c r="O42" i="68"/>
  <c r="O43" i="68"/>
  <c r="O44" i="68"/>
  <c r="O45" i="68"/>
  <c r="O46" i="68"/>
  <c r="O47" i="68"/>
  <c r="O48" i="68"/>
  <c r="O49" i="68"/>
  <c r="O50" i="68"/>
  <c r="O51" i="68"/>
  <c r="O52" i="68"/>
  <c r="O53" i="68"/>
  <c r="O54" i="68"/>
  <c r="O55" i="68"/>
  <c r="O56" i="68"/>
  <c r="O57" i="68"/>
  <c r="O58" i="68"/>
  <c r="O59" i="68"/>
  <c r="O60" i="68"/>
  <c r="O61" i="68"/>
  <c r="O62" i="68"/>
  <c r="O63" i="68"/>
  <c r="O64" i="68"/>
  <c r="O65" i="68"/>
  <c r="O66" i="68"/>
  <c r="O67" i="68"/>
  <c r="O68" i="68"/>
  <c r="O69" i="68"/>
  <c r="O70" i="68"/>
  <c r="O71" i="68"/>
  <c r="O72" i="68"/>
  <c r="O73" i="68"/>
  <c r="O74" i="68"/>
  <c r="O75" i="68"/>
  <c r="O76" i="68"/>
  <c r="O77" i="68"/>
  <c r="O78" i="68"/>
  <c r="O79" i="68"/>
  <c r="O80" i="68"/>
  <c r="O81" i="68"/>
  <c r="O82" i="68"/>
  <c r="O83" i="68"/>
  <c r="O84" i="68"/>
  <c r="O85" i="68"/>
  <c r="O86" i="68"/>
  <c r="O87" i="68"/>
  <c r="O88" i="68"/>
  <c r="O89" i="68"/>
  <c r="O90" i="68"/>
  <c r="O91" i="68"/>
  <c r="O92" i="68"/>
  <c r="O93" i="68"/>
  <c r="O4" i="68"/>
  <c r="U4" i="68" s="1"/>
  <c r="Z5" i="68" l="1"/>
  <c r="Z6" i="68" s="1"/>
  <c r="Z7" i="68" s="1"/>
  <c r="Z8" i="68" s="1"/>
  <c r="Z9" i="68" s="1"/>
  <c r="Z10" i="68" s="1"/>
  <c r="Z11" i="68" s="1"/>
  <c r="Z12" i="68" s="1"/>
  <c r="Z13" i="68" s="1"/>
  <c r="Z14" i="68" s="1"/>
  <c r="Z15" i="68" s="1"/>
  <c r="Z16" i="68" s="1"/>
  <c r="Z17" i="68" s="1"/>
  <c r="Z18" i="68" s="1"/>
  <c r="Z19" i="68" s="1"/>
  <c r="Z20" i="68" s="1"/>
  <c r="Z21" i="68" s="1"/>
  <c r="Z22" i="68" s="1"/>
  <c r="Z23" i="68" s="1"/>
  <c r="Z24" i="68" s="1"/>
  <c r="Z25" i="68" s="1"/>
  <c r="Z26" i="68" s="1"/>
  <c r="Z27" i="68" s="1"/>
  <c r="Z28" i="68" s="1"/>
  <c r="Z29" i="68" s="1"/>
  <c r="Z30" i="68" s="1"/>
  <c r="Z31" i="68" s="1"/>
  <c r="Z32" i="68" s="1"/>
  <c r="Z33" i="68" s="1"/>
  <c r="Z34" i="68" s="1"/>
  <c r="Z35" i="68" s="1"/>
  <c r="Z36" i="68" s="1"/>
  <c r="Z37" i="68" s="1"/>
  <c r="Z38" i="68" s="1"/>
  <c r="Z39" i="68" s="1"/>
  <c r="Z40" i="68" s="1"/>
  <c r="Z41" i="68" s="1"/>
  <c r="Z42" i="68" s="1"/>
  <c r="Z43" i="68" s="1"/>
  <c r="Z44" i="68" s="1"/>
  <c r="Z45" i="68" s="1"/>
  <c r="Z46" i="68" s="1"/>
  <c r="Z47" i="68" s="1"/>
  <c r="Z48" i="68" s="1"/>
  <c r="Z49" i="68" s="1"/>
  <c r="Z50" i="68" s="1"/>
  <c r="Z51" i="68" s="1"/>
  <c r="Z52" i="68" s="1"/>
  <c r="Z53" i="68" s="1"/>
  <c r="Z54" i="68" s="1"/>
  <c r="Z55" i="68" s="1"/>
  <c r="Z56" i="68" s="1"/>
  <c r="Z57" i="68" s="1"/>
  <c r="Z58" i="68" s="1"/>
  <c r="Z59" i="68" s="1"/>
  <c r="Z60" i="68" s="1"/>
  <c r="Z61" i="68" s="1"/>
  <c r="Z62" i="68" s="1"/>
  <c r="Z63" i="68" s="1"/>
  <c r="Z64" i="68" s="1"/>
  <c r="Z65" i="68" s="1"/>
  <c r="Z66" i="68" s="1"/>
  <c r="Z67" i="68" s="1"/>
  <c r="Z68" i="68" s="1"/>
  <c r="Z69" i="68" s="1"/>
  <c r="Z70" i="68" s="1"/>
  <c r="Z71" i="68" s="1"/>
  <c r="Z72" i="68" s="1"/>
  <c r="Z73" i="68" s="1"/>
  <c r="Z74" i="68" s="1"/>
  <c r="Z75" i="68" s="1"/>
  <c r="Z76" i="68" s="1"/>
  <c r="Z77" i="68" s="1"/>
  <c r="Z78" i="68" s="1"/>
  <c r="Z79" i="68" s="1"/>
  <c r="Z80" i="68" s="1"/>
  <c r="Z81" i="68" s="1"/>
  <c r="Z82" i="68" s="1"/>
  <c r="Z83" i="68" s="1"/>
  <c r="Z84" i="68" s="1"/>
  <c r="Z85" i="68" s="1"/>
  <c r="Z86" i="68" s="1"/>
  <c r="Z87" i="68" s="1"/>
  <c r="Z88" i="68" s="1"/>
  <c r="Z89" i="68" s="1"/>
  <c r="Z90" i="68" s="1"/>
  <c r="Z91" i="68" s="1"/>
  <c r="Z92" i="68" s="1"/>
  <c r="Z93" i="68" s="1"/>
  <c r="Z94" i="68" s="1"/>
  <c r="Z95" i="68" s="1"/>
  <c r="Z96" i="68" s="1"/>
  <c r="Z97" i="68" s="1"/>
  <c r="Z98" i="68" s="1"/>
  <c r="Z99" i="68" s="1"/>
  <c r="U5" i="68"/>
  <c r="U6" i="68" s="1"/>
  <c r="U7" i="68" s="1"/>
  <c r="U8" i="68" s="1"/>
  <c r="U9" i="68" s="1"/>
  <c r="U10" i="68" s="1"/>
  <c r="U11" i="68" s="1"/>
  <c r="U12" i="68" s="1"/>
  <c r="U13" i="68" s="1"/>
  <c r="U14" i="68" s="1"/>
  <c r="U15" i="68" s="1"/>
  <c r="U16" i="68" s="1"/>
  <c r="U17" i="68" s="1"/>
  <c r="U18" i="68" s="1"/>
  <c r="U19" i="68" s="1"/>
  <c r="U20" i="68" s="1"/>
  <c r="U21" i="68" s="1"/>
  <c r="U22" i="68" s="1"/>
  <c r="U23" i="68" s="1"/>
  <c r="U24" i="68" s="1"/>
  <c r="U25" i="68" s="1"/>
  <c r="U26" i="68" s="1"/>
  <c r="U27" i="68" s="1"/>
  <c r="U28" i="68" s="1"/>
  <c r="U29" i="68" s="1"/>
  <c r="U30" i="68" s="1"/>
  <c r="U31" i="68" s="1"/>
  <c r="U32" i="68" s="1"/>
  <c r="U33" i="68" s="1"/>
  <c r="U34" i="68" s="1"/>
  <c r="U35" i="68" s="1"/>
  <c r="U36" i="68" s="1"/>
  <c r="U37" i="68" s="1"/>
  <c r="U38" i="68" s="1"/>
  <c r="U39" i="68" s="1"/>
  <c r="U40" i="68" s="1"/>
  <c r="U41" i="68" s="1"/>
  <c r="U42" i="68" s="1"/>
  <c r="U43" i="68" s="1"/>
  <c r="U44" i="68" s="1"/>
  <c r="U45" i="68" s="1"/>
  <c r="U46" i="68" s="1"/>
  <c r="U47" i="68" s="1"/>
  <c r="U48" i="68" s="1"/>
  <c r="U49" i="68" s="1"/>
  <c r="U50" i="68" s="1"/>
  <c r="U51" i="68" s="1"/>
  <c r="U52" i="68" s="1"/>
  <c r="U53" i="68" s="1"/>
  <c r="U54" i="68" s="1"/>
  <c r="U55" i="68" s="1"/>
  <c r="U56" i="68" s="1"/>
  <c r="U57" i="68" s="1"/>
  <c r="U58" i="68" s="1"/>
  <c r="U59" i="68" s="1"/>
  <c r="U60" i="68" s="1"/>
  <c r="U61" i="68" s="1"/>
  <c r="U62" i="68" s="1"/>
  <c r="U63" i="68" s="1"/>
  <c r="U64" i="68" s="1"/>
  <c r="U65" i="68" s="1"/>
  <c r="U66" i="68" s="1"/>
  <c r="U67" i="68" s="1"/>
  <c r="U68" i="68" s="1"/>
  <c r="U69" i="68" s="1"/>
  <c r="U70" i="68" s="1"/>
  <c r="U71" i="68" s="1"/>
  <c r="U72" i="68" s="1"/>
  <c r="U73" i="68" s="1"/>
  <c r="U74" i="68" s="1"/>
  <c r="U75" i="68" s="1"/>
  <c r="U76" i="68" s="1"/>
  <c r="U77" i="68" s="1"/>
  <c r="U78" i="68" s="1"/>
  <c r="U79" i="68" s="1"/>
  <c r="U80" i="68" s="1"/>
  <c r="U81" i="68" s="1"/>
  <c r="U82" i="68" s="1"/>
  <c r="U83" i="68" s="1"/>
  <c r="U84" i="68" s="1"/>
  <c r="U85" i="68" s="1"/>
  <c r="U86" i="68" s="1"/>
  <c r="U87" i="68" s="1"/>
  <c r="U88" i="68" s="1"/>
  <c r="U89" i="68" s="1"/>
  <c r="U90" i="68" s="1"/>
  <c r="U91" i="68" s="1"/>
  <c r="U92" i="68" s="1"/>
  <c r="U93" i="68" s="1"/>
  <c r="U94" i="68" s="1"/>
  <c r="U95" i="68" s="1"/>
  <c r="U96" i="68" s="1"/>
  <c r="U97" i="68" s="1"/>
  <c r="U98" i="68" s="1"/>
  <c r="U99" i="68" s="1"/>
  <c r="X5" i="68"/>
  <c r="X6" i="68" s="1"/>
  <c r="X7" i="68" s="1"/>
  <c r="X8" i="68" s="1"/>
  <c r="X9" i="68" s="1"/>
  <c r="X10" i="68" s="1"/>
  <c r="X11" i="68" s="1"/>
  <c r="X12" i="68" s="1"/>
  <c r="X13" i="68" s="1"/>
  <c r="X14" i="68" s="1"/>
  <c r="X15" i="68" s="1"/>
  <c r="X16" i="68" s="1"/>
  <c r="X17" i="68" s="1"/>
  <c r="X18" i="68" s="1"/>
  <c r="X19" i="68" s="1"/>
  <c r="X20" i="68" s="1"/>
  <c r="X21" i="68" s="1"/>
  <c r="X22" i="68" s="1"/>
  <c r="X23" i="68" s="1"/>
  <c r="X24" i="68" s="1"/>
  <c r="X25" i="68" s="1"/>
  <c r="X26" i="68" s="1"/>
  <c r="X27" i="68" s="1"/>
  <c r="X28" i="68" s="1"/>
  <c r="X29" i="68" s="1"/>
  <c r="X30" i="68" s="1"/>
  <c r="X31" i="68" s="1"/>
  <c r="X32" i="68" s="1"/>
  <c r="X33" i="68" s="1"/>
  <c r="X34" i="68" s="1"/>
  <c r="X35" i="68" s="1"/>
  <c r="X36" i="68" s="1"/>
  <c r="X37" i="68" s="1"/>
  <c r="X38" i="68" s="1"/>
  <c r="X39" i="68" s="1"/>
  <c r="X40" i="68" s="1"/>
  <c r="X41" i="68" s="1"/>
  <c r="X42" i="68" s="1"/>
  <c r="X43" i="68" s="1"/>
  <c r="X44" i="68" s="1"/>
  <c r="X45" i="68" s="1"/>
  <c r="X46" i="68" s="1"/>
  <c r="X47" i="68" s="1"/>
  <c r="X48" i="68" s="1"/>
  <c r="X49" i="68" s="1"/>
  <c r="X50" i="68" s="1"/>
  <c r="X51" i="68" s="1"/>
  <c r="X52" i="68" s="1"/>
  <c r="X53" i="68" s="1"/>
  <c r="X54" i="68" s="1"/>
  <c r="X55" i="68" s="1"/>
  <c r="X56" i="68" s="1"/>
  <c r="X57" i="68" s="1"/>
  <c r="X58" i="68" s="1"/>
  <c r="X59" i="68" s="1"/>
  <c r="X60" i="68" s="1"/>
  <c r="X61" i="68" s="1"/>
  <c r="X62" i="68" s="1"/>
  <c r="X63" i="68" s="1"/>
  <c r="X64" i="68" s="1"/>
  <c r="X65" i="68" s="1"/>
  <c r="X66" i="68" s="1"/>
  <c r="X67" i="68" s="1"/>
  <c r="X68" i="68" s="1"/>
  <c r="X69" i="68" s="1"/>
  <c r="X70" i="68" s="1"/>
  <c r="X71" i="68" s="1"/>
  <c r="X72" i="68" s="1"/>
  <c r="X73" i="68" s="1"/>
  <c r="X74" i="68" s="1"/>
  <c r="X75" i="68" s="1"/>
  <c r="X76" i="68" s="1"/>
  <c r="X77" i="68" s="1"/>
  <c r="X78" i="68" s="1"/>
  <c r="X79" i="68" s="1"/>
  <c r="X80" i="68" s="1"/>
  <c r="X81" i="68" s="1"/>
  <c r="X82" i="68" s="1"/>
  <c r="X83" i="68" s="1"/>
  <c r="X84" i="68" s="1"/>
  <c r="X85" i="68" s="1"/>
  <c r="X86" i="68" s="1"/>
  <c r="X87" i="68" s="1"/>
  <c r="X88" i="68" s="1"/>
  <c r="X89" i="68" s="1"/>
  <c r="X90" i="68" s="1"/>
  <c r="X91" i="68" s="1"/>
  <c r="X92" i="68" s="1"/>
  <c r="X93" i="68" s="1"/>
  <c r="X94" i="68" s="1"/>
  <c r="X95" i="68" s="1"/>
  <c r="X96" i="68" s="1"/>
  <c r="X97" i="68" s="1"/>
  <c r="X98" i="68" s="1"/>
  <c r="X99" i="68" s="1"/>
  <c r="Y5" i="68"/>
  <c r="Y6" i="68" s="1"/>
  <c r="Y7" i="68" s="1"/>
  <c r="Y8" i="68" s="1"/>
  <c r="Y9" i="68" s="1"/>
  <c r="Y10" i="68" s="1"/>
  <c r="Y11" i="68" s="1"/>
  <c r="Y12" i="68" s="1"/>
  <c r="Y13" i="68" s="1"/>
  <c r="Y14" i="68" s="1"/>
  <c r="Y15" i="68" s="1"/>
  <c r="Y16" i="68" s="1"/>
  <c r="Y17" i="68" s="1"/>
  <c r="Y18" i="68" s="1"/>
  <c r="Y19" i="68" s="1"/>
  <c r="Y20" i="68" s="1"/>
  <c r="Y21" i="68" s="1"/>
  <c r="Y22" i="68" s="1"/>
  <c r="Y23" i="68" s="1"/>
  <c r="Y24" i="68" s="1"/>
  <c r="Y25" i="68" s="1"/>
  <c r="Y26" i="68" s="1"/>
  <c r="Y27" i="68" s="1"/>
  <c r="Y28" i="68" s="1"/>
  <c r="Y29" i="68" s="1"/>
  <c r="Y30" i="68" s="1"/>
  <c r="Y31" i="68" s="1"/>
  <c r="Y32" i="68" s="1"/>
  <c r="Y33" i="68" s="1"/>
  <c r="Y34" i="68" s="1"/>
  <c r="Y35" i="68" s="1"/>
  <c r="Y36" i="68" s="1"/>
  <c r="Y37" i="68" s="1"/>
  <c r="Y38" i="68" s="1"/>
  <c r="Y39" i="68" s="1"/>
  <c r="Y40" i="68" s="1"/>
  <c r="Y41" i="68" s="1"/>
  <c r="Y42" i="68" s="1"/>
  <c r="Y43" i="68" s="1"/>
  <c r="Y44" i="68" s="1"/>
  <c r="Y45" i="68" s="1"/>
  <c r="Y46" i="68" s="1"/>
  <c r="Y47" i="68" s="1"/>
  <c r="Y48" i="68" s="1"/>
  <c r="Y49" i="68" s="1"/>
  <c r="Y50" i="68" s="1"/>
  <c r="Y51" i="68" s="1"/>
  <c r="Y52" i="68" s="1"/>
  <c r="Y53" i="68" s="1"/>
  <c r="Y54" i="68" s="1"/>
  <c r="Y55" i="68" s="1"/>
  <c r="Y56" i="68" s="1"/>
  <c r="Y57" i="68" s="1"/>
  <c r="Y58" i="68" s="1"/>
  <c r="Y59" i="68" s="1"/>
  <c r="Y60" i="68" s="1"/>
  <c r="Y61" i="68" s="1"/>
  <c r="Y62" i="68" s="1"/>
  <c r="Y63" i="68" s="1"/>
  <c r="Y64" i="68" s="1"/>
  <c r="Y65" i="68" s="1"/>
  <c r="Y66" i="68" s="1"/>
  <c r="Y67" i="68" s="1"/>
  <c r="Y68" i="68" s="1"/>
  <c r="Y69" i="68" s="1"/>
  <c r="Y70" i="68" s="1"/>
  <c r="Y71" i="68" s="1"/>
  <c r="Y72" i="68" s="1"/>
  <c r="Y73" i="68" s="1"/>
  <c r="Y74" i="68" s="1"/>
  <c r="Y75" i="68" s="1"/>
  <c r="Y76" i="68" s="1"/>
  <c r="Y77" i="68" s="1"/>
  <c r="Y78" i="68" s="1"/>
  <c r="Y79" i="68" s="1"/>
  <c r="Y80" i="68" s="1"/>
  <c r="Y81" i="68" s="1"/>
  <c r="Y82" i="68" s="1"/>
  <c r="Y83" i="68" s="1"/>
  <c r="Y84" i="68" s="1"/>
  <c r="Y85" i="68" s="1"/>
  <c r="Y86" i="68" s="1"/>
  <c r="Y87" i="68" s="1"/>
  <c r="Y88" i="68" s="1"/>
  <c r="Y89" i="68" s="1"/>
  <c r="Y90" i="68" s="1"/>
  <c r="Y91" i="68" s="1"/>
  <c r="Y92" i="68" s="1"/>
  <c r="Y93" i="68" s="1"/>
  <c r="Y94" i="68" s="1"/>
  <c r="Y95" i="68" s="1"/>
  <c r="Y96" i="68" s="1"/>
  <c r="Y97" i="68" s="1"/>
  <c r="Y98" i="68" s="1"/>
  <c r="Y99" i="68" s="1"/>
  <c r="W5" i="68"/>
  <c r="W6" i="68" s="1"/>
  <c r="W7" i="68" s="1"/>
  <c r="W8" i="68" s="1"/>
  <c r="W9" i="68" s="1"/>
  <c r="W10" i="68" s="1"/>
  <c r="W11" i="68" s="1"/>
  <c r="W12" i="68" s="1"/>
  <c r="W13" i="68" s="1"/>
  <c r="W14" i="68" s="1"/>
  <c r="W15" i="68" s="1"/>
  <c r="W16" i="68" s="1"/>
  <c r="W17" i="68" s="1"/>
  <c r="W18" i="68" s="1"/>
  <c r="W19" i="68" s="1"/>
  <c r="W20" i="68" s="1"/>
  <c r="W21" i="68" s="1"/>
  <c r="W22" i="68" s="1"/>
  <c r="W23" i="68" s="1"/>
  <c r="W24" i="68" s="1"/>
  <c r="W25" i="68" s="1"/>
  <c r="W26" i="68" s="1"/>
  <c r="W27" i="68" s="1"/>
  <c r="W28" i="68" s="1"/>
  <c r="W29" i="68" s="1"/>
  <c r="W30" i="68" s="1"/>
  <c r="W31" i="68" s="1"/>
  <c r="W32" i="68" s="1"/>
  <c r="W33" i="68" s="1"/>
  <c r="W34" i="68" s="1"/>
  <c r="W35" i="68" s="1"/>
  <c r="W36" i="68" s="1"/>
  <c r="W37" i="68" s="1"/>
  <c r="W38" i="68" s="1"/>
  <c r="W39" i="68" s="1"/>
  <c r="W40" i="68" s="1"/>
  <c r="W41" i="68" s="1"/>
  <c r="W42" i="68" s="1"/>
  <c r="W43" i="68" s="1"/>
  <c r="W44" i="68" s="1"/>
  <c r="W45" i="68" s="1"/>
  <c r="W46" i="68" s="1"/>
  <c r="W47" i="68" s="1"/>
  <c r="W48" i="68" s="1"/>
  <c r="W49" i="68" s="1"/>
  <c r="W50" i="68" s="1"/>
  <c r="W51" i="68" s="1"/>
  <c r="W52" i="68" s="1"/>
  <c r="W53" i="68" s="1"/>
  <c r="W54" i="68" s="1"/>
  <c r="W55" i="68" s="1"/>
  <c r="W56" i="68" s="1"/>
  <c r="W57" i="68" s="1"/>
  <c r="W58" i="68" s="1"/>
  <c r="W59" i="68" s="1"/>
  <c r="W60" i="68" s="1"/>
  <c r="W61" i="68" s="1"/>
  <c r="W62" i="68" s="1"/>
  <c r="W63" i="68" s="1"/>
  <c r="W64" i="68" s="1"/>
  <c r="W65" i="68" s="1"/>
  <c r="W66" i="68" s="1"/>
  <c r="W67" i="68" s="1"/>
  <c r="W68" i="68" s="1"/>
  <c r="W69" i="68" s="1"/>
  <c r="W70" i="68" s="1"/>
  <c r="W71" i="68" s="1"/>
  <c r="W72" i="68" s="1"/>
  <c r="W73" i="68" s="1"/>
  <c r="W74" i="68" s="1"/>
  <c r="W75" i="68" s="1"/>
  <c r="W76" i="68" s="1"/>
  <c r="W77" i="68" s="1"/>
  <c r="W78" i="68" s="1"/>
  <c r="W79" i="68" s="1"/>
  <c r="W80" i="68" s="1"/>
  <c r="W81" i="68" s="1"/>
  <c r="W82" i="68" s="1"/>
  <c r="W83" i="68" s="1"/>
  <c r="W84" i="68" s="1"/>
  <c r="W85" i="68" s="1"/>
  <c r="W86" i="68" s="1"/>
  <c r="W87" i="68" s="1"/>
  <c r="W88" i="68" s="1"/>
  <c r="W89" i="68" s="1"/>
  <c r="W90" i="68" s="1"/>
  <c r="W91" i="68" s="1"/>
  <c r="W92" i="68" s="1"/>
  <c r="W93" i="68" s="1"/>
  <c r="W94" i="68" s="1"/>
  <c r="W95" i="68" s="1"/>
  <c r="W96" i="68" s="1"/>
  <c r="W97" i="68" s="1"/>
  <c r="W98" i="68" s="1"/>
  <c r="W99" i="68" s="1"/>
  <c r="V5" i="68"/>
  <c r="V6" i="68" s="1"/>
  <c r="V7" i="68" s="1"/>
  <c r="V8" i="68" s="1"/>
  <c r="V9" i="68" s="1"/>
  <c r="V10" i="68" s="1"/>
  <c r="V11" i="68" s="1"/>
  <c r="V12" i="68" s="1"/>
  <c r="V13" i="68" s="1"/>
  <c r="V14" i="68" s="1"/>
  <c r="V15" i="68" s="1"/>
  <c r="V16" i="68" s="1"/>
  <c r="V17" i="68" s="1"/>
  <c r="V18" i="68" s="1"/>
  <c r="V19" i="68" s="1"/>
  <c r="V20" i="68" s="1"/>
  <c r="V21" i="68" s="1"/>
  <c r="V22" i="68" s="1"/>
  <c r="V23" i="68" s="1"/>
  <c r="V24" i="68" s="1"/>
  <c r="V25" i="68" s="1"/>
  <c r="V26" i="68" s="1"/>
  <c r="V27" i="68" s="1"/>
  <c r="V28" i="68" s="1"/>
  <c r="V29" i="68" s="1"/>
  <c r="V30" i="68" s="1"/>
  <c r="V31" i="68" s="1"/>
  <c r="V32" i="68" s="1"/>
  <c r="V33" i="68" s="1"/>
  <c r="V34" i="68" s="1"/>
  <c r="V35" i="68" s="1"/>
  <c r="V36" i="68" s="1"/>
  <c r="V37" i="68" s="1"/>
  <c r="V38" i="68" s="1"/>
  <c r="V39" i="68" s="1"/>
  <c r="V40" i="68" s="1"/>
  <c r="V41" i="68" s="1"/>
  <c r="V42" i="68" s="1"/>
  <c r="V43" i="68" s="1"/>
  <c r="V44" i="68" s="1"/>
  <c r="V45" i="68" s="1"/>
  <c r="V46" i="68" s="1"/>
  <c r="V47" i="68" s="1"/>
  <c r="V48" i="68" s="1"/>
  <c r="V49" i="68" s="1"/>
  <c r="V50" i="68" s="1"/>
  <c r="V51" i="68" s="1"/>
  <c r="V52" i="68" s="1"/>
  <c r="V53" i="68" s="1"/>
  <c r="V54" i="68" s="1"/>
  <c r="V55" i="68" s="1"/>
  <c r="V56" i="68" s="1"/>
  <c r="V57" i="68" s="1"/>
  <c r="V58" i="68" s="1"/>
  <c r="V59" i="68" s="1"/>
  <c r="V60" i="68" s="1"/>
  <c r="V61" i="68" s="1"/>
  <c r="V62" i="68" s="1"/>
  <c r="V63" i="68" s="1"/>
  <c r="V64" i="68" s="1"/>
  <c r="V65" i="68" s="1"/>
  <c r="V66" i="68" s="1"/>
  <c r="V67" i="68" s="1"/>
  <c r="V68" i="68" s="1"/>
  <c r="V69" i="68" s="1"/>
  <c r="V70" i="68" s="1"/>
  <c r="V71" i="68" s="1"/>
  <c r="V72" i="68" s="1"/>
  <c r="V73" i="68" s="1"/>
  <c r="V74" i="68" s="1"/>
  <c r="V75" i="68" s="1"/>
  <c r="V76" i="68" s="1"/>
  <c r="V77" i="68" s="1"/>
  <c r="V78" i="68" s="1"/>
  <c r="V79" i="68" s="1"/>
  <c r="V80" i="68" s="1"/>
  <c r="V81" i="68" s="1"/>
  <c r="V82" i="68" s="1"/>
  <c r="V83" i="68" s="1"/>
  <c r="V84" i="68" s="1"/>
  <c r="V85" i="68" s="1"/>
  <c r="V86" i="68" s="1"/>
  <c r="V87" i="68" s="1"/>
  <c r="V88" i="68" s="1"/>
  <c r="V89" i="68" s="1"/>
  <c r="V90" i="68" s="1"/>
  <c r="V91" i="68" s="1"/>
  <c r="V92" i="68" s="1"/>
  <c r="V93" i="68" s="1"/>
  <c r="V94" i="68" s="1"/>
  <c r="V95" i="68" s="1"/>
  <c r="V96" i="68" s="1"/>
  <c r="V97" i="68" s="1"/>
  <c r="V98" i="68" s="1"/>
  <c r="V99" i="68" s="1"/>
  <c r="E6" i="69" l="1"/>
  <c r="K61" i="69" s="1"/>
  <c r="L61" i="69" s="1"/>
  <c r="M61" i="69" s="1"/>
  <c r="N61" i="69" s="1"/>
  <c r="O61" i="69" s="1"/>
  <c r="P61" i="69" s="1"/>
  <c r="Q61" i="69" s="1"/>
  <c r="R61" i="69" s="1"/>
  <c r="S61" i="69" s="1"/>
  <c r="T61" i="69" s="1"/>
  <c r="U61" i="69" s="1"/>
  <c r="V61" i="69" s="1"/>
  <c r="W61" i="69" s="1"/>
  <c r="X61" i="69" s="1"/>
  <c r="Y61" i="69" s="1"/>
  <c r="Z61" i="69" s="1"/>
  <c r="AA61" i="69" s="1"/>
  <c r="E5" i="69"/>
  <c r="F56" i="69" s="1"/>
  <c r="G56" i="69" s="1"/>
  <c r="H56" i="69" s="1"/>
  <c r="I56" i="69" s="1"/>
  <c r="M88" i="68"/>
  <c r="M89" i="68"/>
  <c r="M90" i="68"/>
  <c r="M91" i="68"/>
  <c r="M92" i="68"/>
  <c r="M93" i="68"/>
  <c r="D32" i="68"/>
  <c r="D33" i="68"/>
  <c r="D4" i="68"/>
  <c r="D5" i="68"/>
  <c r="D6" i="68"/>
  <c r="D7" i="68"/>
  <c r="D8" i="68"/>
  <c r="D9" i="68"/>
  <c r="D10" i="68"/>
  <c r="D11" i="68"/>
  <c r="D12" i="68"/>
  <c r="D13" i="68"/>
  <c r="D14" i="68"/>
  <c r="D15" i="68"/>
  <c r="D16" i="68"/>
  <c r="D17" i="68"/>
  <c r="D18" i="68"/>
  <c r="D19" i="68"/>
  <c r="D20" i="68"/>
  <c r="D21" i="68"/>
  <c r="D22" i="68"/>
  <c r="D23" i="68"/>
  <c r="D24" i="68"/>
  <c r="D25" i="68"/>
  <c r="D26" i="68"/>
  <c r="D27" i="68"/>
  <c r="D28" i="68"/>
  <c r="D29" i="68"/>
  <c r="D30" i="68"/>
  <c r="D31" i="68"/>
  <c r="U114" i="65"/>
  <c r="S115" i="65"/>
  <c r="T115" i="65"/>
  <c r="U115" i="65"/>
  <c r="S116" i="65"/>
  <c r="T116" i="65"/>
  <c r="U116" i="65"/>
  <c r="S117" i="65"/>
  <c r="U30" i="65"/>
  <c r="S31" i="65"/>
  <c r="T31" i="65"/>
  <c r="S32" i="65"/>
  <c r="T32" i="65"/>
  <c r="U32" i="65"/>
  <c r="S33" i="65"/>
  <c r="T33" i="65"/>
  <c r="U34" i="65"/>
  <c r="S35" i="65"/>
  <c r="T35" i="65"/>
  <c r="U35" i="65"/>
  <c r="S36" i="65"/>
  <c r="T36" i="65"/>
  <c r="U36" i="65"/>
  <c r="S37" i="65"/>
  <c r="T37" i="65"/>
  <c r="U37" i="65"/>
  <c r="S38" i="65"/>
  <c r="T38" i="65"/>
  <c r="U38" i="65"/>
  <c r="S40" i="65"/>
  <c r="T40" i="65"/>
  <c r="U40" i="65"/>
  <c r="S41" i="65"/>
  <c r="T41" i="65"/>
  <c r="U41" i="65"/>
  <c r="S42" i="65"/>
  <c r="T42" i="65"/>
  <c r="U42" i="65"/>
  <c r="S43" i="65"/>
  <c r="T43" i="65"/>
  <c r="U43" i="65"/>
  <c r="S44" i="65"/>
  <c r="T45" i="65"/>
  <c r="U45" i="65"/>
  <c r="S46" i="65"/>
  <c r="T46" i="65"/>
  <c r="U46" i="65"/>
  <c r="S47" i="65"/>
  <c r="T47" i="65"/>
  <c r="U47" i="65"/>
  <c r="S48" i="65"/>
  <c r="T48" i="65"/>
  <c r="U48" i="65"/>
  <c r="S49" i="65"/>
  <c r="T49" i="65"/>
  <c r="U50" i="65"/>
  <c r="S51" i="65"/>
  <c r="T51" i="65"/>
  <c r="U51" i="65"/>
  <c r="S52" i="65"/>
  <c r="T52" i="65"/>
  <c r="U52" i="65"/>
  <c r="S53" i="65"/>
  <c r="T53" i="65"/>
  <c r="U53" i="65"/>
  <c r="S54" i="65"/>
  <c r="T54" i="65"/>
  <c r="U54" i="65"/>
  <c r="S56" i="65"/>
  <c r="T56" i="65"/>
  <c r="U56" i="65"/>
  <c r="S57" i="65"/>
  <c r="T57" i="65"/>
  <c r="U57" i="65"/>
  <c r="S58" i="65"/>
  <c r="T58" i="65"/>
  <c r="U58" i="65"/>
  <c r="S59" i="65"/>
  <c r="T59" i="65"/>
  <c r="U59" i="65"/>
  <c r="S60" i="65"/>
  <c r="T61" i="65"/>
  <c r="U61" i="65"/>
  <c r="S62" i="65"/>
  <c r="T62" i="65"/>
  <c r="U62" i="65"/>
  <c r="S63" i="65"/>
  <c r="T63" i="65"/>
  <c r="U63" i="65"/>
  <c r="S64" i="65"/>
  <c r="T64" i="65"/>
  <c r="U64" i="65"/>
  <c r="S65" i="65"/>
  <c r="T65" i="65"/>
  <c r="U66" i="65"/>
  <c r="S67" i="65"/>
  <c r="T67" i="65"/>
  <c r="S68" i="65"/>
  <c r="T68" i="65"/>
  <c r="S69" i="65"/>
  <c r="T69" i="65"/>
  <c r="U69" i="65"/>
  <c r="S70" i="65"/>
  <c r="T70" i="65"/>
  <c r="U70" i="65"/>
  <c r="S72" i="65"/>
  <c r="T72" i="65"/>
  <c r="U72" i="65"/>
  <c r="T73" i="65"/>
  <c r="U73" i="65"/>
  <c r="T74" i="65"/>
  <c r="S75" i="65"/>
  <c r="T75" i="65"/>
  <c r="U75" i="65"/>
  <c r="S76" i="65"/>
  <c r="T77" i="65"/>
  <c r="U77" i="65"/>
  <c r="S78" i="65"/>
  <c r="U78" i="65"/>
  <c r="S79" i="65"/>
  <c r="T79" i="65"/>
  <c r="U79" i="65"/>
  <c r="S80" i="65"/>
  <c r="T80" i="65"/>
  <c r="U80" i="65"/>
  <c r="S81" i="65"/>
  <c r="T81" i="65"/>
  <c r="U82" i="65"/>
  <c r="S83" i="65"/>
  <c r="T83" i="65"/>
  <c r="S84" i="65"/>
  <c r="T84" i="65"/>
  <c r="U84" i="65"/>
  <c r="S85" i="65"/>
  <c r="U85" i="65"/>
  <c r="S86" i="65"/>
  <c r="T86" i="65"/>
  <c r="U86" i="65"/>
  <c r="S88" i="65"/>
  <c r="T88" i="65"/>
  <c r="S91" i="65"/>
  <c r="T91" i="65"/>
  <c r="U91" i="65"/>
  <c r="S92" i="65"/>
  <c r="T93" i="65"/>
  <c r="S95" i="65"/>
  <c r="U95" i="65"/>
  <c r="S96" i="65"/>
  <c r="T96" i="65"/>
  <c r="U96" i="65"/>
  <c r="S97" i="65"/>
  <c r="T97" i="65"/>
  <c r="U98" i="65"/>
  <c r="S99" i="65"/>
  <c r="S100" i="65"/>
  <c r="U100" i="65"/>
  <c r="S101" i="65"/>
  <c r="T101" i="65"/>
  <c r="U101" i="65"/>
  <c r="S102" i="65"/>
  <c r="U102" i="65"/>
  <c r="S104" i="65"/>
  <c r="T104" i="65"/>
  <c r="U105" i="65"/>
  <c r="S106" i="65"/>
  <c r="T106" i="65"/>
  <c r="U106" i="65"/>
  <c r="S107" i="65"/>
  <c r="T107" i="65"/>
  <c r="S108" i="65"/>
  <c r="T109" i="65"/>
  <c r="U109" i="65"/>
  <c r="S110" i="65"/>
  <c r="U110" i="65"/>
  <c r="S111" i="65"/>
  <c r="T111" i="65"/>
  <c r="S7" i="65"/>
  <c r="S9" i="65"/>
  <c r="U9" i="65"/>
  <c r="S10" i="65"/>
  <c r="T10" i="65"/>
  <c r="U10" i="65"/>
  <c r="S11" i="65"/>
  <c r="T12" i="65"/>
  <c r="T14" i="65"/>
  <c r="S15" i="65"/>
  <c r="T15" i="65"/>
  <c r="U15" i="65"/>
  <c r="S16" i="65"/>
  <c r="T16" i="65"/>
  <c r="U17" i="65"/>
  <c r="U19" i="65"/>
  <c r="T20" i="65"/>
  <c r="U20" i="65"/>
  <c r="S21" i="65"/>
  <c r="T21" i="65"/>
  <c r="U21" i="65"/>
  <c r="S23" i="65"/>
  <c r="S25" i="65"/>
  <c r="U25" i="65"/>
  <c r="S26" i="65"/>
  <c r="T26" i="65"/>
  <c r="U26" i="65"/>
  <c r="S27" i="65"/>
  <c r="T28" i="65"/>
  <c r="I101" i="65"/>
  <c r="H112" i="65"/>
  <c r="AI110" i="67" s="1"/>
  <c r="BM115" i="67"/>
  <c r="BL115" i="67"/>
  <c r="G115" i="156" s="1"/>
  <c r="BK115" i="67"/>
  <c r="BJ115" i="67"/>
  <c r="BI115" i="67"/>
  <c r="H115" i="77" s="1"/>
  <c r="BH115" i="67"/>
  <c r="BG115" i="67"/>
  <c r="H115" i="156" s="1"/>
  <c r="BF115" i="67"/>
  <c r="BE115" i="67"/>
  <c r="F115" i="155" s="1"/>
  <c r="BD115" i="67"/>
  <c r="G115" i="76" s="1"/>
  <c r="BC115" i="67"/>
  <c r="BB115" i="67"/>
  <c r="BA115" i="67"/>
  <c r="AZ115" i="67"/>
  <c r="AY115" i="67"/>
  <c r="C115" i="67"/>
  <c r="B115" i="67"/>
  <c r="BM114" i="67"/>
  <c r="BL114" i="67"/>
  <c r="G114" i="156" s="1"/>
  <c r="BK114" i="67"/>
  <c r="BJ114" i="67"/>
  <c r="BI114" i="67"/>
  <c r="H114" i="77" s="1"/>
  <c r="BH114" i="67"/>
  <c r="BG114" i="67"/>
  <c r="H114" i="156" s="1"/>
  <c r="BF114" i="67"/>
  <c r="BE114" i="67"/>
  <c r="F114" i="155" s="1"/>
  <c r="BD114" i="67"/>
  <c r="G114" i="76" s="1"/>
  <c r="BC114" i="67"/>
  <c r="BB114" i="67"/>
  <c r="BA114" i="67"/>
  <c r="AZ114" i="67"/>
  <c r="AY114" i="67"/>
  <c r="C114" i="67"/>
  <c r="B114" i="67"/>
  <c r="BM113" i="67"/>
  <c r="BL113" i="67"/>
  <c r="G113" i="156" s="1"/>
  <c r="BK113" i="67"/>
  <c r="BJ113" i="67"/>
  <c r="BI113" i="67"/>
  <c r="H113" i="77" s="1"/>
  <c r="BH113" i="67"/>
  <c r="BG113" i="67"/>
  <c r="H113" i="156" s="1"/>
  <c r="BF113" i="67"/>
  <c r="BE113" i="67"/>
  <c r="F113" i="155" s="1"/>
  <c r="BD113" i="67"/>
  <c r="G113" i="76" s="1"/>
  <c r="BC113" i="67"/>
  <c r="BB113" i="67"/>
  <c r="BA113" i="67"/>
  <c r="AZ113" i="67"/>
  <c r="AY113" i="67"/>
  <c r="C113" i="67"/>
  <c r="B113" i="67"/>
  <c r="BM112" i="67"/>
  <c r="BL112" i="67"/>
  <c r="G112" i="156" s="1"/>
  <c r="BK112" i="67"/>
  <c r="BJ112" i="67"/>
  <c r="BI112" i="67"/>
  <c r="H112" i="77" s="1"/>
  <c r="BH112" i="67"/>
  <c r="BG112" i="67"/>
  <c r="H112" i="156" s="1"/>
  <c r="BF112" i="67"/>
  <c r="BE112" i="67"/>
  <c r="F112" i="155" s="1"/>
  <c r="BD112" i="67"/>
  <c r="G112" i="76" s="1"/>
  <c r="BC112" i="67"/>
  <c r="BB112" i="67"/>
  <c r="BA112" i="67"/>
  <c r="AZ112" i="67"/>
  <c r="AY112" i="67"/>
  <c r="C112" i="67"/>
  <c r="B112" i="67"/>
  <c r="BM111" i="67"/>
  <c r="BL111" i="67"/>
  <c r="G111" i="156" s="1"/>
  <c r="BK111" i="67"/>
  <c r="BJ111" i="67"/>
  <c r="BI111" i="67"/>
  <c r="H111" i="77" s="1"/>
  <c r="BH111" i="67"/>
  <c r="BG111" i="67"/>
  <c r="H111" i="156" s="1"/>
  <c r="BF111" i="67"/>
  <c r="BE111" i="67"/>
  <c r="F111" i="155" s="1"/>
  <c r="BD111" i="67"/>
  <c r="G111" i="76" s="1"/>
  <c r="BC111" i="67"/>
  <c r="BB111" i="67"/>
  <c r="BA111" i="67"/>
  <c r="AZ111" i="67"/>
  <c r="AY111" i="67"/>
  <c r="C111" i="67"/>
  <c r="B111" i="67"/>
  <c r="BM110" i="67"/>
  <c r="BL110" i="67"/>
  <c r="G110" i="156" s="1"/>
  <c r="BK110" i="67"/>
  <c r="BJ110" i="67"/>
  <c r="BI110" i="67"/>
  <c r="H110" i="77" s="1"/>
  <c r="BH110" i="67"/>
  <c r="BG110" i="67"/>
  <c r="H110" i="156" s="1"/>
  <c r="BF110" i="67"/>
  <c r="BE110" i="67"/>
  <c r="F110" i="155" s="1"/>
  <c r="BD110" i="67"/>
  <c r="G110" i="76" s="1"/>
  <c r="BC110" i="67"/>
  <c r="BB110" i="67"/>
  <c r="BA110" i="67"/>
  <c r="AZ110" i="67"/>
  <c r="AY110" i="67"/>
  <c r="C110" i="67"/>
  <c r="B110" i="67"/>
  <c r="BM109" i="67"/>
  <c r="BL109" i="67"/>
  <c r="G109" i="156" s="1"/>
  <c r="BK109" i="67"/>
  <c r="BJ109" i="67"/>
  <c r="BI109" i="67"/>
  <c r="H109" i="77" s="1"/>
  <c r="BH109" i="67"/>
  <c r="BG109" i="67"/>
  <c r="H109" i="156" s="1"/>
  <c r="BF109" i="67"/>
  <c r="BE109" i="67"/>
  <c r="F109" i="155" s="1"/>
  <c r="BD109" i="67"/>
  <c r="G109" i="76" s="1"/>
  <c r="BC109" i="67"/>
  <c r="BB109" i="67"/>
  <c r="BA109" i="67"/>
  <c r="AZ109" i="67"/>
  <c r="AY109" i="67"/>
  <c r="C109" i="67"/>
  <c r="B109" i="67"/>
  <c r="BM108" i="67"/>
  <c r="BL108" i="67"/>
  <c r="G108" i="156" s="1"/>
  <c r="BK108" i="67"/>
  <c r="BJ108" i="67"/>
  <c r="BI108" i="67"/>
  <c r="H108" i="77" s="1"/>
  <c r="BH108" i="67"/>
  <c r="BG108" i="67"/>
  <c r="H108" i="156" s="1"/>
  <c r="BF108" i="67"/>
  <c r="BE108" i="67"/>
  <c r="F108" i="155" s="1"/>
  <c r="BD108" i="67"/>
  <c r="G108" i="76" s="1"/>
  <c r="BC108" i="67"/>
  <c r="BB108" i="67"/>
  <c r="BA108" i="67"/>
  <c r="AZ108" i="67"/>
  <c r="AY108" i="67"/>
  <c r="C108" i="67"/>
  <c r="B108" i="67"/>
  <c r="BM107" i="67"/>
  <c r="BL107" i="67"/>
  <c r="G107" i="156" s="1"/>
  <c r="BK107" i="67"/>
  <c r="BJ107" i="67"/>
  <c r="BI107" i="67"/>
  <c r="H107" i="77" s="1"/>
  <c r="BH107" i="67"/>
  <c r="BG107" i="67"/>
  <c r="H107" i="156" s="1"/>
  <c r="BF107" i="67"/>
  <c r="BE107" i="67"/>
  <c r="F107" i="155" s="1"/>
  <c r="BD107" i="67"/>
  <c r="G107" i="76" s="1"/>
  <c r="BC107" i="67"/>
  <c r="BB107" i="67"/>
  <c r="BA107" i="67"/>
  <c r="AZ107" i="67"/>
  <c r="AY107" i="67"/>
  <c r="C107" i="67"/>
  <c r="B107" i="67"/>
  <c r="BM106" i="67"/>
  <c r="BL106" i="67"/>
  <c r="G106" i="156" s="1"/>
  <c r="BK106" i="67"/>
  <c r="BJ106" i="67"/>
  <c r="BI106" i="67"/>
  <c r="H106" i="77" s="1"/>
  <c r="BH106" i="67"/>
  <c r="BG106" i="67"/>
  <c r="H106" i="156" s="1"/>
  <c r="BF106" i="67"/>
  <c r="BE106" i="67"/>
  <c r="F106" i="155" s="1"/>
  <c r="BD106" i="67"/>
  <c r="G106" i="76" s="1"/>
  <c r="BC106" i="67"/>
  <c r="BB106" i="67"/>
  <c r="BA106" i="67"/>
  <c r="AZ106" i="67"/>
  <c r="AY106" i="67"/>
  <c r="C106" i="67"/>
  <c r="B106" i="67"/>
  <c r="BM105" i="67"/>
  <c r="BL105" i="67"/>
  <c r="G105" i="156" s="1"/>
  <c r="BK105" i="67"/>
  <c r="BJ105" i="67"/>
  <c r="BI105" i="67"/>
  <c r="H105" i="77" s="1"/>
  <c r="BH105" i="67"/>
  <c r="BG105" i="67"/>
  <c r="H105" i="156" s="1"/>
  <c r="BF105" i="67"/>
  <c r="BE105" i="67"/>
  <c r="F105" i="155" s="1"/>
  <c r="BD105" i="67"/>
  <c r="G105" i="76" s="1"/>
  <c r="BC105" i="67"/>
  <c r="BB105" i="67"/>
  <c r="BA105" i="67"/>
  <c r="AZ105" i="67"/>
  <c r="AY105" i="67"/>
  <c r="C105" i="67"/>
  <c r="B105" i="67"/>
  <c r="BM104" i="67"/>
  <c r="BL104" i="67"/>
  <c r="G104" i="156" s="1"/>
  <c r="BK104" i="67"/>
  <c r="BJ104" i="67"/>
  <c r="BI104" i="67"/>
  <c r="H104" i="77" s="1"/>
  <c r="BH104" i="67"/>
  <c r="BG104" i="67"/>
  <c r="H104" i="156" s="1"/>
  <c r="BF104" i="67"/>
  <c r="BE104" i="67"/>
  <c r="F104" i="155" s="1"/>
  <c r="BD104" i="67"/>
  <c r="G104" i="76" s="1"/>
  <c r="BC104" i="67"/>
  <c r="BB104" i="67"/>
  <c r="BA104" i="67"/>
  <c r="AZ104" i="67"/>
  <c r="AY104" i="67"/>
  <c r="C104" i="67"/>
  <c r="B104" i="67"/>
  <c r="BM103" i="67"/>
  <c r="BL103" i="67"/>
  <c r="G103" i="156" s="1"/>
  <c r="BK103" i="67"/>
  <c r="BJ103" i="67"/>
  <c r="BI103" i="67"/>
  <c r="H103" i="77" s="1"/>
  <c r="BH103" i="67"/>
  <c r="BG103" i="67"/>
  <c r="H103" i="156" s="1"/>
  <c r="BF103" i="67"/>
  <c r="BE103" i="67"/>
  <c r="F103" i="155" s="1"/>
  <c r="BD103" i="67"/>
  <c r="G103" i="76" s="1"/>
  <c r="BC103" i="67"/>
  <c r="BB103" i="67"/>
  <c r="BA103" i="67"/>
  <c r="AZ103" i="67"/>
  <c r="AY103" i="67"/>
  <c r="C103" i="67"/>
  <c r="B103" i="67"/>
  <c r="BM102" i="67"/>
  <c r="BL102" i="67"/>
  <c r="G102" i="156" s="1"/>
  <c r="BK102" i="67"/>
  <c r="BJ102" i="67"/>
  <c r="BI102" i="67"/>
  <c r="H102" i="77" s="1"/>
  <c r="BH102" i="67"/>
  <c r="BG102" i="67"/>
  <c r="H102" i="156" s="1"/>
  <c r="BF102" i="67"/>
  <c r="BE102" i="67"/>
  <c r="F102" i="155" s="1"/>
  <c r="BD102" i="67"/>
  <c r="G102" i="76" s="1"/>
  <c r="BC102" i="67"/>
  <c r="BB102" i="67"/>
  <c r="BA102" i="67"/>
  <c r="AZ102" i="67"/>
  <c r="AY102" i="67"/>
  <c r="C102" i="67"/>
  <c r="B102" i="67"/>
  <c r="BM101" i="67"/>
  <c r="BL101" i="67"/>
  <c r="G101" i="156" s="1"/>
  <c r="BK101" i="67"/>
  <c r="BJ101" i="67"/>
  <c r="BI101" i="67"/>
  <c r="H101" i="77" s="1"/>
  <c r="BH101" i="67"/>
  <c r="BG101" i="67"/>
  <c r="H101" i="156" s="1"/>
  <c r="BF101" i="67"/>
  <c r="BE101" i="67"/>
  <c r="F101" i="155" s="1"/>
  <c r="BD101" i="67"/>
  <c r="G101" i="76" s="1"/>
  <c r="BC101" i="67"/>
  <c r="BB101" i="67"/>
  <c r="BA101" i="67"/>
  <c r="AZ101" i="67"/>
  <c r="AY101" i="67"/>
  <c r="C101" i="67"/>
  <c r="B101" i="67"/>
  <c r="BM100" i="67"/>
  <c r="BL100" i="67"/>
  <c r="G100" i="156" s="1"/>
  <c r="BK100" i="67"/>
  <c r="BJ100" i="67"/>
  <c r="BI100" i="67"/>
  <c r="H100" i="77" s="1"/>
  <c r="BH100" i="67"/>
  <c r="BG100" i="67"/>
  <c r="H100" i="156" s="1"/>
  <c r="BF100" i="67"/>
  <c r="BE100" i="67"/>
  <c r="F100" i="155" s="1"/>
  <c r="BD100" i="67"/>
  <c r="G100" i="76" s="1"/>
  <c r="BC100" i="67"/>
  <c r="BB100" i="67"/>
  <c r="BA100" i="67"/>
  <c r="AZ100" i="67"/>
  <c r="AY100" i="67"/>
  <c r="C100" i="67"/>
  <c r="B100" i="67"/>
  <c r="BM99" i="67"/>
  <c r="BL99" i="67"/>
  <c r="G99" i="156" s="1"/>
  <c r="BK99" i="67"/>
  <c r="BJ99" i="67"/>
  <c r="BI99" i="67"/>
  <c r="H99" i="77" s="1"/>
  <c r="BH99" i="67"/>
  <c r="BG99" i="67"/>
  <c r="H99" i="156" s="1"/>
  <c r="BF99" i="67"/>
  <c r="BE99" i="67"/>
  <c r="F99" i="155" s="1"/>
  <c r="BD99" i="67"/>
  <c r="G99" i="76" s="1"/>
  <c r="BC99" i="67"/>
  <c r="BB99" i="67"/>
  <c r="BA99" i="67"/>
  <c r="AZ99" i="67"/>
  <c r="AY99" i="67"/>
  <c r="C99" i="67"/>
  <c r="B99" i="67"/>
  <c r="BM98" i="67"/>
  <c r="BL98" i="67"/>
  <c r="G98" i="156" s="1"/>
  <c r="BK98" i="67"/>
  <c r="BJ98" i="67"/>
  <c r="BI98" i="67"/>
  <c r="H98" i="77" s="1"/>
  <c r="BH98" i="67"/>
  <c r="BG98" i="67"/>
  <c r="H98" i="156" s="1"/>
  <c r="BF98" i="67"/>
  <c r="BE98" i="67"/>
  <c r="F98" i="155" s="1"/>
  <c r="BD98" i="67"/>
  <c r="G98" i="76" s="1"/>
  <c r="BC98" i="67"/>
  <c r="BB98" i="67"/>
  <c r="BA98" i="67"/>
  <c r="AZ98" i="67"/>
  <c r="AY98" i="67"/>
  <c r="C98" i="67"/>
  <c r="B98" i="67"/>
  <c r="CD97" i="67"/>
  <c r="BM97" i="67"/>
  <c r="BL97" i="67"/>
  <c r="G97" i="156" s="1"/>
  <c r="BK97" i="67"/>
  <c r="BJ97" i="67"/>
  <c r="BI97" i="67"/>
  <c r="H97" i="77" s="1"/>
  <c r="BH97" i="67"/>
  <c r="BG97" i="67"/>
  <c r="H97" i="156" s="1"/>
  <c r="BF97" i="67"/>
  <c r="BE97" i="67"/>
  <c r="F97" i="155" s="1"/>
  <c r="BD97" i="67"/>
  <c r="G97" i="76" s="1"/>
  <c r="BC97" i="67"/>
  <c r="BB97" i="67"/>
  <c r="BA97" i="67"/>
  <c r="AZ97" i="67"/>
  <c r="AY97" i="67"/>
  <c r="C97" i="67"/>
  <c r="B97" i="67"/>
  <c r="CD96" i="67"/>
  <c r="BM96" i="67"/>
  <c r="BL96" i="67"/>
  <c r="G96" i="156" s="1"/>
  <c r="BK96" i="67"/>
  <c r="BJ96" i="67"/>
  <c r="BI96" i="67"/>
  <c r="H96" i="77" s="1"/>
  <c r="BH96" i="67"/>
  <c r="BG96" i="67"/>
  <c r="H96" i="156" s="1"/>
  <c r="BF96" i="67"/>
  <c r="BE96" i="67"/>
  <c r="F96" i="155" s="1"/>
  <c r="BD96" i="67"/>
  <c r="G96" i="76" s="1"/>
  <c r="BC96" i="67"/>
  <c r="BB96" i="67"/>
  <c r="BA96" i="67"/>
  <c r="AZ96" i="67"/>
  <c r="AY96" i="67"/>
  <c r="C96" i="67"/>
  <c r="B96" i="67"/>
  <c r="CD95" i="67"/>
  <c r="BM95" i="67"/>
  <c r="BL95" i="67"/>
  <c r="G95" i="156" s="1"/>
  <c r="BK95" i="67"/>
  <c r="BJ95" i="67"/>
  <c r="BI95" i="67"/>
  <c r="H95" i="77" s="1"/>
  <c r="BH95" i="67"/>
  <c r="BG95" i="67"/>
  <c r="H95" i="156" s="1"/>
  <c r="BF95" i="67"/>
  <c r="BE95" i="67"/>
  <c r="F95" i="155" s="1"/>
  <c r="BD95" i="67"/>
  <c r="G95" i="76" s="1"/>
  <c r="BC95" i="67"/>
  <c r="BB95" i="67"/>
  <c r="BA95" i="67"/>
  <c r="AZ95" i="67"/>
  <c r="AY95" i="67"/>
  <c r="C95" i="67"/>
  <c r="B95" i="67"/>
  <c r="CD94" i="67"/>
  <c r="BM94" i="67"/>
  <c r="BL94" i="67"/>
  <c r="G94" i="156" s="1"/>
  <c r="BK94" i="67"/>
  <c r="BJ94" i="67"/>
  <c r="BI94" i="67"/>
  <c r="H94" i="77" s="1"/>
  <c r="BH94" i="67"/>
  <c r="BG94" i="67"/>
  <c r="H94" i="156" s="1"/>
  <c r="BF94" i="67"/>
  <c r="BE94" i="67"/>
  <c r="F94" i="155" s="1"/>
  <c r="BD94" i="67"/>
  <c r="G94" i="76" s="1"/>
  <c r="BC94" i="67"/>
  <c r="BB94" i="67"/>
  <c r="BA94" i="67"/>
  <c r="AZ94" i="67"/>
  <c r="AY94" i="67"/>
  <c r="C94" i="67"/>
  <c r="B94" i="67"/>
  <c r="CD93" i="67"/>
  <c r="BM93" i="67"/>
  <c r="BL93" i="67"/>
  <c r="G93" i="156" s="1"/>
  <c r="BK93" i="67"/>
  <c r="BJ93" i="67"/>
  <c r="BI93" i="67"/>
  <c r="H93" i="77" s="1"/>
  <c r="BH93" i="67"/>
  <c r="BG93" i="67"/>
  <c r="H93" i="156" s="1"/>
  <c r="BF93" i="67"/>
  <c r="BE93" i="67"/>
  <c r="F93" i="155" s="1"/>
  <c r="BD93" i="67"/>
  <c r="G93" i="76" s="1"/>
  <c r="BC93" i="67"/>
  <c r="BB93" i="67"/>
  <c r="BA93" i="67"/>
  <c r="AZ93" i="67"/>
  <c r="AY93" i="67"/>
  <c r="C93" i="67"/>
  <c r="B93" i="67"/>
  <c r="CD92" i="67"/>
  <c r="BM92" i="67"/>
  <c r="BL92" i="67"/>
  <c r="G92" i="156" s="1"/>
  <c r="BK92" i="67"/>
  <c r="BJ92" i="67"/>
  <c r="BI92" i="67"/>
  <c r="H92" i="77" s="1"/>
  <c r="BH92" i="67"/>
  <c r="BG92" i="67"/>
  <c r="H92" i="156" s="1"/>
  <c r="BF92" i="67"/>
  <c r="BE92" i="67"/>
  <c r="F92" i="155" s="1"/>
  <c r="BD92" i="67"/>
  <c r="G92" i="76" s="1"/>
  <c r="BC92" i="67"/>
  <c r="BB92" i="67"/>
  <c r="BA92" i="67"/>
  <c r="AZ92" i="67"/>
  <c r="AY92" i="67"/>
  <c r="C92" i="67"/>
  <c r="B92" i="67"/>
  <c r="CD91" i="67"/>
  <c r="BM91" i="67"/>
  <c r="BL91" i="67"/>
  <c r="G91" i="156" s="1"/>
  <c r="BK91" i="67"/>
  <c r="BJ91" i="67"/>
  <c r="BI91" i="67"/>
  <c r="H91" i="77" s="1"/>
  <c r="BH91" i="67"/>
  <c r="BG91" i="67"/>
  <c r="H91" i="156" s="1"/>
  <c r="BF91" i="67"/>
  <c r="BE91" i="67"/>
  <c r="F91" i="155" s="1"/>
  <c r="BD91" i="67"/>
  <c r="G91" i="76" s="1"/>
  <c r="BC91" i="67"/>
  <c r="BB91" i="67"/>
  <c r="BA91" i="67"/>
  <c r="AZ91" i="67"/>
  <c r="AY91" i="67"/>
  <c r="C91" i="67"/>
  <c r="B91" i="67"/>
  <c r="CD90" i="67"/>
  <c r="BM90" i="67"/>
  <c r="BL90" i="67"/>
  <c r="G90" i="156" s="1"/>
  <c r="BK90" i="67"/>
  <c r="BJ90" i="67"/>
  <c r="BI90" i="67"/>
  <c r="H90" i="77" s="1"/>
  <c r="BH90" i="67"/>
  <c r="BG90" i="67"/>
  <c r="H90" i="156" s="1"/>
  <c r="BF90" i="67"/>
  <c r="BE90" i="67"/>
  <c r="F90" i="155" s="1"/>
  <c r="BD90" i="67"/>
  <c r="G90" i="76" s="1"/>
  <c r="BC90" i="67"/>
  <c r="BB90" i="67"/>
  <c r="BA90" i="67"/>
  <c r="AZ90" i="67"/>
  <c r="AY90" i="67"/>
  <c r="C90" i="67"/>
  <c r="B90" i="67"/>
  <c r="CD89" i="67"/>
  <c r="BM89" i="67"/>
  <c r="BL89" i="67"/>
  <c r="G89" i="156" s="1"/>
  <c r="BK89" i="67"/>
  <c r="BJ89" i="67"/>
  <c r="BI89" i="67"/>
  <c r="H89" i="77" s="1"/>
  <c r="BH89" i="67"/>
  <c r="BG89" i="67"/>
  <c r="H89" i="156" s="1"/>
  <c r="BF89" i="67"/>
  <c r="BE89" i="67"/>
  <c r="F89" i="155" s="1"/>
  <c r="BD89" i="67"/>
  <c r="G89" i="76" s="1"/>
  <c r="BC89" i="67"/>
  <c r="BB89" i="67"/>
  <c r="BA89" i="67"/>
  <c r="AZ89" i="67"/>
  <c r="AY89" i="67"/>
  <c r="AV89" i="67"/>
  <c r="AU89" i="67"/>
  <c r="AT89" i="67"/>
  <c r="AS89" i="67"/>
  <c r="C89" i="67"/>
  <c r="B89" i="67"/>
  <c r="CD88" i="67"/>
  <c r="BM88" i="67"/>
  <c r="BL88" i="67"/>
  <c r="G88" i="156" s="1"/>
  <c r="BK88" i="67"/>
  <c r="BJ88" i="67"/>
  <c r="BI88" i="67"/>
  <c r="H88" i="77" s="1"/>
  <c r="BH88" i="67"/>
  <c r="BG88" i="67"/>
  <c r="H88" i="156" s="1"/>
  <c r="BF88" i="67"/>
  <c r="BE88" i="67"/>
  <c r="F88" i="155" s="1"/>
  <c r="BD88" i="67"/>
  <c r="G88" i="76" s="1"/>
  <c r="BC88" i="67"/>
  <c r="BB88" i="67"/>
  <c r="BA88" i="67"/>
  <c r="AZ88" i="67"/>
  <c r="AY88" i="67"/>
  <c r="AV88" i="67"/>
  <c r="AU88" i="67"/>
  <c r="AT88" i="67"/>
  <c r="AS88" i="67"/>
  <c r="C88" i="67"/>
  <c r="B88" i="67"/>
  <c r="CD87" i="67"/>
  <c r="BM87" i="67"/>
  <c r="BL87" i="67"/>
  <c r="G87" i="156" s="1"/>
  <c r="BK87" i="67"/>
  <c r="BJ87" i="67"/>
  <c r="BI87" i="67"/>
  <c r="H87" i="77" s="1"/>
  <c r="BH87" i="67"/>
  <c r="BG87" i="67"/>
  <c r="H87" i="156" s="1"/>
  <c r="BF87" i="67"/>
  <c r="BE87" i="67"/>
  <c r="F87" i="155" s="1"/>
  <c r="BD87" i="67"/>
  <c r="G87" i="76" s="1"/>
  <c r="BC87" i="67"/>
  <c r="BB87" i="67"/>
  <c r="BA87" i="67"/>
  <c r="AZ87" i="67"/>
  <c r="AY87" i="67"/>
  <c r="AV87" i="67"/>
  <c r="AU87" i="67"/>
  <c r="AT87" i="67"/>
  <c r="AS87" i="67"/>
  <c r="C87" i="67"/>
  <c r="B87" i="67"/>
  <c r="CD86" i="67"/>
  <c r="BM86" i="67"/>
  <c r="BL86" i="67"/>
  <c r="G86" i="156" s="1"/>
  <c r="BK86" i="67"/>
  <c r="BJ86" i="67"/>
  <c r="BI86" i="67"/>
  <c r="H86" i="77" s="1"/>
  <c r="BH86" i="67"/>
  <c r="BG86" i="67"/>
  <c r="H86" i="156" s="1"/>
  <c r="BF86" i="67"/>
  <c r="BE86" i="67"/>
  <c r="F86" i="155" s="1"/>
  <c r="BD86" i="67"/>
  <c r="G86" i="76" s="1"/>
  <c r="BC86" i="67"/>
  <c r="BB86" i="67"/>
  <c r="BA86" i="67"/>
  <c r="AZ86" i="67"/>
  <c r="AY86" i="67"/>
  <c r="AV86" i="67"/>
  <c r="AU86" i="67"/>
  <c r="AT86" i="67"/>
  <c r="AS86" i="67"/>
  <c r="C86" i="67"/>
  <c r="B86" i="67"/>
  <c r="CD85" i="67"/>
  <c r="BM85" i="67"/>
  <c r="BL85" i="67"/>
  <c r="G85" i="156" s="1"/>
  <c r="BK85" i="67"/>
  <c r="BJ85" i="67"/>
  <c r="BI85" i="67"/>
  <c r="H85" i="77" s="1"/>
  <c r="BH85" i="67"/>
  <c r="BG85" i="67"/>
  <c r="H85" i="156" s="1"/>
  <c r="BF85" i="67"/>
  <c r="BE85" i="67"/>
  <c r="F85" i="155" s="1"/>
  <c r="BD85" i="67"/>
  <c r="G85" i="76" s="1"/>
  <c r="BC85" i="67"/>
  <c r="BB85" i="67"/>
  <c r="BA85" i="67"/>
  <c r="AZ85" i="67"/>
  <c r="AY85" i="67"/>
  <c r="AV85" i="67"/>
  <c r="AU85" i="67"/>
  <c r="AT85" i="67"/>
  <c r="AS85" i="67"/>
  <c r="C85" i="67"/>
  <c r="B85" i="67"/>
  <c r="CD84" i="67"/>
  <c r="BM84" i="67"/>
  <c r="BL84" i="67"/>
  <c r="G84" i="156" s="1"/>
  <c r="BK84" i="67"/>
  <c r="BJ84" i="67"/>
  <c r="BI84" i="67"/>
  <c r="H84" i="77" s="1"/>
  <c r="BH84" i="67"/>
  <c r="BG84" i="67"/>
  <c r="H84" i="156" s="1"/>
  <c r="BF84" i="67"/>
  <c r="BE84" i="67"/>
  <c r="F84" i="155" s="1"/>
  <c r="BD84" i="67"/>
  <c r="G84" i="76" s="1"/>
  <c r="BC84" i="67"/>
  <c r="BB84" i="67"/>
  <c r="BA84" i="67"/>
  <c r="AZ84" i="67"/>
  <c r="AY84" i="67"/>
  <c r="AV84" i="67"/>
  <c r="AU84" i="67"/>
  <c r="AT84" i="67"/>
  <c r="AS84" i="67"/>
  <c r="C84" i="67"/>
  <c r="B84" i="67"/>
  <c r="CD83" i="67"/>
  <c r="BM83" i="67"/>
  <c r="BL83" i="67"/>
  <c r="G83" i="156" s="1"/>
  <c r="BK83" i="67"/>
  <c r="BJ83" i="67"/>
  <c r="BI83" i="67"/>
  <c r="H83" i="77" s="1"/>
  <c r="BH83" i="67"/>
  <c r="BG83" i="67"/>
  <c r="H83" i="156" s="1"/>
  <c r="BF83" i="67"/>
  <c r="BE83" i="67"/>
  <c r="F83" i="155" s="1"/>
  <c r="BD83" i="67"/>
  <c r="G83" i="76" s="1"/>
  <c r="BC83" i="67"/>
  <c r="BB83" i="67"/>
  <c r="BA83" i="67"/>
  <c r="AZ83" i="67"/>
  <c r="AY83" i="67"/>
  <c r="AV83" i="67"/>
  <c r="AU83" i="67"/>
  <c r="AT83" i="67"/>
  <c r="AS83" i="67"/>
  <c r="C83" i="67"/>
  <c r="B83" i="67"/>
  <c r="CD82" i="67"/>
  <c r="BM82" i="67"/>
  <c r="BL82" i="67"/>
  <c r="G82" i="156" s="1"/>
  <c r="BK82" i="67"/>
  <c r="BJ82" i="67"/>
  <c r="BI82" i="67"/>
  <c r="H82" i="77" s="1"/>
  <c r="BH82" i="67"/>
  <c r="BG82" i="67"/>
  <c r="H82" i="156" s="1"/>
  <c r="BF82" i="67"/>
  <c r="BE82" i="67"/>
  <c r="F82" i="155" s="1"/>
  <c r="BD82" i="67"/>
  <c r="G82" i="76" s="1"/>
  <c r="BC82" i="67"/>
  <c r="BB82" i="67"/>
  <c r="BA82" i="67"/>
  <c r="AZ82" i="67"/>
  <c r="AY82" i="67"/>
  <c r="AV82" i="67"/>
  <c r="AU82" i="67"/>
  <c r="AT82" i="67"/>
  <c r="AS82" i="67"/>
  <c r="C82" i="67"/>
  <c r="B82" i="67"/>
  <c r="CD81" i="67"/>
  <c r="BM81" i="67"/>
  <c r="BL81" i="67"/>
  <c r="G81" i="156" s="1"/>
  <c r="BK81" i="67"/>
  <c r="BJ81" i="67"/>
  <c r="BI81" i="67"/>
  <c r="H81" i="77" s="1"/>
  <c r="BH81" i="67"/>
  <c r="BG81" i="67"/>
  <c r="H81" i="156" s="1"/>
  <c r="BF81" i="67"/>
  <c r="BE81" i="67"/>
  <c r="F81" i="155" s="1"/>
  <c r="BD81" i="67"/>
  <c r="G81" i="76" s="1"/>
  <c r="BC81" i="67"/>
  <c r="BB81" i="67"/>
  <c r="BA81" i="67"/>
  <c r="AZ81" i="67"/>
  <c r="AY81" i="67"/>
  <c r="AV81" i="67"/>
  <c r="AU81" i="67"/>
  <c r="AT81" i="67"/>
  <c r="AS81" i="67"/>
  <c r="C81" i="67"/>
  <c r="B81" i="67"/>
  <c r="CD80" i="67"/>
  <c r="BM80" i="67"/>
  <c r="BL80" i="67"/>
  <c r="G80" i="156" s="1"/>
  <c r="BK80" i="67"/>
  <c r="BJ80" i="67"/>
  <c r="BI80" i="67"/>
  <c r="H80" i="77" s="1"/>
  <c r="BH80" i="67"/>
  <c r="BG80" i="67"/>
  <c r="H80" i="156" s="1"/>
  <c r="BF80" i="67"/>
  <c r="BE80" i="67"/>
  <c r="F80" i="155" s="1"/>
  <c r="BD80" i="67"/>
  <c r="G80" i="76" s="1"/>
  <c r="BC80" i="67"/>
  <c r="BB80" i="67"/>
  <c r="BA80" i="67"/>
  <c r="AZ80" i="67"/>
  <c r="AY80" i="67"/>
  <c r="AV80" i="67"/>
  <c r="AU80" i="67"/>
  <c r="AT80" i="67"/>
  <c r="AS80" i="67"/>
  <c r="C80" i="67"/>
  <c r="B80" i="67"/>
  <c r="CD79" i="67"/>
  <c r="BM79" i="67"/>
  <c r="BL79" i="67"/>
  <c r="G79" i="156" s="1"/>
  <c r="BK79" i="67"/>
  <c r="BJ79" i="67"/>
  <c r="BI79" i="67"/>
  <c r="H79" i="77" s="1"/>
  <c r="BH79" i="67"/>
  <c r="BG79" i="67"/>
  <c r="H79" i="156" s="1"/>
  <c r="BF79" i="67"/>
  <c r="BE79" i="67"/>
  <c r="F79" i="155" s="1"/>
  <c r="BD79" i="67"/>
  <c r="G79" i="76" s="1"/>
  <c r="BC79" i="67"/>
  <c r="BB79" i="67"/>
  <c r="BA79" i="67"/>
  <c r="AZ79" i="67"/>
  <c r="AY79" i="67"/>
  <c r="AV79" i="67"/>
  <c r="AU79" i="67"/>
  <c r="AT79" i="67"/>
  <c r="AS79" i="67"/>
  <c r="C79" i="67"/>
  <c r="B79" i="67"/>
  <c r="CD78" i="67"/>
  <c r="BM78" i="67"/>
  <c r="BL78" i="67"/>
  <c r="G78" i="156" s="1"/>
  <c r="BK78" i="67"/>
  <c r="BJ78" i="67"/>
  <c r="BI78" i="67"/>
  <c r="H78" i="77" s="1"/>
  <c r="BH78" i="67"/>
  <c r="BG78" i="67"/>
  <c r="H78" i="156" s="1"/>
  <c r="BF78" i="67"/>
  <c r="BE78" i="67"/>
  <c r="F78" i="155" s="1"/>
  <c r="BD78" i="67"/>
  <c r="G78" i="76" s="1"/>
  <c r="BC78" i="67"/>
  <c r="BB78" i="67"/>
  <c r="BA78" i="67"/>
  <c r="AZ78" i="67"/>
  <c r="AY78" i="67"/>
  <c r="AV78" i="67"/>
  <c r="AU78" i="67"/>
  <c r="AT78" i="67"/>
  <c r="AS78" i="67"/>
  <c r="C78" i="67"/>
  <c r="B78" i="67"/>
  <c r="CD77" i="67"/>
  <c r="BM77" i="67"/>
  <c r="BL77" i="67"/>
  <c r="G77" i="156" s="1"/>
  <c r="BK77" i="67"/>
  <c r="BJ77" i="67"/>
  <c r="BI77" i="67"/>
  <c r="H77" i="77" s="1"/>
  <c r="BH77" i="67"/>
  <c r="BG77" i="67"/>
  <c r="H77" i="156" s="1"/>
  <c r="BF77" i="67"/>
  <c r="BE77" i="67"/>
  <c r="F77" i="155" s="1"/>
  <c r="BD77" i="67"/>
  <c r="G77" i="76" s="1"/>
  <c r="BC77" i="67"/>
  <c r="BB77" i="67"/>
  <c r="BA77" i="67"/>
  <c r="AZ77" i="67"/>
  <c r="AY77" i="67"/>
  <c r="AV77" i="67"/>
  <c r="AU77" i="67"/>
  <c r="AT77" i="67"/>
  <c r="AS77" i="67"/>
  <c r="C77" i="67"/>
  <c r="B77" i="67"/>
  <c r="CD76" i="67"/>
  <c r="BM76" i="67"/>
  <c r="BL76" i="67"/>
  <c r="G76" i="156" s="1"/>
  <c r="BK76" i="67"/>
  <c r="BJ76" i="67"/>
  <c r="BI76" i="67"/>
  <c r="H76" i="77" s="1"/>
  <c r="BH76" i="67"/>
  <c r="BG76" i="67"/>
  <c r="H76" i="156" s="1"/>
  <c r="BF76" i="67"/>
  <c r="BE76" i="67"/>
  <c r="F76" i="155" s="1"/>
  <c r="BD76" i="67"/>
  <c r="G76" i="76" s="1"/>
  <c r="BC76" i="67"/>
  <c r="BB76" i="67"/>
  <c r="BA76" i="67"/>
  <c r="AZ76" i="67"/>
  <c r="AY76" i="67"/>
  <c r="AV76" i="67"/>
  <c r="AU76" i="67"/>
  <c r="AT76" i="67"/>
  <c r="AS76" i="67"/>
  <c r="C76" i="67"/>
  <c r="B76" i="67"/>
  <c r="CD75" i="67"/>
  <c r="BM75" i="67"/>
  <c r="BL75" i="67"/>
  <c r="G75" i="156" s="1"/>
  <c r="BK75" i="67"/>
  <c r="BJ75" i="67"/>
  <c r="BI75" i="67"/>
  <c r="H75" i="77" s="1"/>
  <c r="BH75" i="67"/>
  <c r="BG75" i="67"/>
  <c r="H75" i="156" s="1"/>
  <c r="BF75" i="67"/>
  <c r="BE75" i="67"/>
  <c r="F75" i="155" s="1"/>
  <c r="BD75" i="67"/>
  <c r="G75" i="76" s="1"/>
  <c r="BC75" i="67"/>
  <c r="BB75" i="67"/>
  <c r="BA75" i="67"/>
  <c r="AZ75" i="67"/>
  <c r="AY75" i="67"/>
  <c r="AV75" i="67"/>
  <c r="AU75" i="67"/>
  <c r="AT75" i="67"/>
  <c r="AS75" i="67"/>
  <c r="C75" i="67"/>
  <c r="B75" i="67"/>
  <c r="CD74" i="67"/>
  <c r="BM74" i="67"/>
  <c r="BL74" i="67"/>
  <c r="G74" i="156" s="1"/>
  <c r="BK74" i="67"/>
  <c r="BJ74" i="67"/>
  <c r="BI74" i="67"/>
  <c r="H74" i="77" s="1"/>
  <c r="BH74" i="67"/>
  <c r="BG74" i="67"/>
  <c r="H74" i="156" s="1"/>
  <c r="BF74" i="67"/>
  <c r="BE74" i="67"/>
  <c r="F74" i="155" s="1"/>
  <c r="BD74" i="67"/>
  <c r="G74" i="76" s="1"/>
  <c r="BC74" i="67"/>
  <c r="BB74" i="67"/>
  <c r="BA74" i="67"/>
  <c r="AZ74" i="67"/>
  <c r="AY74" i="67"/>
  <c r="AV74" i="67"/>
  <c r="AU74" i="67"/>
  <c r="AT74" i="67"/>
  <c r="AS74" i="67"/>
  <c r="C74" i="67"/>
  <c r="B74" i="67"/>
  <c r="CD73" i="67"/>
  <c r="BY73" i="67"/>
  <c r="BX73" i="67"/>
  <c r="BW73" i="67"/>
  <c r="BV73" i="67"/>
  <c r="BU73" i="67"/>
  <c r="BT73" i="67"/>
  <c r="BS73" i="67"/>
  <c r="BR73" i="67"/>
  <c r="BQ73" i="67"/>
  <c r="BP73" i="67"/>
  <c r="BO73" i="67"/>
  <c r="BN73" i="67"/>
  <c r="BM73" i="67"/>
  <c r="BL73" i="67"/>
  <c r="G73" i="156" s="1"/>
  <c r="BK73" i="67"/>
  <c r="BJ73" i="67"/>
  <c r="BI73" i="67"/>
  <c r="H73" i="77" s="1"/>
  <c r="BH73" i="67"/>
  <c r="BG73" i="67"/>
  <c r="H73" i="156" s="1"/>
  <c r="BF73" i="67"/>
  <c r="BE73" i="67"/>
  <c r="F73" i="155" s="1"/>
  <c r="BD73" i="67"/>
  <c r="G73" i="76" s="1"/>
  <c r="BC73" i="67"/>
  <c r="BB73" i="67"/>
  <c r="BA73" i="67"/>
  <c r="AZ73" i="67"/>
  <c r="AY73" i="67"/>
  <c r="AV73" i="67"/>
  <c r="AU73" i="67"/>
  <c r="AT73" i="67"/>
  <c r="AS73" i="67"/>
  <c r="C73" i="67"/>
  <c r="B73" i="67"/>
  <c r="CD72" i="67"/>
  <c r="BY72" i="67"/>
  <c r="BX72" i="67"/>
  <c r="BW72" i="67"/>
  <c r="BV72" i="67"/>
  <c r="BU72" i="67"/>
  <c r="BT72" i="67"/>
  <c r="BS72" i="67"/>
  <c r="BR72" i="67"/>
  <c r="BQ72" i="67"/>
  <c r="BP72" i="67"/>
  <c r="BO72" i="67"/>
  <c r="BN72" i="67"/>
  <c r="BM72" i="67"/>
  <c r="BL72" i="67"/>
  <c r="G72" i="156" s="1"/>
  <c r="BK72" i="67"/>
  <c r="BJ72" i="67"/>
  <c r="BI72" i="67"/>
  <c r="H72" i="77" s="1"/>
  <c r="BH72" i="67"/>
  <c r="BG72" i="67"/>
  <c r="H72" i="156" s="1"/>
  <c r="BF72" i="67"/>
  <c r="BE72" i="67"/>
  <c r="F72" i="155" s="1"/>
  <c r="BD72" i="67"/>
  <c r="G72" i="76" s="1"/>
  <c r="BC72" i="67"/>
  <c r="BB72" i="67"/>
  <c r="BA72" i="67"/>
  <c r="AZ72" i="67"/>
  <c r="AY72" i="67"/>
  <c r="AV72" i="67"/>
  <c r="AU72" i="67"/>
  <c r="AT72" i="67"/>
  <c r="AS72" i="67"/>
  <c r="C72" i="67"/>
  <c r="B72" i="67"/>
  <c r="CD71" i="67"/>
  <c r="BY71" i="67"/>
  <c r="BX71" i="67"/>
  <c r="BW71" i="67"/>
  <c r="BV71" i="67"/>
  <c r="BU71" i="67"/>
  <c r="BT71" i="67"/>
  <c r="BS71" i="67"/>
  <c r="BR71" i="67"/>
  <c r="BQ71" i="67"/>
  <c r="BP71" i="67"/>
  <c r="BO71" i="67"/>
  <c r="BN71" i="67"/>
  <c r="BM71" i="67"/>
  <c r="BL71" i="67"/>
  <c r="G71" i="156" s="1"/>
  <c r="BK71" i="67"/>
  <c r="BJ71" i="67"/>
  <c r="BI71" i="67"/>
  <c r="H71" i="77" s="1"/>
  <c r="BH71" i="67"/>
  <c r="BG71" i="67"/>
  <c r="H71" i="156" s="1"/>
  <c r="BF71" i="67"/>
  <c r="BE71" i="67"/>
  <c r="F71" i="155" s="1"/>
  <c r="BD71" i="67"/>
  <c r="G71" i="76" s="1"/>
  <c r="BC71" i="67"/>
  <c r="BB71" i="67"/>
  <c r="BA71" i="67"/>
  <c r="AZ71" i="67"/>
  <c r="AY71" i="67"/>
  <c r="AV71" i="67"/>
  <c r="AU71" i="67"/>
  <c r="AT71" i="67"/>
  <c r="AS71" i="67"/>
  <c r="C71" i="67"/>
  <c r="B71" i="67"/>
  <c r="CD70" i="67"/>
  <c r="BY70" i="67"/>
  <c r="BX70" i="67"/>
  <c r="BW70" i="67"/>
  <c r="BV70" i="67"/>
  <c r="BU70" i="67"/>
  <c r="BT70" i="67"/>
  <c r="BS70" i="67"/>
  <c r="BR70" i="67"/>
  <c r="BQ70" i="67"/>
  <c r="BP70" i="67"/>
  <c r="BO70" i="67"/>
  <c r="BN70" i="67"/>
  <c r="BM70" i="67"/>
  <c r="BL70" i="67"/>
  <c r="G70" i="156" s="1"/>
  <c r="BK70" i="67"/>
  <c r="BJ70" i="67"/>
  <c r="BI70" i="67"/>
  <c r="H70" i="77" s="1"/>
  <c r="BH70" i="67"/>
  <c r="BG70" i="67"/>
  <c r="H70" i="156" s="1"/>
  <c r="BF70" i="67"/>
  <c r="BE70" i="67"/>
  <c r="F70" i="155" s="1"/>
  <c r="BD70" i="67"/>
  <c r="G70" i="76" s="1"/>
  <c r="BC70" i="67"/>
  <c r="BB70" i="67"/>
  <c r="BA70" i="67"/>
  <c r="AZ70" i="67"/>
  <c r="AY70" i="67"/>
  <c r="AV70" i="67"/>
  <c r="AU70" i="67"/>
  <c r="AT70" i="67"/>
  <c r="AS70" i="67"/>
  <c r="C70" i="67"/>
  <c r="B70" i="67"/>
  <c r="CD69" i="67"/>
  <c r="BY69" i="67"/>
  <c r="BX69" i="67"/>
  <c r="BW69" i="67"/>
  <c r="BV69" i="67"/>
  <c r="BU69" i="67"/>
  <c r="BT69" i="67"/>
  <c r="BS69" i="67"/>
  <c r="BR69" i="67"/>
  <c r="BQ69" i="67"/>
  <c r="BP69" i="67"/>
  <c r="BO69" i="67"/>
  <c r="BN69" i="67"/>
  <c r="BM69" i="67"/>
  <c r="BL69" i="67"/>
  <c r="G69" i="156" s="1"/>
  <c r="BK69" i="67"/>
  <c r="BJ69" i="67"/>
  <c r="BI69" i="67"/>
  <c r="H69" i="77" s="1"/>
  <c r="BH69" i="67"/>
  <c r="BG69" i="67"/>
  <c r="H69" i="156" s="1"/>
  <c r="BF69" i="67"/>
  <c r="BE69" i="67"/>
  <c r="F69" i="155" s="1"/>
  <c r="BD69" i="67"/>
  <c r="G69" i="76" s="1"/>
  <c r="BC69" i="67"/>
  <c r="BB69" i="67"/>
  <c r="BA69" i="67"/>
  <c r="AZ69" i="67"/>
  <c r="AY69" i="67"/>
  <c r="AV69" i="67"/>
  <c r="AU69" i="67"/>
  <c r="AT69" i="67"/>
  <c r="AS69" i="67"/>
  <c r="C69" i="67"/>
  <c r="B69" i="67"/>
  <c r="CD68" i="67"/>
  <c r="BY68" i="67"/>
  <c r="BX68" i="67"/>
  <c r="BW68" i="67"/>
  <c r="BV68" i="67"/>
  <c r="BU68" i="67"/>
  <c r="BT68" i="67"/>
  <c r="BS68" i="67"/>
  <c r="BR68" i="67"/>
  <c r="BQ68" i="67"/>
  <c r="BP68" i="67"/>
  <c r="BO68" i="67"/>
  <c r="BN68" i="67"/>
  <c r="BM68" i="67"/>
  <c r="BL68" i="67"/>
  <c r="G68" i="156" s="1"/>
  <c r="BK68" i="67"/>
  <c r="BJ68" i="67"/>
  <c r="BI68" i="67"/>
  <c r="H68" i="77" s="1"/>
  <c r="BH68" i="67"/>
  <c r="BG68" i="67"/>
  <c r="H68" i="156" s="1"/>
  <c r="BF68" i="67"/>
  <c r="BE68" i="67"/>
  <c r="F68" i="155" s="1"/>
  <c r="BD68" i="67"/>
  <c r="G68" i="76" s="1"/>
  <c r="BC68" i="67"/>
  <c r="BB68" i="67"/>
  <c r="BA68" i="67"/>
  <c r="AZ68" i="67"/>
  <c r="AY68" i="67"/>
  <c r="AV68" i="67"/>
  <c r="AU68" i="67"/>
  <c r="AT68" i="67"/>
  <c r="AS68" i="67"/>
  <c r="C68" i="67"/>
  <c r="B68" i="67"/>
  <c r="CD67" i="67"/>
  <c r="BY67" i="67"/>
  <c r="BX67" i="67"/>
  <c r="BW67" i="67"/>
  <c r="BV67" i="67"/>
  <c r="BU67" i="67"/>
  <c r="BT67" i="67"/>
  <c r="BS67" i="67"/>
  <c r="BR67" i="67"/>
  <c r="BQ67" i="67"/>
  <c r="BP67" i="67"/>
  <c r="BO67" i="67"/>
  <c r="BN67" i="67"/>
  <c r="BM67" i="67"/>
  <c r="BL67" i="67"/>
  <c r="G67" i="156" s="1"/>
  <c r="BK67" i="67"/>
  <c r="BJ67" i="67"/>
  <c r="BI67" i="67"/>
  <c r="H67" i="77" s="1"/>
  <c r="BH67" i="67"/>
  <c r="BG67" i="67"/>
  <c r="H67" i="156" s="1"/>
  <c r="BF67" i="67"/>
  <c r="BE67" i="67"/>
  <c r="F67" i="155" s="1"/>
  <c r="BD67" i="67"/>
  <c r="G67" i="76" s="1"/>
  <c r="BC67" i="67"/>
  <c r="BB67" i="67"/>
  <c r="BA67" i="67"/>
  <c r="AZ67" i="67"/>
  <c r="AY67" i="67"/>
  <c r="AV67" i="67"/>
  <c r="AU67" i="67"/>
  <c r="AT67" i="67"/>
  <c r="AS67" i="67"/>
  <c r="C67" i="67"/>
  <c r="B67" i="67"/>
  <c r="CD66" i="67"/>
  <c r="BY66" i="67"/>
  <c r="BX66" i="67"/>
  <c r="BW66" i="67"/>
  <c r="BV66" i="67"/>
  <c r="BU66" i="67"/>
  <c r="BT66" i="67"/>
  <c r="BS66" i="67"/>
  <c r="BR66" i="67"/>
  <c r="BQ66" i="67"/>
  <c r="BP66" i="67"/>
  <c r="BO66" i="67"/>
  <c r="BN66" i="67"/>
  <c r="BM66" i="67"/>
  <c r="BL66" i="67"/>
  <c r="G66" i="156" s="1"/>
  <c r="BK66" i="67"/>
  <c r="BJ66" i="67"/>
  <c r="BI66" i="67"/>
  <c r="H66" i="77" s="1"/>
  <c r="BH66" i="67"/>
  <c r="BG66" i="67"/>
  <c r="H66" i="156" s="1"/>
  <c r="BF66" i="67"/>
  <c r="BE66" i="67"/>
  <c r="F66" i="155" s="1"/>
  <c r="BD66" i="67"/>
  <c r="G66" i="76" s="1"/>
  <c r="BC66" i="67"/>
  <c r="BB66" i="67"/>
  <c r="BA66" i="67"/>
  <c r="AZ66" i="67"/>
  <c r="AY66" i="67"/>
  <c r="AV66" i="67"/>
  <c r="AU66" i="67"/>
  <c r="AT66" i="67"/>
  <c r="AS66" i="67"/>
  <c r="C66" i="67"/>
  <c r="B66" i="67"/>
  <c r="CD65" i="67"/>
  <c r="BY65" i="67"/>
  <c r="BX65" i="67"/>
  <c r="BW65" i="67"/>
  <c r="BV65" i="67"/>
  <c r="BU65" i="67"/>
  <c r="BT65" i="67"/>
  <c r="BS65" i="67"/>
  <c r="BR65" i="67"/>
  <c r="BQ65" i="67"/>
  <c r="BP65" i="67"/>
  <c r="BO65" i="67"/>
  <c r="BN65" i="67"/>
  <c r="BM65" i="67"/>
  <c r="BL65" i="67"/>
  <c r="G65" i="156" s="1"/>
  <c r="BK65" i="67"/>
  <c r="BJ65" i="67"/>
  <c r="BI65" i="67"/>
  <c r="H65" i="77" s="1"/>
  <c r="BH65" i="67"/>
  <c r="BG65" i="67"/>
  <c r="H65" i="156" s="1"/>
  <c r="BF65" i="67"/>
  <c r="BE65" i="67"/>
  <c r="F65" i="155" s="1"/>
  <c r="BD65" i="67"/>
  <c r="G65" i="76" s="1"/>
  <c r="BC65" i="67"/>
  <c r="BB65" i="67"/>
  <c r="BA65" i="67"/>
  <c r="AZ65" i="67"/>
  <c r="AY65" i="67"/>
  <c r="AV65" i="67"/>
  <c r="AU65" i="67"/>
  <c r="AT65" i="67"/>
  <c r="AS65" i="67"/>
  <c r="C65" i="67"/>
  <c r="B65" i="67"/>
  <c r="CD64" i="67"/>
  <c r="BY64" i="67"/>
  <c r="BX64" i="67"/>
  <c r="BW64" i="67"/>
  <c r="BV64" i="67"/>
  <c r="BU64" i="67"/>
  <c r="BT64" i="67"/>
  <c r="BS64" i="67"/>
  <c r="BR64" i="67"/>
  <c r="BQ64" i="67"/>
  <c r="BP64" i="67"/>
  <c r="BO64" i="67"/>
  <c r="BN64" i="67"/>
  <c r="BM64" i="67"/>
  <c r="BL64" i="67"/>
  <c r="G64" i="156" s="1"/>
  <c r="BK64" i="67"/>
  <c r="BJ64" i="67"/>
  <c r="BI64" i="67"/>
  <c r="H64" i="77" s="1"/>
  <c r="BH64" i="67"/>
  <c r="BG64" i="67"/>
  <c r="H64" i="156" s="1"/>
  <c r="BF64" i="67"/>
  <c r="BE64" i="67"/>
  <c r="F64" i="155" s="1"/>
  <c r="BD64" i="67"/>
  <c r="G64" i="76" s="1"/>
  <c r="BC64" i="67"/>
  <c r="BB64" i="67"/>
  <c r="BA64" i="67"/>
  <c r="AZ64" i="67"/>
  <c r="AY64" i="67"/>
  <c r="AV64" i="67"/>
  <c r="AU64" i="67"/>
  <c r="AT64" i="67"/>
  <c r="AS64" i="67"/>
  <c r="C64" i="67"/>
  <c r="B64" i="67"/>
  <c r="CD63" i="67"/>
  <c r="BY63" i="67"/>
  <c r="BX63" i="67"/>
  <c r="BW63" i="67"/>
  <c r="BV63" i="67"/>
  <c r="BU63" i="67"/>
  <c r="BT63" i="67"/>
  <c r="BS63" i="67"/>
  <c r="BR63" i="67"/>
  <c r="BQ63" i="67"/>
  <c r="BP63" i="67"/>
  <c r="BO63" i="67"/>
  <c r="BN63" i="67"/>
  <c r="BM63" i="67"/>
  <c r="BL63" i="67"/>
  <c r="G63" i="156" s="1"/>
  <c r="BK63" i="67"/>
  <c r="BJ63" i="67"/>
  <c r="BI63" i="67"/>
  <c r="H63" i="77" s="1"/>
  <c r="BH63" i="67"/>
  <c r="BG63" i="67"/>
  <c r="H63" i="156" s="1"/>
  <c r="BF63" i="67"/>
  <c r="BE63" i="67"/>
  <c r="F63" i="155" s="1"/>
  <c r="BD63" i="67"/>
  <c r="G63" i="76" s="1"/>
  <c r="BC63" i="67"/>
  <c r="BB63" i="67"/>
  <c r="BA63" i="67"/>
  <c r="AZ63" i="67"/>
  <c r="AY63" i="67"/>
  <c r="AV63" i="67"/>
  <c r="AU63" i="67"/>
  <c r="AT63" i="67"/>
  <c r="AS63" i="67"/>
  <c r="C63" i="67"/>
  <c r="B63" i="67"/>
  <c r="CD62" i="67"/>
  <c r="BY62" i="67"/>
  <c r="BX62" i="67"/>
  <c r="BW62" i="67"/>
  <c r="BV62" i="67"/>
  <c r="BU62" i="67"/>
  <c r="BT62" i="67"/>
  <c r="BS62" i="67"/>
  <c r="BR62" i="67"/>
  <c r="BQ62" i="67"/>
  <c r="BP62" i="67"/>
  <c r="BO62" i="67"/>
  <c r="BN62" i="67"/>
  <c r="BM62" i="67"/>
  <c r="BL62" i="67"/>
  <c r="G62" i="156" s="1"/>
  <c r="BK62" i="67"/>
  <c r="BJ62" i="67"/>
  <c r="BI62" i="67"/>
  <c r="H62" i="77" s="1"/>
  <c r="BH62" i="67"/>
  <c r="BG62" i="67"/>
  <c r="H62" i="156" s="1"/>
  <c r="BF62" i="67"/>
  <c r="BE62" i="67"/>
  <c r="F62" i="155" s="1"/>
  <c r="BD62" i="67"/>
  <c r="G62" i="76" s="1"/>
  <c r="BC62" i="67"/>
  <c r="BB62" i="67"/>
  <c r="BA62" i="67"/>
  <c r="AZ62" i="67"/>
  <c r="AY62" i="67"/>
  <c r="AV62" i="67"/>
  <c r="AU62" i="67"/>
  <c r="AT62" i="67"/>
  <c r="AS62" i="67"/>
  <c r="C62" i="67"/>
  <c r="B62" i="67"/>
  <c r="CD61" i="67"/>
  <c r="CB61" i="67"/>
  <c r="L61" i="156" s="1"/>
  <c r="CA61" i="67"/>
  <c r="BZ61" i="67"/>
  <c r="BM61" i="67"/>
  <c r="BL61" i="67"/>
  <c r="G61" i="156" s="1"/>
  <c r="BK61" i="67"/>
  <c r="BJ61" i="67"/>
  <c r="BI61" i="67"/>
  <c r="H61" i="77" s="1"/>
  <c r="BH61" i="67"/>
  <c r="BG61" i="67"/>
  <c r="H61" i="156" s="1"/>
  <c r="BF61" i="67"/>
  <c r="BE61" i="67"/>
  <c r="F61" i="155" s="1"/>
  <c r="BD61" i="67"/>
  <c r="G61" i="76" s="1"/>
  <c r="BC61" i="67"/>
  <c r="BB61" i="67"/>
  <c r="BA61" i="67"/>
  <c r="AZ61" i="67"/>
  <c r="AY61" i="67"/>
  <c r="AV61" i="67"/>
  <c r="AU61" i="67"/>
  <c r="AT61" i="67"/>
  <c r="AS61" i="67"/>
  <c r="C61" i="67"/>
  <c r="B61" i="67"/>
  <c r="CD60" i="67"/>
  <c r="CB60" i="67"/>
  <c r="L60" i="156" s="1"/>
  <c r="CA60" i="67"/>
  <c r="BZ60" i="67"/>
  <c r="BM60" i="67"/>
  <c r="BL60" i="67"/>
  <c r="G60" i="156" s="1"/>
  <c r="BK60" i="67"/>
  <c r="BJ60" i="67"/>
  <c r="BI60" i="67"/>
  <c r="H60" i="77" s="1"/>
  <c r="BH60" i="67"/>
  <c r="BG60" i="67"/>
  <c r="H60" i="156" s="1"/>
  <c r="BF60" i="67"/>
  <c r="BE60" i="67"/>
  <c r="F60" i="155" s="1"/>
  <c r="BD60" i="67"/>
  <c r="G60" i="76" s="1"/>
  <c r="BC60" i="67"/>
  <c r="BB60" i="67"/>
  <c r="BA60" i="67"/>
  <c r="AZ60" i="67"/>
  <c r="AY60" i="67"/>
  <c r="AV60" i="67"/>
  <c r="AU60" i="67"/>
  <c r="AT60" i="67"/>
  <c r="AS60" i="67"/>
  <c r="C60" i="67"/>
  <c r="B60" i="67"/>
  <c r="CD59" i="67"/>
  <c r="CB59" i="67"/>
  <c r="L59" i="156" s="1"/>
  <c r="CA59" i="67"/>
  <c r="BZ59" i="67"/>
  <c r="BM59" i="67"/>
  <c r="BL59" i="67"/>
  <c r="G59" i="156" s="1"/>
  <c r="BK59" i="67"/>
  <c r="BJ59" i="67"/>
  <c r="BI59" i="67"/>
  <c r="H59" i="77" s="1"/>
  <c r="BH59" i="67"/>
  <c r="BG59" i="67"/>
  <c r="H59" i="156" s="1"/>
  <c r="BF59" i="67"/>
  <c r="BE59" i="67"/>
  <c r="F59" i="155" s="1"/>
  <c r="BD59" i="67"/>
  <c r="G59" i="76" s="1"/>
  <c r="BC59" i="67"/>
  <c r="BB59" i="67"/>
  <c r="BA59" i="67"/>
  <c r="AZ59" i="67"/>
  <c r="AY59" i="67"/>
  <c r="AV59" i="67"/>
  <c r="AU59" i="67"/>
  <c r="AT59" i="67"/>
  <c r="AS59" i="67"/>
  <c r="C59" i="67"/>
  <c r="B59" i="67"/>
  <c r="CD58" i="67"/>
  <c r="CB58" i="67"/>
  <c r="L58" i="156" s="1"/>
  <c r="CA58" i="67"/>
  <c r="BZ58" i="67"/>
  <c r="BM58" i="67"/>
  <c r="BL58" i="67"/>
  <c r="G58" i="156" s="1"/>
  <c r="BK58" i="67"/>
  <c r="BJ58" i="67"/>
  <c r="BI58" i="67"/>
  <c r="H58" i="77" s="1"/>
  <c r="BH58" i="67"/>
  <c r="BG58" i="67"/>
  <c r="H58" i="156" s="1"/>
  <c r="BF58" i="67"/>
  <c r="BE58" i="67"/>
  <c r="F58" i="155" s="1"/>
  <c r="BD58" i="67"/>
  <c r="G58" i="76" s="1"/>
  <c r="BC58" i="67"/>
  <c r="BB58" i="67"/>
  <c r="BA58" i="67"/>
  <c r="AZ58" i="67"/>
  <c r="AY58" i="67"/>
  <c r="AV58" i="67"/>
  <c r="AU58" i="67"/>
  <c r="AT58" i="67"/>
  <c r="AS58" i="67"/>
  <c r="C58" i="67"/>
  <c r="B58" i="67"/>
  <c r="CD57" i="67"/>
  <c r="CB57" i="67"/>
  <c r="L57" i="156" s="1"/>
  <c r="CA57" i="67"/>
  <c r="BZ57" i="67"/>
  <c r="BM57" i="67"/>
  <c r="BL57" i="67"/>
  <c r="G57" i="156" s="1"/>
  <c r="BK57" i="67"/>
  <c r="BJ57" i="67"/>
  <c r="BI57" i="67"/>
  <c r="H57" i="77" s="1"/>
  <c r="BH57" i="67"/>
  <c r="BG57" i="67"/>
  <c r="H57" i="156" s="1"/>
  <c r="BF57" i="67"/>
  <c r="BE57" i="67"/>
  <c r="F57" i="155" s="1"/>
  <c r="BD57" i="67"/>
  <c r="G57" i="76" s="1"/>
  <c r="BC57" i="67"/>
  <c r="BB57" i="67"/>
  <c r="BA57" i="67"/>
  <c r="AZ57" i="67"/>
  <c r="AY57" i="67"/>
  <c r="AV57" i="67"/>
  <c r="AU57" i="67"/>
  <c r="AT57" i="67"/>
  <c r="AS57" i="67"/>
  <c r="C57" i="67"/>
  <c r="B57" i="67"/>
  <c r="CD56" i="67"/>
  <c r="CB56" i="67"/>
  <c r="L56" i="156" s="1"/>
  <c r="CA56" i="67"/>
  <c r="BZ56" i="67"/>
  <c r="BM56" i="67"/>
  <c r="BL56" i="67"/>
  <c r="G56" i="156" s="1"/>
  <c r="BK56" i="67"/>
  <c r="BJ56" i="67"/>
  <c r="BI56" i="67"/>
  <c r="H56" i="77" s="1"/>
  <c r="BH56" i="67"/>
  <c r="BG56" i="67"/>
  <c r="H56" i="156" s="1"/>
  <c r="BF56" i="67"/>
  <c r="BE56" i="67"/>
  <c r="F56" i="155" s="1"/>
  <c r="BD56" i="67"/>
  <c r="G56" i="76" s="1"/>
  <c r="BC56" i="67"/>
  <c r="BB56" i="67"/>
  <c r="BA56" i="67"/>
  <c r="AZ56" i="67"/>
  <c r="AY56" i="67"/>
  <c r="AV56" i="67"/>
  <c r="AU56" i="67"/>
  <c r="AT56" i="67"/>
  <c r="AS56" i="67"/>
  <c r="C56" i="67"/>
  <c r="B56" i="67"/>
  <c r="CD55" i="67"/>
  <c r="CB55" i="67"/>
  <c r="L55" i="156" s="1"/>
  <c r="CA55" i="67"/>
  <c r="BZ55" i="67"/>
  <c r="BM55" i="67"/>
  <c r="BL55" i="67"/>
  <c r="G55" i="156" s="1"/>
  <c r="BK55" i="67"/>
  <c r="BJ55" i="67"/>
  <c r="BI55" i="67"/>
  <c r="H55" i="77" s="1"/>
  <c r="BH55" i="67"/>
  <c r="BG55" i="67"/>
  <c r="H55" i="156" s="1"/>
  <c r="BF55" i="67"/>
  <c r="BE55" i="67"/>
  <c r="F55" i="155" s="1"/>
  <c r="BD55" i="67"/>
  <c r="G55" i="76" s="1"/>
  <c r="BC55" i="67"/>
  <c r="BB55" i="67"/>
  <c r="BA55" i="67"/>
  <c r="AZ55" i="67"/>
  <c r="AY55" i="67"/>
  <c r="AV55" i="67"/>
  <c r="AU55" i="67"/>
  <c r="AT55" i="67"/>
  <c r="AS55" i="67"/>
  <c r="C55" i="67"/>
  <c r="B55" i="67"/>
  <c r="CD54" i="67"/>
  <c r="CB54" i="67"/>
  <c r="L54" i="156" s="1"/>
  <c r="CA54" i="67"/>
  <c r="BZ54" i="67"/>
  <c r="BM54" i="67"/>
  <c r="BL54" i="67"/>
  <c r="G54" i="156" s="1"/>
  <c r="BK54" i="67"/>
  <c r="BJ54" i="67"/>
  <c r="BI54" i="67"/>
  <c r="H54" i="77" s="1"/>
  <c r="BH54" i="67"/>
  <c r="BG54" i="67"/>
  <c r="H54" i="156" s="1"/>
  <c r="BF54" i="67"/>
  <c r="BE54" i="67"/>
  <c r="F54" i="155" s="1"/>
  <c r="BD54" i="67"/>
  <c r="G54" i="76" s="1"/>
  <c r="BC54" i="67"/>
  <c r="BB54" i="67"/>
  <c r="BA54" i="67"/>
  <c r="AZ54" i="67"/>
  <c r="AY54" i="67"/>
  <c r="AV54" i="67"/>
  <c r="AU54" i="67"/>
  <c r="AT54" i="67"/>
  <c r="AS54" i="67"/>
  <c r="C54" i="67"/>
  <c r="B54" i="67"/>
  <c r="CD53" i="67"/>
  <c r="CB53" i="67"/>
  <c r="L53" i="156" s="1"/>
  <c r="CA53" i="67"/>
  <c r="BZ53" i="67"/>
  <c r="BM53" i="67"/>
  <c r="BL53" i="67"/>
  <c r="G53" i="156" s="1"/>
  <c r="BK53" i="67"/>
  <c r="BJ53" i="67"/>
  <c r="BI53" i="67"/>
  <c r="H53" i="77" s="1"/>
  <c r="BH53" i="67"/>
  <c r="BG53" i="67"/>
  <c r="H53" i="156" s="1"/>
  <c r="BF53" i="67"/>
  <c r="BE53" i="67"/>
  <c r="F53" i="155" s="1"/>
  <c r="BD53" i="67"/>
  <c r="G53" i="76" s="1"/>
  <c r="BC53" i="67"/>
  <c r="BB53" i="67"/>
  <c r="BA53" i="67"/>
  <c r="AZ53" i="67"/>
  <c r="AY53" i="67"/>
  <c r="AV53" i="67"/>
  <c r="AU53" i="67"/>
  <c r="AT53" i="67"/>
  <c r="AS53" i="67"/>
  <c r="C53" i="67"/>
  <c r="B53" i="67"/>
  <c r="CD52" i="67"/>
  <c r="CB52" i="67"/>
  <c r="L52" i="156" s="1"/>
  <c r="CA52" i="67"/>
  <c r="BZ52" i="67"/>
  <c r="BM52" i="67"/>
  <c r="BL52" i="67"/>
  <c r="G52" i="156" s="1"/>
  <c r="BK52" i="67"/>
  <c r="BJ52" i="67"/>
  <c r="BI52" i="67"/>
  <c r="H52" i="77" s="1"/>
  <c r="BH52" i="67"/>
  <c r="BG52" i="67"/>
  <c r="H52" i="156" s="1"/>
  <c r="BF52" i="67"/>
  <c r="BE52" i="67"/>
  <c r="F52" i="155" s="1"/>
  <c r="BD52" i="67"/>
  <c r="G52" i="76" s="1"/>
  <c r="BC52" i="67"/>
  <c r="BB52" i="67"/>
  <c r="BA52" i="67"/>
  <c r="AZ52" i="67"/>
  <c r="AY52" i="67"/>
  <c r="AV52" i="67"/>
  <c r="AU52" i="67"/>
  <c r="AT52" i="67"/>
  <c r="AS52" i="67"/>
  <c r="C52" i="67"/>
  <c r="B52" i="67"/>
  <c r="CD51" i="67"/>
  <c r="CB51" i="67"/>
  <c r="L51" i="156" s="1"/>
  <c r="CA51" i="67"/>
  <c r="BZ51" i="67"/>
  <c r="BM51" i="67"/>
  <c r="BL51" i="67"/>
  <c r="G51" i="156" s="1"/>
  <c r="BK51" i="67"/>
  <c r="BJ51" i="67"/>
  <c r="BI51" i="67"/>
  <c r="H51" i="77" s="1"/>
  <c r="BH51" i="67"/>
  <c r="BG51" i="67"/>
  <c r="H51" i="156" s="1"/>
  <c r="BF51" i="67"/>
  <c r="BE51" i="67"/>
  <c r="F51" i="155" s="1"/>
  <c r="BD51" i="67"/>
  <c r="G51" i="76" s="1"/>
  <c r="BC51" i="67"/>
  <c r="BB51" i="67"/>
  <c r="BA51" i="67"/>
  <c r="AZ51" i="67"/>
  <c r="AY51" i="67"/>
  <c r="AV51" i="67"/>
  <c r="AU51" i="67"/>
  <c r="AT51" i="67"/>
  <c r="AS51" i="67"/>
  <c r="C51" i="67"/>
  <c r="B51" i="67"/>
  <c r="CD50" i="67"/>
  <c r="CB50" i="67"/>
  <c r="L50" i="156" s="1"/>
  <c r="CA50" i="67"/>
  <c r="BZ50" i="67"/>
  <c r="BM50" i="67"/>
  <c r="BL50" i="67"/>
  <c r="G50" i="156" s="1"/>
  <c r="BK50" i="67"/>
  <c r="BJ50" i="67"/>
  <c r="BI50" i="67"/>
  <c r="H50" i="77" s="1"/>
  <c r="BH50" i="67"/>
  <c r="BG50" i="67"/>
  <c r="H50" i="156" s="1"/>
  <c r="BF50" i="67"/>
  <c r="BE50" i="67"/>
  <c r="F50" i="155" s="1"/>
  <c r="BD50" i="67"/>
  <c r="G50" i="76" s="1"/>
  <c r="BC50" i="67"/>
  <c r="BB50" i="67"/>
  <c r="BA50" i="67"/>
  <c r="AZ50" i="67"/>
  <c r="AY50" i="67"/>
  <c r="AV50" i="67"/>
  <c r="AU50" i="67"/>
  <c r="AT50" i="67"/>
  <c r="AS50" i="67"/>
  <c r="C50" i="67"/>
  <c r="B50" i="67"/>
  <c r="BM49" i="67"/>
  <c r="BL49" i="67"/>
  <c r="G49" i="156" s="1"/>
  <c r="BK49" i="67"/>
  <c r="BJ49" i="67"/>
  <c r="BI49" i="67"/>
  <c r="H49" i="77" s="1"/>
  <c r="BH49" i="67"/>
  <c r="BG49" i="67"/>
  <c r="H49" i="156" s="1"/>
  <c r="BF49" i="67"/>
  <c r="BE49" i="67"/>
  <c r="F49" i="155" s="1"/>
  <c r="BD49" i="67"/>
  <c r="G49" i="76" s="1"/>
  <c r="BC49" i="67"/>
  <c r="BB49" i="67"/>
  <c r="BA49" i="67"/>
  <c r="AZ49" i="67"/>
  <c r="AY49" i="67"/>
  <c r="AV49" i="67"/>
  <c r="AU49" i="67"/>
  <c r="AT49" i="67"/>
  <c r="AS49" i="67"/>
  <c r="C49" i="67"/>
  <c r="B49" i="67"/>
  <c r="BM48" i="67"/>
  <c r="BL48" i="67"/>
  <c r="G48" i="156" s="1"/>
  <c r="BK48" i="67"/>
  <c r="BJ48" i="67"/>
  <c r="BI48" i="67"/>
  <c r="H48" i="77" s="1"/>
  <c r="BH48" i="67"/>
  <c r="BG48" i="67"/>
  <c r="H48" i="156" s="1"/>
  <c r="BF48" i="67"/>
  <c r="BE48" i="67"/>
  <c r="F48" i="155" s="1"/>
  <c r="BD48" i="67"/>
  <c r="G48" i="76" s="1"/>
  <c r="BC48" i="67"/>
  <c r="BB48" i="67"/>
  <c r="BA48" i="67"/>
  <c r="AZ48" i="67"/>
  <c r="AY48" i="67"/>
  <c r="AV48" i="67"/>
  <c r="AU48" i="67"/>
  <c r="AT48" i="67"/>
  <c r="AS48" i="67"/>
  <c r="C48" i="67"/>
  <c r="B48" i="67"/>
  <c r="BM47" i="67"/>
  <c r="BL47" i="67"/>
  <c r="G47" i="156" s="1"/>
  <c r="BK47" i="67"/>
  <c r="BJ47" i="67"/>
  <c r="BI47" i="67"/>
  <c r="H47" i="77" s="1"/>
  <c r="BH47" i="67"/>
  <c r="BG47" i="67"/>
  <c r="H47" i="156" s="1"/>
  <c r="BF47" i="67"/>
  <c r="BE47" i="67"/>
  <c r="F47" i="155" s="1"/>
  <c r="BD47" i="67"/>
  <c r="G47" i="76" s="1"/>
  <c r="BC47" i="67"/>
  <c r="BB47" i="67"/>
  <c r="BA47" i="67"/>
  <c r="AZ47" i="67"/>
  <c r="AY47" i="67"/>
  <c r="AV47" i="67"/>
  <c r="AU47" i="67"/>
  <c r="AT47" i="67"/>
  <c r="AS47" i="67"/>
  <c r="C47" i="67"/>
  <c r="B47" i="67"/>
  <c r="BM46" i="67"/>
  <c r="BL46" i="67"/>
  <c r="G46" i="156" s="1"/>
  <c r="BK46" i="67"/>
  <c r="BJ46" i="67"/>
  <c r="BI46" i="67"/>
  <c r="H46" i="77" s="1"/>
  <c r="BH46" i="67"/>
  <c r="BG46" i="67"/>
  <c r="H46" i="156" s="1"/>
  <c r="BF46" i="67"/>
  <c r="BE46" i="67"/>
  <c r="F46" i="155" s="1"/>
  <c r="BD46" i="67"/>
  <c r="G46" i="76" s="1"/>
  <c r="BC46" i="67"/>
  <c r="BB46" i="67"/>
  <c r="BA46" i="67"/>
  <c r="AZ46" i="67"/>
  <c r="AY46" i="67"/>
  <c r="AV46" i="67"/>
  <c r="AU46" i="67"/>
  <c r="AT46" i="67"/>
  <c r="AS46" i="67"/>
  <c r="C46" i="67"/>
  <c r="B46" i="67"/>
  <c r="BM45" i="67"/>
  <c r="BL45" i="67"/>
  <c r="G45" i="156" s="1"/>
  <c r="BK45" i="67"/>
  <c r="BJ45" i="67"/>
  <c r="BI45" i="67"/>
  <c r="H45" i="77" s="1"/>
  <c r="BH45" i="67"/>
  <c r="BG45" i="67"/>
  <c r="H45" i="156" s="1"/>
  <c r="BF45" i="67"/>
  <c r="BE45" i="67"/>
  <c r="F45" i="155" s="1"/>
  <c r="BD45" i="67"/>
  <c r="G45" i="76" s="1"/>
  <c r="BC45" i="67"/>
  <c r="BB45" i="67"/>
  <c r="BA45" i="67"/>
  <c r="AZ45" i="67"/>
  <c r="AY45" i="67"/>
  <c r="AV45" i="67"/>
  <c r="AU45" i="67"/>
  <c r="AT45" i="67"/>
  <c r="AS45" i="67"/>
  <c r="C45" i="67"/>
  <c r="B45" i="67"/>
  <c r="BM44" i="67"/>
  <c r="BL44" i="67"/>
  <c r="G44" i="156" s="1"/>
  <c r="BK44" i="67"/>
  <c r="BJ44" i="67"/>
  <c r="BI44" i="67"/>
  <c r="H44" i="77" s="1"/>
  <c r="BH44" i="67"/>
  <c r="BG44" i="67"/>
  <c r="H44" i="156" s="1"/>
  <c r="BF44" i="67"/>
  <c r="BE44" i="67"/>
  <c r="F44" i="155" s="1"/>
  <c r="BD44" i="67"/>
  <c r="G44" i="76" s="1"/>
  <c r="BC44" i="67"/>
  <c r="BB44" i="67"/>
  <c r="BA44" i="67"/>
  <c r="AZ44" i="67"/>
  <c r="AY44" i="67"/>
  <c r="AV44" i="67"/>
  <c r="AU44" i="67"/>
  <c r="AT44" i="67"/>
  <c r="AS44" i="67"/>
  <c r="C44" i="67"/>
  <c r="B44" i="67"/>
  <c r="BM43" i="67"/>
  <c r="BL43" i="67"/>
  <c r="G43" i="156" s="1"/>
  <c r="BK43" i="67"/>
  <c r="BJ43" i="67"/>
  <c r="BI43" i="67"/>
  <c r="H43" i="77" s="1"/>
  <c r="BH43" i="67"/>
  <c r="BG43" i="67"/>
  <c r="H43" i="156" s="1"/>
  <c r="BF43" i="67"/>
  <c r="BE43" i="67"/>
  <c r="F43" i="155" s="1"/>
  <c r="BD43" i="67"/>
  <c r="G43" i="76" s="1"/>
  <c r="BC43" i="67"/>
  <c r="BB43" i="67"/>
  <c r="BA43" i="67"/>
  <c r="AZ43" i="67"/>
  <c r="AY43" i="67"/>
  <c r="AV43" i="67"/>
  <c r="AU43" i="67"/>
  <c r="AT43" i="67"/>
  <c r="AS43" i="67"/>
  <c r="C43" i="67"/>
  <c r="B43" i="67"/>
  <c r="BM42" i="67"/>
  <c r="BL42" i="67"/>
  <c r="G42" i="156" s="1"/>
  <c r="BK42" i="67"/>
  <c r="BJ42" i="67"/>
  <c r="BI42" i="67"/>
  <c r="H42" i="77" s="1"/>
  <c r="BH42" i="67"/>
  <c r="BG42" i="67"/>
  <c r="H42" i="156" s="1"/>
  <c r="BF42" i="67"/>
  <c r="BE42" i="67"/>
  <c r="F42" i="155" s="1"/>
  <c r="BD42" i="67"/>
  <c r="G42" i="76" s="1"/>
  <c r="BC42" i="67"/>
  <c r="BB42" i="67"/>
  <c r="BA42" i="67"/>
  <c r="AZ42" i="67"/>
  <c r="AY42" i="67"/>
  <c r="AV42" i="67"/>
  <c r="AU42" i="67"/>
  <c r="AT42" i="67"/>
  <c r="AS42" i="67"/>
  <c r="C42" i="67"/>
  <c r="B42" i="67"/>
  <c r="BM41" i="67"/>
  <c r="BL41" i="67"/>
  <c r="G41" i="156" s="1"/>
  <c r="BK41" i="67"/>
  <c r="BJ41" i="67"/>
  <c r="BI41" i="67"/>
  <c r="H41" i="77" s="1"/>
  <c r="BH41" i="67"/>
  <c r="BG41" i="67"/>
  <c r="H41" i="156" s="1"/>
  <c r="BF41" i="67"/>
  <c r="BE41" i="67"/>
  <c r="F41" i="155" s="1"/>
  <c r="BD41" i="67"/>
  <c r="G41" i="76" s="1"/>
  <c r="BC41" i="67"/>
  <c r="BB41" i="67"/>
  <c r="BA41" i="67"/>
  <c r="AZ41" i="67"/>
  <c r="AY41" i="67"/>
  <c r="AV41" i="67"/>
  <c r="AU41" i="67"/>
  <c r="AT41" i="67"/>
  <c r="AS41" i="67"/>
  <c r="C41" i="67"/>
  <c r="B41" i="67"/>
  <c r="BM40" i="67"/>
  <c r="BL40" i="67"/>
  <c r="G40" i="156" s="1"/>
  <c r="BK40" i="67"/>
  <c r="BJ40" i="67"/>
  <c r="BI40" i="67"/>
  <c r="H40" i="77" s="1"/>
  <c r="BH40" i="67"/>
  <c r="BG40" i="67"/>
  <c r="H40" i="156" s="1"/>
  <c r="BF40" i="67"/>
  <c r="BE40" i="67"/>
  <c r="F40" i="155" s="1"/>
  <c r="BD40" i="67"/>
  <c r="G40" i="76" s="1"/>
  <c r="BC40" i="67"/>
  <c r="BB40" i="67"/>
  <c r="BA40" i="67"/>
  <c r="AZ40" i="67"/>
  <c r="AY40" i="67"/>
  <c r="AV40" i="67"/>
  <c r="AU40" i="67"/>
  <c r="AT40" i="67"/>
  <c r="AS40" i="67"/>
  <c r="C40" i="67"/>
  <c r="B40" i="67"/>
  <c r="BM39" i="67"/>
  <c r="BL39" i="67"/>
  <c r="G39" i="156" s="1"/>
  <c r="BK39" i="67"/>
  <c r="BJ39" i="67"/>
  <c r="BI39" i="67"/>
  <c r="H39" i="77" s="1"/>
  <c r="BH39" i="67"/>
  <c r="BG39" i="67"/>
  <c r="H39" i="156" s="1"/>
  <c r="BF39" i="67"/>
  <c r="BE39" i="67"/>
  <c r="F39" i="155" s="1"/>
  <c r="BD39" i="67"/>
  <c r="G39" i="76" s="1"/>
  <c r="BC39" i="67"/>
  <c r="BB39" i="67"/>
  <c r="BA39" i="67"/>
  <c r="AZ39" i="67"/>
  <c r="AY39" i="67"/>
  <c r="AV39" i="67"/>
  <c r="AU39" i="67"/>
  <c r="AT39" i="67"/>
  <c r="AS39" i="67"/>
  <c r="C39" i="67"/>
  <c r="B39" i="67"/>
  <c r="BM38" i="67"/>
  <c r="BL38" i="67"/>
  <c r="G38" i="156" s="1"/>
  <c r="BK38" i="67"/>
  <c r="BJ38" i="67"/>
  <c r="BI38" i="67"/>
  <c r="H38" i="77" s="1"/>
  <c r="BH38" i="67"/>
  <c r="BG38" i="67"/>
  <c r="H38" i="156" s="1"/>
  <c r="BF38" i="67"/>
  <c r="BE38" i="67"/>
  <c r="F38" i="155" s="1"/>
  <c r="BD38" i="67"/>
  <c r="G38" i="76" s="1"/>
  <c r="BC38" i="67"/>
  <c r="BB38" i="67"/>
  <c r="BA38" i="67"/>
  <c r="AZ38" i="67"/>
  <c r="AY38" i="67"/>
  <c r="AV38" i="67"/>
  <c r="AU38" i="67"/>
  <c r="AT38" i="67"/>
  <c r="AS38" i="67"/>
  <c r="C38" i="67"/>
  <c r="B38" i="67"/>
  <c r="BM37" i="67"/>
  <c r="BL37" i="67"/>
  <c r="G37" i="156" s="1"/>
  <c r="BK37" i="67"/>
  <c r="BJ37" i="67"/>
  <c r="BI37" i="67"/>
  <c r="H37" i="77" s="1"/>
  <c r="BH37" i="67"/>
  <c r="BG37" i="67"/>
  <c r="H37" i="156" s="1"/>
  <c r="BF37" i="67"/>
  <c r="BE37" i="67"/>
  <c r="F37" i="155" s="1"/>
  <c r="BD37" i="67"/>
  <c r="G37" i="76" s="1"/>
  <c r="BC37" i="67"/>
  <c r="BB37" i="67"/>
  <c r="BA37" i="67"/>
  <c r="AZ37" i="67"/>
  <c r="AY37" i="67"/>
  <c r="AV37" i="67"/>
  <c r="AU37" i="67"/>
  <c r="AT37" i="67"/>
  <c r="AS37" i="67"/>
  <c r="C37" i="67"/>
  <c r="B37" i="67"/>
  <c r="BM36" i="67"/>
  <c r="BL36" i="67"/>
  <c r="G36" i="156" s="1"/>
  <c r="BK36" i="67"/>
  <c r="BJ36" i="67"/>
  <c r="BI36" i="67"/>
  <c r="H36" i="77" s="1"/>
  <c r="BH36" i="67"/>
  <c r="BG36" i="67"/>
  <c r="H36" i="156" s="1"/>
  <c r="BF36" i="67"/>
  <c r="BE36" i="67"/>
  <c r="F36" i="155" s="1"/>
  <c r="BD36" i="67"/>
  <c r="G36" i="76" s="1"/>
  <c r="BC36" i="67"/>
  <c r="BB36" i="67"/>
  <c r="BA36" i="67"/>
  <c r="AZ36" i="67"/>
  <c r="AY36" i="67"/>
  <c r="AV36" i="67"/>
  <c r="AU36" i="67"/>
  <c r="AT36" i="67"/>
  <c r="AS36" i="67"/>
  <c r="C36" i="67"/>
  <c r="B36" i="67"/>
  <c r="BM35" i="67"/>
  <c r="BL35" i="67"/>
  <c r="G35" i="156" s="1"/>
  <c r="BK35" i="67"/>
  <c r="BJ35" i="67"/>
  <c r="BI35" i="67"/>
  <c r="H35" i="77" s="1"/>
  <c r="BH35" i="67"/>
  <c r="BG35" i="67"/>
  <c r="H35" i="156" s="1"/>
  <c r="BF35" i="67"/>
  <c r="BE35" i="67"/>
  <c r="F35" i="155" s="1"/>
  <c r="BD35" i="67"/>
  <c r="G35" i="76" s="1"/>
  <c r="BC35" i="67"/>
  <c r="BB35" i="67"/>
  <c r="BA35" i="67"/>
  <c r="AZ35" i="67"/>
  <c r="AY35" i="67"/>
  <c r="AV35" i="67"/>
  <c r="AU35" i="67"/>
  <c r="AT35" i="67"/>
  <c r="AS35" i="67"/>
  <c r="C35" i="67"/>
  <c r="B35" i="67"/>
  <c r="BM34" i="67"/>
  <c r="BL34" i="67"/>
  <c r="G34" i="156" s="1"/>
  <c r="BK34" i="67"/>
  <c r="BJ34" i="67"/>
  <c r="BI34" i="67"/>
  <c r="H34" i="77" s="1"/>
  <c r="BH34" i="67"/>
  <c r="BG34" i="67"/>
  <c r="H34" i="156" s="1"/>
  <c r="BF34" i="67"/>
  <c r="BE34" i="67"/>
  <c r="F34" i="155" s="1"/>
  <c r="BD34" i="67"/>
  <c r="G34" i="76" s="1"/>
  <c r="BC34" i="67"/>
  <c r="BB34" i="67"/>
  <c r="BA34" i="67"/>
  <c r="AZ34" i="67"/>
  <c r="AY34" i="67"/>
  <c r="AV34" i="67"/>
  <c r="AU34" i="67"/>
  <c r="AT34" i="67"/>
  <c r="AS34" i="67"/>
  <c r="C34" i="67"/>
  <c r="B34" i="67"/>
  <c r="BM33" i="67"/>
  <c r="BL33" i="67"/>
  <c r="G33" i="156" s="1"/>
  <c r="BK33" i="67"/>
  <c r="BJ33" i="67"/>
  <c r="BI33" i="67"/>
  <c r="H33" i="77" s="1"/>
  <c r="BH33" i="67"/>
  <c r="BG33" i="67"/>
  <c r="H33" i="156" s="1"/>
  <c r="BF33" i="67"/>
  <c r="BE33" i="67"/>
  <c r="F33" i="155" s="1"/>
  <c r="BD33" i="67"/>
  <c r="G33" i="76" s="1"/>
  <c r="BC33" i="67"/>
  <c r="BB33" i="67"/>
  <c r="BA33" i="67"/>
  <c r="AZ33" i="67"/>
  <c r="AY33" i="67"/>
  <c r="AV33" i="67"/>
  <c r="AU33" i="67"/>
  <c r="AT33" i="67"/>
  <c r="AS33" i="67"/>
  <c r="C33" i="67"/>
  <c r="B33" i="67"/>
  <c r="BM32" i="67"/>
  <c r="BL32" i="67"/>
  <c r="G32" i="156" s="1"/>
  <c r="BK32" i="67"/>
  <c r="BJ32" i="67"/>
  <c r="BI32" i="67"/>
  <c r="H32" i="77" s="1"/>
  <c r="BH32" i="67"/>
  <c r="BG32" i="67"/>
  <c r="H32" i="156" s="1"/>
  <c r="BF32" i="67"/>
  <c r="BE32" i="67"/>
  <c r="F32" i="155" s="1"/>
  <c r="BD32" i="67"/>
  <c r="G32" i="76" s="1"/>
  <c r="BC32" i="67"/>
  <c r="BB32" i="67"/>
  <c r="BA32" i="67"/>
  <c r="AZ32" i="67"/>
  <c r="AY32" i="67"/>
  <c r="AV32" i="67"/>
  <c r="AU32" i="67"/>
  <c r="AT32" i="67"/>
  <c r="AS32" i="67"/>
  <c r="C32" i="67"/>
  <c r="B32" i="67"/>
  <c r="BM31" i="67"/>
  <c r="BL31" i="67"/>
  <c r="G31" i="156" s="1"/>
  <c r="BK31" i="67"/>
  <c r="BJ31" i="67"/>
  <c r="BI31" i="67"/>
  <c r="H31" i="77" s="1"/>
  <c r="BH31" i="67"/>
  <c r="BG31" i="67"/>
  <c r="H31" i="156" s="1"/>
  <c r="BF31" i="67"/>
  <c r="BE31" i="67"/>
  <c r="F31" i="155" s="1"/>
  <c r="BD31" i="67"/>
  <c r="G31" i="76" s="1"/>
  <c r="BC31" i="67"/>
  <c r="BB31" i="67"/>
  <c r="BA31" i="67"/>
  <c r="AZ31" i="67"/>
  <c r="AY31" i="67"/>
  <c r="AV31" i="67"/>
  <c r="AU31" i="67"/>
  <c r="AT31" i="67"/>
  <c r="AS31" i="67"/>
  <c r="C31" i="67"/>
  <c r="B31" i="67"/>
  <c r="BM30" i="67"/>
  <c r="BL30" i="67"/>
  <c r="G30" i="156" s="1"/>
  <c r="BK30" i="67"/>
  <c r="BJ30" i="67"/>
  <c r="BI30" i="67"/>
  <c r="H30" i="77" s="1"/>
  <c r="BH30" i="67"/>
  <c r="BG30" i="67"/>
  <c r="H30" i="156" s="1"/>
  <c r="BF30" i="67"/>
  <c r="BE30" i="67"/>
  <c r="F30" i="155" s="1"/>
  <c r="BD30" i="67"/>
  <c r="G30" i="76" s="1"/>
  <c r="BC30" i="67"/>
  <c r="BB30" i="67"/>
  <c r="BA30" i="67"/>
  <c r="AZ30" i="67"/>
  <c r="AY30" i="67"/>
  <c r="AV30" i="67"/>
  <c r="AU30" i="67"/>
  <c r="AT30" i="67"/>
  <c r="AS30" i="67"/>
  <c r="C30" i="67"/>
  <c r="B30" i="67"/>
  <c r="BM29" i="67"/>
  <c r="BL29" i="67"/>
  <c r="G29" i="156" s="1"/>
  <c r="BK29" i="67"/>
  <c r="BJ29" i="67"/>
  <c r="BI29" i="67"/>
  <c r="H29" i="77" s="1"/>
  <c r="BH29" i="67"/>
  <c r="BG29" i="67"/>
  <c r="H29" i="156" s="1"/>
  <c r="BF29" i="67"/>
  <c r="BE29" i="67"/>
  <c r="F29" i="155" s="1"/>
  <c r="BD29" i="67"/>
  <c r="G29" i="76" s="1"/>
  <c r="BC29" i="67"/>
  <c r="BB29" i="67"/>
  <c r="BA29" i="67"/>
  <c r="AZ29" i="67"/>
  <c r="AY29" i="67"/>
  <c r="AV29" i="67"/>
  <c r="AU29" i="67"/>
  <c r="AT29" i="67"/>
  <c r="AS29" i="67"/>
  <c r="C29" i="67"/>
  <c r="B29" i="67"/>
  <c r="BM28" i="67"/>
  <c r="BL28" i="67"/>
  <c r="G28" i="156" s="1"/>
  <c r="BK28" i="67"/>
  <c r="BJ28" i="67"/>
  <c r="BI28" i="67"/>
  <c r="H28" i="77" s="1"/>
  <c r="BH28" i="67"/>
  <c r="BG28" i="67"/>
  <c r="H28" i="156" s="1"/>
  <c r="BF28" i="67"/>
  <c r="BE28" i="67"/>
  <c r="F28" i="155" s="1"/>
  <c r="BD28" i="67"/>
  <c r="G28" i="76" s="1"/>
  <c r="BC28" i="67"/>
  <c r="BB28" i="67"/>
  <c r="BA28" i="67"/>
  <c r="AZ28" i="67"/>
  <c r="AY28" i="67"/>
  <c r="AV28" i="67"/>
  <c r="AU28" i="67"/>
  <c r="AT28" i="67"/>
  <c r="AS28" i="67"/>
  <c r="C28" i="67"/>
  <c r="B28" i="67"/>
  <c r="BM27" i="67"/>
  <c r="BL27" i="67"/>
  <c r="G27" i="156" s="1"/>
  <c r="BK27" i="67"/>
  <c r="BJ27" i="67"/>
  <c r="BI27" i="67"/>
  <c r="H27" i="77" s="1"/>
  <c r="BH27" i="67"/>
  <c r="BG27" i="67"/>
  <c r="H27" i="156" s="1"/>
  <c r="BF27" i="67"/>
  <c r="BE27" i="67"/>
  <c r="F27" i="155" s="1"/>
  <c r="BD27" i="67"/>
  <c r="G27" i="76" s="1"/>
  <c r="BC27" i="67"/>
  <c r="BB27" i="67"/>
  <c r="BA27" i="67"/>
  <c r="AZ27" i="67"/>
  <c r="AY27" i="67"/>
  <c r="AV27" i="67"/>
  <c r="AU27" i="67"/>
  <c r="AT27" i="67"/>
  <c r="AS27" i="67"/>
  <c r="C27" i="67"/>
  <c r="B27" i="67"/>
  <c r="BM26" i="67"/>
  <c r="BL26" i="67"/>
  <c r="G26" i="156" s="1"/>
  <c r="BK26" i="67"/>
  <c r="BJ26" i="67"/>
  <c r="BI26" i="67"/>
  <c r="H26" i="77" s="1"/>
  <c r="BH26" i="67"/>
  <c r="BG26" i="67"/>
  <c r="H26" i="156" s="1"/>
  <c r="BF26" i="67"/>
  <c r="BE26" i="67"/>
  <c r="F26" i="155" s="1"/>
  <c r="BD26" i="67"/>
  <c r="G26" i="76" s="1"/>
  <c r="BC26" i="67"/>
  <c r="BB26" i="67"/>
  <c r="BA26" i="67"/>
  <c r="AZ26" i="67"/>
  <c r="AY26" i="67"/>
  <c r="AV26" i="67"/>
  <c r="AU26" i="67"/>
  <c r="AT26" i="67"/>
  <c r="AS26" i="67"/>
  <c r="C26" i="67"/>
  <c r="B26" i="67"/>
  <c r="BM25" i="67"/>
  <c r="BL25" i="67"/>
  <c r="G25" i="156" s="1"/>
  <c r="BK25" i="67"/>
  <c r="BJ25" i="67"/>
  <c r="BI25" i="67"/>
  <c r="H25" i="77" s="1"/>
  <c r="BH25" i="67"/>
  <c r="BG25" i="67"/>
  <c r="H25" i="156" s="1"/>
  <c r="BF25" i="67"/>
  <c r="BE25" i="67"/>
  <c r="F25" i="155" s="1"/>
  <c r="BD25" i="67"/>
  <c r="G25" i="76" s="1"/>
  <c r="BC25" i="67"/>
  <c r="BB25" i="67"/>
  <c r="BA25" i="67"/>
  <c r="AZ25" i="67"/>
  <c r="AY25" i="67"/>
  <c r="AV25" i="67"/>
  <c r="AU25" i="67"/>
  <c r="AT25" i="67"/>
  <c r="AS25" i="67"/>
  <c r="C25" i="67"/>
  <c r="B25" i="67"/>
  <c r="BM24" i="67"/>
  <c r="BL24" i="67"/>
  <c r="G24" i="156" s="1"/>
  <c r="BK24" i="67"/>
  <c r="BJ24" i="67"/>
  <c r="BI24" i="67"/>
  <c r="H24" i="77" s="1"/>
  <c r="BH24" i="67"/>
  <c r="BG24" i="67"/>
  <c r="H24" i="156" s="1"/>
  <c r="BF24" i="67"/>
  <c r="BE24" i="67"/>
  <c r="F24" i="155" s="1"/>
  <c r="BD24" i="67"/>
  <c r="G24" i="76" s="1"/>
  <c r="BC24" i="67"/>
  <c r="BB24" i="67"/>
  <c r="BA24" i="67"/>
  <c r="AZ24" i="67"/>
  <c r="AY24" i="67"/>
  <c r="AV24" i="67"/>
  <c r="AU24" i="67"/>
  <c r="AT24" i="67"/>
  <c r="AS24" i="67"/>
  <c r="C24" i="67"/>
  <c r="B24" i="67"/>
  <c r="BM23" i="67"/>
  <c r="BL23" i="67"/>
  <c r="G23" i="156" s="1"/>
  <c r="BK23" i="67"/>
  <c r="BJ23" i="67"/>
  <c r="BI23" i="67"/>
  <c r="H23" i="77" s="1"/>
  <c r="BH23" i="67"/>
  <c r="BG23" i="67"/>
  <c r="H23" i="156" s="1"/>
  <c r="BF23" i="67"/>
  <c r="BE23" i="67"/>
  <c r="F23" i="155" s="1"/>
  <c r="BD23" i="67"/>
  <c r="G23" i="76" s="1"/>
  <c r="BC23" i="67"/>
  <c r="BB23" i="67"/>
  <c r="BA23" i="67"/>
  <c r="AZ23" i="67"/>
  <c r="AY23" i="67"/>
  <c r="AV23" i="67"/>
  <c r="AU23" i="67"/>
  <c r="AT23" i="67"/>
  <c r="AS23" i="67"/>
  <c r="C23" i="67"/>
  <c r="B23" i="67"/>
  <c r="BM22" i="67"/>
  <c r="BL22" i="67"/>
  <c r="G22" i="156" s="1"/>
  <c r="BK22" i="67"/>
  <c r="BJ22" i="67"/>
  <c r="BI22" i="67"/>
  <c r="H22" i="77" s="1"/>
  <c r="BH22" i="67"/>
  <c r="BG22" i="67"/>
  <c r="H22" i="156" s="1"/>
  <c r="BF22" i="67"/>
  <c r="BE22" i="67"/>
  <c r="F22" i="155" s="1"/>
  <c r="BD22" i="67"/>
  <c r="G22" i="76" s="1"/>
  <c r="BC22" i="67"/>
  <c r="BB22" i="67"/>
  <c r="BA22" i="67"/>
  <c r="AZ22" i="67"/>
  <c r="AY22" i="67"/>
  <c r="AV22" i="67"/>
  <c r="AU22" i="67"/>
  <c r="AT22" i="67"/>
  <c r="AS22" i="67"/>
  <c r="C22" i="67"/>
  <c r="B22" i="67"/>
  <c r="BM21" i="67"/>
  <c r="BL21" i="67"/>
  <c r="G21" i="156" s="1"/>
  <c r="BK21" i="67"/>
  <c r="BJ21" i="67"/>
  <c r="BI21" i="67"/>
  <c r="H21" i="77" s="1"/>
  <c r="BH21" i="67"/>
  <c r="BG21" i="67"/>
  <c r="H21" i="156" s="1"/>
  <c r="BF21" i="67"/>
  <c r="BE21" i="67"/>
  <c r="F21" i="155" s="1"/>
  <c r="BD21" i="67"/>
  <c r="G21" i="76" s="1"/>
  <c r="BC21" i="67"/>
  <c r="BB21" i="67"/>
  <c r="BA21" i="67"/>
  <c r="AZ21" i="67"/>
  <c r="AY21" i="67"/>
  <c r="AV21" i="67"/>
  <c r="AU21" i="67"/>
  <c r="AT21" i="67"/>
  <c r="AS21" i="67"/>
  <c r="C21" i="67"/>
  <c r="B21" i="67"/>
  <c r="BM20" i="67"/>
  <c r="BL20" i="67"/>
  <c r="G20" i="156" s="1"/>
  <c r="BK20" i="67"/>
  <c r="BJ20" i="67"/>
  <c r="BI20" i="67"/>
  <c r="H20" i="77" s="1"/>
  <c r="BH20" i="67"/>
  <c r="BG20" i="67"/>
  <c r="H20" i="156" s="1"/>
  <c r="BF20" i="67"/>
  <c r="BE20" i="67"/>
  <c r="F20" i="155" s="1"/>
  <c r="BD20" i="67"/>
  <c r="G20" i="76" s="1"/>
  <c r="BC20" i="67"/>
  <c r="BB20" i="67"/>
  <c r="BA20" i="67"/>
  <c r="AZ20" i="67"/>
  <c r="AY20" i="67"/>
  <c r="AV20" i="67"/>
  <c r="AU20" i="67"/>
  <c r="AT20" i="67"/>
  <c r="AS20" i="67"/>
  <c r="C20" i="67"/>
  <c r="B20" i="67"/>
  <c r="BM19" i="67"/>
  <c r="BL19" i="67"/>
  <c r="G19" i="156" s="1"/>
  <c r="BK19" i="67"/>
  <c r="BJ19" i="67"/>
  <c r="BI19" i="67"/>
  <c r="H19" i="77" s="1"/>
  <c r="BH19" i="67"/>
  <c r="BG19" i="67"/>
  <c r="H19" i="156" s="1"/>
  <c r="BF19" i="67"/>
  <c r="BE19" i="67"/>
  <c r="F19" i="155" s="1"/>
  <c r="BD19" i="67"/>
  <c r="G19" i="76" s="1"/>
  <c r="BC19" i="67"/>
  <c r="BB19" i="67"/>
  <c r="BA19" i="67"/>
  <c r="AZ19" i="67"/>
  <c r="AY19" i="67"/>
  <c r="AV19" i="67"/>
  <c r="AU19" i="67"/>
  <c r="AT19" i="67"/>
  <c r="AS19" i="67"/>
  <c r="C19" i="67"/>
  <c r="B19" i="67"/>
  <c r="BM18" i="67"/>
  <c r="BL18" i="67"/>
  <c r="G18" i="156" s="1"/>
  <c r="BK18" i="67"/>
  <c r="BJ18" i="67"/>
  <c r="BI18" i="67"/>
  <c r="H18" i="77" s="1"/>
  <c r="BH18" i="67"/>
  <c r="BG18" i="67"/>
  <c r="H18" i="156" s="1"/>
  <c r="BF18" i="67"/>
  <c r="BE18" i="67"/>
  <c r="F18" i="155" s="1"/>
  <c r="BD18" i="67"/>
  <c r="G18" i="76" s="1"/>
  <c r="BC18" i="67"/>
  <c r="BB18" i="67"/>
  <c r="BA18" i="67"/>
  <c r="AZ18" i="67"/>
  <c r="AY18" i="67"/>
  <c r="AV18" i="67"/>
  <c r="AU18" i="67"/>
  <c r="AT18" i="67"/>
  <c r="AS18" i="67"/>
  <c r="C18" i="67"/>
  <c r="B18" i="67"/>
  <c r="BM17" i="67"/>
  <c r="BL17" i="67"/>
  <c r="G17" i="156" s="1"/>
  <c r="BK17" i="67"/>
  <c r="BJ17" i="67"/>
  <c r="BI17" i="67"/>
  <c r="H17" i="77" s="1"/>
  <c r="BH17" i="67"/>
  <c r="BG17" i="67"/>
  <c r="H17" i="156" s="1"/>
  <c r="BF17" i="67"/>
  <c r="BE17" i="67"/>
  <c r="F17" i="155" s="1"/>
  <c r="BD17" i="67"/>
  <c r="G17" i="76" s="1"/>
  <c r="BC17" i="67"/>
  <c r="BB17" i="67"/>
  <c r="BA17" i="67"/>
  <c r="AZ17" i="67"/>
  <c r="AY17" i="67"/>
  <c r="AV17" i="67"/>
  <c r="AU17" i="67"/>
  <c r="AT17" i="67"/>
  <c r="AS17" i="67"/>
  <c r="C17" i="67"/>
  <c r="B17" i="67"/>
  <c r="BM16" i="67"/>
  <c r="BL16" i="67"/>
  <c r="G16" i="156" s="1"/>
  <c r="BK16" i="67"/>
  <c r="BJ16" i="67"/>
  <c r="BI16" i="67"/>
  <c r="H16" i="77" s="1"/>
  <c r="BH16" i="67"/>
  <c r="BG16" i="67"/>
  <c r="H16" i="156" s="1"/>
  <c r="BF16" i="67"/>
  <c r="BE16" i="67"/>
  <c r="F16" i="155" s="1"/>
  <c r="BD16" i="67"/>
  <c r="G16" i="76" s="1"/>
  <c r="BC16" i="67"/>
  <c r="BB16" i="67"/>
  <c r="BA16" i="67"/>
  <c r="AZ16" i="67"/>
  <c r="AY16" i="67"/>
  <c r="AV16" i="67"/>
  <c r="AU16" i="67"/>
  <c r="AT16" i="67"/>
  <c r="AS16" i="67"/>
  <c r="C16" i="67"/>
  <c r="B16" i="67"/>
  <c r="BM15" i="67"/>
  <c r="BL15" i="67"/>
  <c r="G15" i="156" s="1"/>
  <c r="BK15" i="67"/>
  <c r="BJ15" i="67"/>
  <c r="BI15" i="67"/>
  <c r="H15" i="77" s="1"/>
  <c r="BH15" i="67"/>
  <c r="BG15" i="67"/>
  <c r="H15" i="156" s="1"/>
  <c r="BF15" i="67"/>
  <c r="BE15" i="67"/>
  <c r="F15" i="155" s="1"/>
  <c r="BD15" i="67"/>
  <c r="G15" i="76" s="1"/>
  <c r="BC15" i="67"/>
  <c r="BB15" i="67"/>
  <c r="BA15" i="67"/>
  <c r="AZ15" i="67"/>
  <c r="AY15" i="67"/>
  <c r="AV15" i="67"/>
  <c r="AU15" i="67"/>
  <c r="AT15" i="67"/>
  <c r="AS15" i="67"/>
  <c r="C15" i="67"/>
  <c r="B15" i="67"/>
  <c r="BM14" i="67"/>
  <c r="BL14" i="67"/>
  <c r="G14" i="156" s="1"/>
  <c r="BK14" i="67"/>
  <c r="BJ14" i="67"/>
  <c r="BI14" i="67"/>
  <c r="H14" i="77" s="1"/>
  <c r="BH14" i="67"/>
  <c r="BG14" i="67"/>
  <c r="H14" i="156" s="1"/>
  <c r="BF14" i="67"/>
  <c r="BE14" i="67"/>
  <c r="F14" i="155" s="1"/>
  <c r="L14" i="155" s="1"/>
  <c r="BD14" i="67"/>
  <c r="G14" i="76" s="1"/>
  <c r="BC14" i="67"/>
  <c r="BB14" i="67"/>
  <c r="BA14" i="67"/>
  <c r="AZ14" i="67"/>
  <c r="AY14" i="67"/>
  <c r="AV14" i="67"/>
  <c r="AU14" i="67"/>
  <c r="AT14" i="67"/>
  <c r="AS14" i="67"/>
  <c r="C14" i="67"/>
  <c r="B14" i="67"/>
  <c r="BM13" i="67"/>
  <c r="BL13" i="67"/>
  <c r="G13" i="156" s="1"/>
  <c r="BK13" i="67"/>
  <c r="BJ13" i="67"/>
  <c r="BI13" i="67"/>
  <c r="H13" i="77" s="1"/>
  <c r="BH13" i="67"/>
  <c r="BG13" i="67"/>
  <c r="H13" i="156" s="1"/>
  <c r="BF13" i="67"/>
  <c r="BE13" i="67"/>
  <c r="F13" i="155" s="1"/>
  <c r="BD13" i="67"/>
  <c r="G13" i="76" s="1"/>
  <c r="BC13" i="67"/>
  <c r="BB13" i="67"/>
  <c r="BA13" i="67"/>
  <c r="AZ13" i="67"/>
  <c r="AY13" i="67"/>
  <c r="AV13" i="67"/>
  <c r="AU13" i="67"/>
  <c r="AT13" i="67"/>
  <c r="AS13" i="67"/>
  <c r="C13" i="67"/>
  <c r="B13" i="67"/>
  <c r="BM12" i="67"/>
  <c r="BL12" i="67"/>
  <c r="G12" i="156" s="1"/>
  <c r="BK12" i="67"/>
  <c r="BJ12" i="67"/>
  <c r="BI12" i="67"/>
  <c r="H12" i="77" s="1"/>
  <c r="BH12" i="67"/>
  <c r="BG12" i="67"/>
  <c r="H12" i="156" s="1"/>
  <c r="BF12" i="67"/>
  <c r="BE12" i="67"/>
  <c r="F12" i="155" s="1"/>
  <c r="BD12" i="67"/>
  <c r="G12" i="76" s="1"/>
  <c r="BC12" i="67"/>
  <c r="BB12" i="67"/>
  <c r="BA12" i="67"/>
  <c r="AZ12" i="67"/>
  <c r="AY12" i="67"/>
  <c r="AV12" i="67"/>
  <c r="AU12" i="67"/>
  <c r="AT12" i="67"/>
  <c r="AS12" i="67"/>
  <c r="C12" i="67"/>
  <c r="B12" i="67"/>
  <c r="BM11" i="67"/>
  <c r="BL11" i="67"/>
  <c r="G11" i="156" s="1"/>
  <c r="BK11" i="67"/>
  <c r="BJ11" i="67"/>
  <c r="BI11" i="67"/>
  <c r="H11" i="77" s="1"/>
  <c r="BH11" i="67"/>
  <c r="BG11" i="67"/>
  <c r="H11" i="156" s="1"/>
  <c r="BF11" i="67"/>
  <c r="BE11" i="67"/>
  <c r="F11" i="155" s="1"/>
  <c r="BD11" i="67"/>
  <c r="G11" i="76" s="1"/>
  <c r="BC11" i="67"/>
  <c r="BB11" i="67"/>
  <c r="BA11" i="67"/>
  <c r="AZ11" i="67"/>
  <c r="AY11" i="67"/>
  <c r="AV11" i="67"/>
  <c r="AU11" i="67"/>
  <c r="AT11" i="67"/>
  <c r="AS11" i="67"/>
  <c r="C11" i="67"/>
  <c r="B11" i="67"/>
  <c r="BM10" i="67"/>
  <c r="BL10" i="67"/>
  <c r="G10" i="156" s="1"/>
  <c r="BK10" i="67"/>
  <c r="BJ10" i="67"/>
  <c r="BI10" i="67"/>
  <c r="H10" i="77" s="1"/>
  <c r="BH10" i="67"/>
  <c r="BG10" i="67"/>
  <c r="H10" i="156" s="1"/>
  <c r="BF10" i="67"/>
  <c r="BE10" i="67"/>
  <c r="F10" i="155" s="1"/>
  <c r="BD10" i="67"/>
  <c r="G10" i="76" s="1"/>
  <c r="BC10" i="67"/>
  <c r="BB10" i="67"/>
  <c r="BA10" i="67"/>
  <c r="AZ10" i="67"/>
  <c r="AY10" i="67"/>
  <c r="AV10" i="67"/>
  <c r="AU10" i="67"/>
  <c r="AT10" i="67"/>
  <c r="AS10" i="67"/>
  <c r="C10" i="67"/>
  <c r="B10" i="67"/>
  <c r="BM9" i="67"/>
  <c r="BL9" i="67"/>
  <c r="G9" i="156" s="1"/>
  <c r="BK9" i="67"/>
  <c r="BJ9" i="67"/>
  <c r="BI9" i="67"/>
  <c r="H9" i="77" s="1"/>
  <c r="BH9" i="67"/>
  <c r="BG9" i="67"/>
  <c r="H9" i="156" s="1"/>
  <c r="BF9" i="67"/>
  <c r="BE9" i="67"/>
  <c r="F9" i="155" s="1"/>
  <c r="BD9" i="67"/>
  <c r="G9" i="76" s="1"/>
  <c r="BC9" i="67"/>
  <c r="BB9" i="67"/>
  <c r="BA9" i="67"/>
  <c r="AZ9" i="67"/>
  <c r="AY9" i="67"/>
  <c r="AV9" i="67"/>
  <c r="AU9" i="67"/>
  <c r="AT9" i="67"/>
  <c r="AS9" i="67"/>
  <c r="C9" i="67"/>
  <c r="B9" i="67"/>
  <c r="BM8" i="67"/>
  <c r="BL8" i="67"/>
  <c r="G8" i="156" s="1"/>
  <c r="BK8" i="67"/>
  <c r="BJ8" i="67"/>
  <c r="BI8" i="67"/>
  <c r="H8" i="77" s="1"/>
  <c r="BH8" i="67"/>
  <c r="BG8" i="67"/>
  <c r="H8" i="156" s="1"/>
  <c r="BF8" i="67"/>
  <c r="BE8" i="67"/>
  <c r="F8" i="155" s="1"/>
  <c r="BD8" i="67"/>
  <c r="G8" i="76" s="1"/>
  <c r="BC8" i="67"/>
  <c r="BB8" i="67"/>
  <c r="BA8" i="67"/>
  <c r="AZ8" i="67"/>
  <c r="AY8" i="67"/>
  <c r="AV8" i="67"/>
  <c r="AU8" i="67"/>
  <c r="AT8" i="67"/>
  <c r="AS8" i="67"/>
  <c r="C8" i="67"/>
  <c r="B8" i="67"/>
  <c r="BM7" i="67"/>
  <c r="BL7" i="67"/>
  <c r="G7" i="156" s="1"/>
  <c r="BK7" i="67"/>
  <c r="BJ7" i="67"/>
  <c r="BI7" i="67"/>
  <c r="H7" i="77" s="1"/>
  <c r="BH7" i="67"/>
  <c r="BG7" i="67"/>
  <c r="H7" i="156" s="1"/>
  <c r="BF7" i="67"/>
  <c r="BE7" i="67"/>
  <c r="F7" i="155" s="1"/>
  <c r="BD7" i="67"/>
  <c r="G7" i="76" s="1"/>
  <c r="BC7" i="67"/>
  <c r="BB7" i="67"/>
  <c r="BA7" i="67"/>
  <c r="AZ7" i="67"/>
  <c r="AY7" i="67"/>
  <c r="AV7" i="67"/>
  <c r="AU7" i="67"/>
  <c r="AT7" i="67"/>
  <c r="AS7" i="67"/>
  <c r="C7" i="67"/>
  <c r="B7" i="67"/>
  <c r="BM6" i="67"/>
  <c r="BL6" i="67"/>
  <c r="G6" i="156" s="1"/>
  <c r="BK6" i="67"/>
  <c r="BJ6" i="67"/>
  <c r="BI6" i="67"/>
  <c r="H6" i="77" s="1"/>
  <c r="BH6" i="67"/>
  <c r="BG6" i="67"/>
  <c r="H6" i="156" s="1"/>
  <c r="BF6" i="67"/>
  <c r="BE6" i="67"/>
  <c r="F6" i="155" s="1"/>
  <c r="BD6" i="67"/>
  <c r="G6" i="76" s="1"/>
  <c r="BC6" i="67"/>
  <c r="BB6" i="67"/>
  <c r="BA6" i="67"/>
  <c r="AZ6" i="67"/>
  <c r="AY6" i="67"/>
  <c r="AV6" i="67"/>
  <c r="AU6" i="67"/>
  <c r="AT6" i="67"/>
  <c r="AS6" i="67"/>
  <c r="C6" i="67"/>
  <c r="B6" i="67"/>
  <c r="BM5" i="67"/>
  <c r="BL5" i="67"/>
  <c r="G5" i="156" s="1"/>
  <c r="BK5" i="67"/>
  <c r="BJ5" i="67"/>
  <c r="BI5" i="67"/>
  <c r="H5" i="77" s="1"/>
  <c r="BH5" i="67"/>
  <c r="BG5" i="67"/>
  <c r="H5" i="156" s="1"/>
  <c r="BF5" i="67"/>
  <c r="BE5" i="67"/>
  <c r="F5" i="155" s="1"/>
  <c r="BD5" i="67"/>
  <c r="G5" i="76" s="1"/>
  <c r="BC5" i="67"/>
  <c r="BB5" i="67"/>
  <c r="BA5" i="67"/>
  <c r="AZ5" i="67"/>
  <c r="AY5" i="67"/>
  <c r="AV5" i="67"/>
  <c r="AU5" i="67"/>
  <c r="AT5" i="67"/>
  <c r="AS5" i="67"/>
  <c r="C5" i="67"/>
  <c r="B5" i="67"/>
  <c r="BM4" i="67"/>
  <c r="BL4" i="67"/>
  <c r="G4" i="156" s="1"/>
  <c r="BK4" i="67"/>
  <c r="BJ4" i="67"/>
  <c r="BI4" i="67"/>
  <c r="H4" i="77" s="1"/>
  <c r="BH4" i="67"/>
  <c r="BG4" i="67"/>
  <c r="H4" i="156" s="1"/>
  <c r="BF4" i="67"/>
  <c r="BE4" i="67"/>
  <c r="F4" i="155" s="1"/>
  <c r="BD4" i="67"/>
  <c r="G4" i="76" s="1"/>
  <c r="BC4" i="67"/>
  <c r="BB4" i="67"/>
  <c r="BA4" i="67"/>
  <c r="AZ4" i="67"/>
  <c r="AY4" i="67"/>
  <c r="AV4" i="67"/>
  <c r="AU4" i="67"/>
  <c r="AT4" i="67"/>
  <c r="AS4" i="67"/>
  <c r="C4" i="67"/>
  <c r="B4" i="67"/>
  <c r="BM3" i="67"/>
  <c r="BL3" i="67"/>
  <c r="G3" i="156" s="1"/>
  <c r="BK3" i="67"/>
  <c r="BJ3" i="67"/>
  <c r="BI3" i="67"/>
  <c r="H3" i="77" s="1"/>
  <c r="BH3" i="67"/>
  <c r="BG3" i="67"/>
  <c r="H3" i="156" s="1"/>
  <c r="BF3" i="67"/>
  <c r="BE3" i="67"/>
  <c r="F3" i="155" s="1"/>
  <c r="BD3" i="67"/>
  <c r="G3" i="76" s="1"/>
  <c r="BC3" i="67"/>
  <c r="BB3" i="67"/>
  <c r="BA3" i="67"/>
  <c r="AZ3" i="67"/>
  <c r="AY3" i="67"/>
  <c r="AV3" i="67"/>
  <c r="AU3" i="67"/>
  <c r="AT3" i="67"/>
  <c r="AS3" i="67"/>
  <c r="C3" i="67"/>
  <c r="B3" i="67"/>
  <c r="BM2" i="67"/>
  <c r="BL2" i="67"/>
  <c r="G2" i="156" s="1"/>
  <c r="BK2" i="67"/>
  <c r="BJ2" i="67"/>
  <c r="BI2" i="67"/>
  <c r="H2" i="77" s="1"/>
  <c r="BH2" i="67"/>
  <c r="BG2" i="67"/>
  <c r="H2" i="156" s="1"/>
  <c r="BF2" i="67"/>
  <c r="BE2" i="67"/>
  <c r="F2" i="155" s="1"/>
  <c r="BD2" i="67"/>
  <c r="G2" i="76" s="1"/>
  <c r="BC2" i="67"/>
  <c r="BB2" i="67"/>
  <c r="BA2" i="67"/>
  <c r="AZ2" i="67"/>
  <c r="AY2" i="67"/>
  <c r="AV2" i="67"/>
  <c r="AU2" i="67"/>
  <c r="AT2" i="67"/>
  <c r="AS2" i="67"/>
  <c r="C2" i="67"/>
  <c r="B2" i="67"/>
  <c r="G15" i="77" l="1"/>
  <c r="E15" i="32"/>
  <c r="G28" i="77"/>
  <c r="E28" i="32"/>
  <c r="G44" i="77"/>
  <c r="E44" i="32"/>
  <c r="G52" i="77"/>
  <c r="E52" i="32"/>
  <c r="J61" i="156"/>
  <c r="J61" i="76"/>
  <c r="I61" i="155"/>
  <c r="I61" i="36"/>
  <c r="P61" i="36" s="1"/>
  <c r="I61" i="32"/>
  <c r="P61" i="32" s="1"/>
  <c r="G65" i="77"/>
  <c r="E65" i="32"/>
  <c r="I69" i="155"/>
  <c r="J69" i="156"/>
  <c r="J69" i="76"/>
  <c r="I69" i="36"/>
  <c r="P69" i="36" s="1"/>
  <c r="I69" i="32"/>
  <c r="P69" i="32" s="1"/>
  <c r="G73" i="77"/>
  <c r="E73" i="32"/>
  <c r="J77" i="156"/>
  <c r="J125" i="156" s="1"/>
  <c r="S125" i="156" s="1"/>
  <c r="J77" i="76"/>
  <c r="J125" i="76" s="1"/>
  <c r="I77" i="155"/>
  <c r="I125" i="155" s="1"/>
  <c r="O125" i="155" s="1"/>
  <c r="I77" i="36"/>
  <c r="I77" i="32"/>
  <c r="P77" i="32" s="1"/>
  <c r="G79" i="77"/>
  <c r="E79" i="32"/>
  <c r="J85" i="156"/>
  <c r="J133" i="156" s="1"/>
  <c r="S133" i="156" s="1"/>
  <c r="I85" i="155"/>
  <c r="I133" i="155" s="1"/>
  <c r="O133" i="155" s="1"/>
  <c r="I85" i="36"/>
  <c r="J85" i="76"/>
  <c r="J133" i="76" s="1"/>
  <c r="I85" i="32"/>
  <c r="P85" i="32" s="1"/>
  <c r="G87" i="77"/>
  <c r="E87" i="32"/>
  <c r="G91" i="77"/>
  <c r="E91" i="32"/>
  <c r="J93" i="156"/>
  <c r="J141" i="156" s="1"/>
  <c r="S141" i="156" s="1"/>
  <c r="I93" i="155"/>
  <c r="I141" i="155" s="1"/>
  <c r="O141" i="155" s="1"/>
  <c r="J93" i="76"/>
  <c r="J141" i="76" s="1"/>
  <c r="I93" i="36"/>
  <c r="I93" i="32"/>
  <c r="P93" i="32" s="1"/>
  <c r="G100" i="77"/>
  <c r="E100" i="32"/>
  <c r="G12" i="77"/>
  <c r="E12" i="32"/>
  <c r="G9" i="77"/>
  <c r="E9" i="32"/>
  <c r="G25" i="77"/>
  <c r="E25" i="32"/>
  <c r="G41" i="77"/>
  <c r="E41" i="32"/>
  <c r="I54" i="155"/>
  <c r="J54" i="156"/>
  <c r="J54" i="76"/>
  <c r="I54" i="36"/>
  <c r="P54" i="36" s="1"/>
  <c r="I54" i="32"/>
  <c r="P54" i="32" s="1"/>
  <c r="G61" i="77"/>
  <c r="E61" i="32"/>
  <c r="E101" i="32"/>
  <c r="G101" i="77"/>
  <c r="G22" i="77"/>
  <c r="E22" i="32"/>
  <c r="G38" i="77"/>
  <c r="E38" i="32"/>
  <c r="G54" i="77"/>
  <c r="E54" i="32"/>
  <c r="J62" i="156"/>
  <c r="I62" i="155"/>
  <c r="J62" i="76"/>
  <c r="I62" i="36"/>
  <c r="P62" i="36" s="1"/>
  <c r="I62" i="32"/>
  <c r="P62" i="32" s="1"/>
  <c r="G66" i="77"/>
  <c r="E66" i="32"/>
  <c r="J70" i="156"/>
  <c r="J70" i="76"/>
  <c r="I70" i="155"/>
  <c r="I70" i="36"/>
  <c r="P70" i="36" s="1"/>
  <c r="I70" i="32"/>
  <c r="P70" i="32" s="1"/>
  <c r="G74" i="77"/>
  <c r="E74" i="32"/>
  <c r="I80" i="155"/>
  <c r="I128" i="155" s="1"/>
  <c r="O128" i="155" s="1"/>
  <c r="J80" i="156"/>
  <c r="J128" i="156" s="1"/>
  <c r="S128" i="156" s="1"/>
  <c r="J80" i="76"/>
  <c r="J128" i="76" s="1"/>
  <c r="I80" i="36"/>
  <c r="I80" i="32"/>
  <c r="P80" i="32" s="1"/>
  <c r="G82" i="77"/>
  <c r="E82" i="32"/>
  <c r="I88" i="155"/>
  <c r="I136" i="155" s="1"/>
  <c r="O136" i="155" s="1"/>
  <c r="J88" i="156"/>
  <c r="J136" i="156" s="1"/>
  <c r="S136" i="156" s="1"/>
  <c r="J88" i="76"/>
  <c r="J136" i="76" s="1"/>
  <c r="I88" i="36"/>
  <c r="I88" i="32"/>
  <c r="P88" i="32" s="1"/>
  <c r="G92" i="77"/>
  <c r="E92" i="32"/>
  <c r="J94" i="156"/>
  <c r="J142" i="156" s="1"/>
  <c r="S142" i="156" s="1"/>
  <c r="I94" i="155"/>
  <c r="I142" i="155" s="1"/>
  <c r="O142" i="155" s="1"/>
  <c r="I94" i="36"/>
  <c r="I94" i="32"/>
  <c r="P94" i="32" s="1"/>
  <c r="J94" i="76"/>
  <c r="J142" i="76" s="1"/>
  <c r="G102" i="77"/>
  <c r="E102" i="32"/>
  <c r="G6" i="77"/>
  <c r="E6" i="32"/>
  <c r="G35" i="77"/>
  <c r="E35" i="32"/>
  <c r="J56" i="156"/>
  <c r="J56" i="76"/>
  <c r="I56" i="155"/>
  <c r="I56" i="36"/>
  <c r="P56" i="36" s="1"/>
  <c r="I56" i="32"/>
  <c r="P56" i="32" s="1"/>
  <c r="G103" i="77"/>
  <c r="E103" i="32"/>
  <c r="G3" i="77"/>
  <c r="E3" i="32"/>
  <c r="E32" i="32"/>
  <c r="G32" i="77"/>
  <c r="G48" i="77"/>
  <c r="E48" i="32"/>
  <c r="G56" i="77"/>
  <c r="E56" i="32"/>
  <c r="J63" i="156"/>
  <c r="I63" i="155"/>
  <c r="J63" i="76"/>
  <c r="I63" i="36"/>
  <c r="P63" i="36" s="1"/>
  <c r="I63" i="32"/>
  <c r="P63" i="32" s="1"/>
  <c r="G67" i="77"/>
  <c r="E67" i="32"/>
  <c r="I71" i="155"/>
  <c r="J71" i="156"/>
  <c r="J71" i="76"/>
  <c r="I71" i="36"/>
  <c r="P71" i="36" s="1"/>
  <c r="I71" i="32"/>
  <c r="P71" i="32" s="1"/>
  <c r="J75" i="156"/>
  <c r="J123" i="156" s="1"/>
  <c r="S123" i="156" s="1"/>
  <c r="I75" i="155"/>
  <c r="I123" i="155" s="1"/>
  <c r="O123" i="155" s="1"/>
  <c r="J75" i="76"/>
  <c r="J123" i="76" s="1"/>
  <c r="I75" i="36"/>
  <c r="I75" i="32"/>
  <c r="P75" i="32" s="1"/>
  <c r="G77" i="77"/>
  <c r="E77" i="32"/>
  <c r="I83" i="155"/>
  <c r="I131" i="155" s="1"/>
  <c r="O131" i="155" s="1"/>
  <c r="J83" i="156"/>
  <c r="J131" i="156" s="1"/>
  <c r="S131" i="156" s="1"/>
  <c r="J83" i="76"/>
  <c r="J131" i="76" s="1"/>
  <c r="I83" i="36"/>
  <c r="I83" i="32"/>
  <c r="P83" i="32" s="1"/>
  <c r="G85" i="77"/>
  <c r="E85" i="32"/>
  <c r="G93" i="77"/>
  <c r="E93" i="32"/>
  <c r="J95" i="156"/>
  <c r="J143" i="156" s="1"/>
  <c r="S143" i="156" s="1"/>
  <c r="I95" i="155"/>
  <c r="I143" i="155" s="1"/>
  <c r="O143" i="155" s="1"/>
  <c r="I95" i="36"/>
  <c r="J95" i="76"/>
  <c r="J143" i="76" s="1"/>
  <c r="I95" i="32"/>
  <c r="P95" i="32" s="1"/>
  <c r="G104" i="77"/>
  <c r="E104" i="32"/>
  <c r="E16" i="32"/>
  <c r="G16" i="77"/>
  <c r="G45" i="77"/>
  <c r="E45" i="32"/>
  <c r="J58" i="156"/>
  <c r="J58" i="76"/>
  <c r="I58" i="155"/>
  <c r="I58" i="32"/>
  <c r="P58" i="32" s="1"/>
  <c r="I58" i="36"/>
  <c r="P58" i="36" s="1"/>
  <c r="G105" i="77"/>
  <c r="E105" i="32"/>
  <c r="U13" i="57"/>
  <c r="U9" i="57"/>
  <c r="L14" i="57"/>
  <c r="AJ47" i="17"/>
  <c r="L10" i="57"/>
  <c r="AU48" i="17"/>
  <c r="U14" i="57"/>
  <c r="U10" i="57"/>
  <c r="AU49" i="17"/>
  <c r="U5" i="57"/>
  <c r="L11" i="57"/>
  <c r="AJ48" i="17"/>
  <c r="L6" i="57"/>
  <c r="AU50" i="17"/>
  <c r="U11" i="57"/>
  <c r="AU47" i="17"/>
  <c r="L12" i="57"/>
  <c r="AJ50" i="17"/>
  <c r="L5" i="57"/>
  <c r="L7" i="57"/>
  <c r="U6" i="57"/>
  <c r="AU51" i="17"/>
  <c r="L8" i="57"/>
  <c r="U12" i="57"/>
  <c r="U7" i="57"/>
  <c r="L13" i="57"/>
  <c r="AU52" i="17"/>
  <c r="U8" i="57"/>
  <c r="AJ54" i="17"/>
  <c r="AJ52" i="17"/>
  <c r="AJ51" i="17"/>
  <c r="AJ49" i="17"/>
  <c r="AJ53" i="17"/>
  <c r="AU53" i="17"/>
  <c r="AJ55" i="17"/>
  <c r="AU54" i="17"/>
  <c r="AJ56" i="17"/>
  <c r="AU55" i="17"/>
  <c r="AU56" i="17"/>
  <c r="BL14" i="17"/>
  <c r="AK13" i="57"/>
  <c r="AK9" i="57"/>
  <c r="AK14" i="57"/>
  <c r="AK10" i="57"/>
  <c r="AK6" i="57"/>
  <c r="AK11" i="57"/>
  <c r="AK7" i="57"/>
  <c r="AK12" i="57"/>
  <c r="AK8" i="57"/>
  <c r="AK5" i="57"/>
  <c r="G13" i="77"/>
  <c r="E13" i="32"/>
  <c r="G26" i="77"/>
  <c r="E26" i="32"/>
  <c r="G42" i="77"/>
  <c r="E42" i="32"/>
  <c r="I51" i="155"/>
  <c r="J51" i="156"/>
  <c r="J51" i="76"/>
  <c r="I51" i="36"/>
  <c r="P51" i="36" s="1"/>
  <c r="I51" i="32"/>
  <c r="P51" i="32" s="1"/>
  <c r="G58" i="77"/>
  <c r="E58" i="32"/>
  <c r="I64" i="155"/>
  <c r="J64" i="156"/>
  <c r="J64" i="76"/>
  <c r="I64" i="36"/>
  <c r="P64" i="36" s="1"/>
  <c r="I64" i="32"/>
  <c r="P64" i="32" s="1"/>
  <c r="G68" i="77"/>
  <c r="E68" i="32"/>
  <c r="J72" i="156"/>
  <c r="I72" i="155"/>
  <c r="J72" i="76"/>
  <c r="I72" i="36"/>
  <c r="P72" i="36" s="1"/>
  <c r="I72" i="32"/>
  <c r="P72" i="32" s="1"/>
  <c r="I78" i="155"/>
  <c r="I126" i="155" s="1"/>
  <c r="O126" i="155" s="1"/>
  <c r="J78" i="156"/>
  <c r="J126" i="156" s="1"/>
  <c r="S126" i="156" s="1"/>
  <c r="J78" i="76"/>
  <c r="J126" i="76" s="1"/>
  <c r="I78" i="36"/>
  <c r="I78" i="32"/>
  <c r="P78" i="32" s="1"/>
  <c r="E80" i="32"/>
  <c r="G80" i="77"/>
  <c r="J86" i="156"/>
  <c r="J134" i="156" s="1"/>
  <c r="S134" i="156" s="1"/>
  <c r="I86" i="155"/>
  <c r="I134" i="155" s="1"/>
  <c r="O134" i="155" s="1"/>
  <c r="J86" i="76"/>
  <c r="J134" i="76" s="1"/>
  <c r="I86" i="36"/>
  <c r="I86" i="32"/>
  <c r="P86" i="32" s="1"/>
  <c r="G88" i="77"/>
  <c r="E88" i="32"/>
  <c r="G94" i="77"/>
  <c r="E94" i="32"/>
  <c r="I96" i="155"/>
  <c r="I144" i="155" s="1"/>
  <c r="O144" i="155" s="1"/>
  <c r="J96" i="156"/>
  <c r="J144" i="156" s="1"/>
  <c r="S144" i="156" s="1"/>
  <c r="J96" i="76"/>
  <c r="J144" i="76" s="1"/>
  <c r="I96" i="36"/>
  <c r="I96" i="32"/>
  <c r="P96" i="32" s="1"/>
  <c r="G106" i="77"/>
  <c r="E106" i="32"/>
  <c r="G29" i="77"/>
  <c r="E29" i="32"/>
  <c r="G23" i="77"/>
  <c r="E23" i="32"/>
  <c r="G39" i="77"/>
  <c r="E39" i="32"/>
  <c r="G51" i="77"/>
  <c r="E51" i="32"/>
  <c r="J60" i="156"/>
  <c r="I60" i="155"/>
  <c r="J60" i="76"/>
  <c r="I60" i="32"/>
  <c r="P60" i="32" s="1"/>
  <c r="I60" i="36"/>
  <c r="P60" i="36" s="1"/>
  <c r="G107" i="77"/>
  <c r="E107" i="32"/>
  <c r="G19" i="77"/>
  <c r="E19" i="32"/>
  <c r="G4" i="77"/>
  <c r="E4" i="32"/>
  <c r="G20" i="77"/>
  <c r="E20" i="32"/>
  <c r="G36" i="77"/>
  <c r="E36" i="32"/>
  <c r="J53" i="156"/>
  <c r="I53" i="155"/>
  <c r="I53" i="36"/>
  <c r="P53" i="36" s="1"/>
  <c r="I53" i="32"/>
  <c r="P53" i="32" s="1"/>
  <c r="J53" i="76"/>
  <c r="G60" i="77"/>
  <c r="E60" i="32"/>
  <c r="J65" i="156"/>
  <c r="I65" i="155"/>
  <c r="J65" i="76"/>
  <c r="I65" i="36"/>
  <c r="P65" i="36" s="1"/>
  <c r="I65" i="32"/>
  <c r="P65" i="32" s="1"/>
  <c r="G69" i="77"/>
  <c r="E69" i="32"/>
  <c r="J73" i="156"/>
  <c r="J73" i="76"/>
  <c r="I73" i="155"/>
  <c r="I73" i="36"/>
  <c r="P73" i="36" s="1"/>
  <c r="I73" i="32"/>
  <c r="P73" i="32" s="1"/>
  <c r="G75" i="77"/>
  <c r="E75" i="32"/>
  <c r="J81" i="156"/>
  <c r="J129" i="156" s="1"/>
  <c r="S129" i="156" s="1"/>
  <c r="I81" i="155"/>
  <c r="I129" i="155" s="1"/>
  <c r="O129" i="155" s="1"/>
  <c r="J81" i="76"/>
  <c r="J129" i="76" s="1"/>
  <c r="I81" i="36"/>
  <c r="I81" i="32"/>
  <c r="P81" i="32" s="1"/>
  <c r="G83" i="77"/>
  <c r="E83" i="32"/>
  <c r="J89" i="156"/>
  <c r="J137" i="156" s="1"/>
  <c r="S137" i="156" s="1"/>
  <c r="J89" i="76"/>
  <c r="J137" i="76" s="1"/>
  <c r="I89" i="155"/>
  <c r="I137" i="155" s="1"/>
  <c r="O137" i="155" s="1"/>
  <c r="I89" i="36"/>
  <c r="I89" i="32"/>
  <c r="P89" i="32" s="1"/>
  <c r="G95" i="77"/>
  <c r="E95" i="32"/>
  <c r="I97" i="155"/>
  <c r="I145" i="155" s="1"/>
  <c r="O145" i="155" s="1"/>
  <c r="J97" i="156"/>
  <c r="J145" i="156" s="1"/>
  <c r="S145" i="156" s="1"/>
  <c r="J97" i="76"/>
  <c r="J145" i="76" s="1"/>
  <c r="I97" i="36"/>
  <c r="I97" i="32"/>
  <c r="P97" i="32" s="1"/>
  <c r="G108" i="77"/>
  <c r="E108" i="32"/>
  <c r="G10" i="77"/>
  <c r="E10" i="32"/>
  <c r="G7" i="77"/>
  <c r="E7" i="32"/>
  <c r="G17" i="77"/>
  <c r="E17" i="32"/>
  <c r="G33" i="77"/>
  <c r="E33" i="32"/>
  <c r="G49" i="77"/>
  <c r="E49" i="32"/>
  <c r="G53" i="77"/>
  <c r="E53" i="32"/>
  <c r="G109" i="77"/>
  <c r="E109" i="32"/>
  <c r="G14" i="77"/>
  <c r="E14" i="32"/>
  <c r="G30" i="77"/>
  <c r="E30" i="32"/>
  <c r="G46" i="77"/>
  <c r="E46" i="32"/>
  <c r="J55" i="156"/>
  <c r="I55" i="155"/>
  <c r="I55" i="36"/>
  <c r="P55" i="36" s="1"/>
  <c r="I55" i="32"/>
  <c r="P55" i="32" s="1"/>
  <c r="J55" i="76"/>
  <c r="G62" i="77"/>
  <c r="E62" i="32"/>
  <c r="J66" i="156"/>
  <c r="J66" i="76"/>
  <c r="I66" i="155"/>
  <c r="I66" i="32"/>
  <c r="P66" i="32" s="1"/>
  <c r="I66" i="36"/>
  <c r="P66" i="36" s="1"/>
  <c r="G70" i="77"/>
  <c r="E70" i="32"/>
  <c r="I76" i="155"/>
  <c r="I124" i="155" s="1"/>
  <c r="O124" i="155" s="1"/>
  <c r="J76" i="156"/>
  <c r="J124" i="156" s="1"/>
  <c r="S124" i="156" s="1"/>
  <c r="J76" i="76"/>
  <c r="J124" i="76" s="1"/>
  <c r="I76" i="36"/>
  <c r="I76" i="32"/>
  <c r="P76" i="32" s="1"/>
  <c r="G78" i="77"/>
  <c r="E78" i="32"/>
  <c r="J84" i="156"/>
  <c r="J132" i="156" s="1"/>
  <c r="S132" i="156" s="1"/>
  <c r="I84" i="155"/>
  <c r="I132" i="155" s="1"/>
  <c r="O132" i="155" s="1"/>
  <c r="J84" i="76"/>
  <c r="J132" i="76" s="1"/>
  <c r="I84" i="32"/>
  <c r="P84" i="32" s="1"/>
  <c r="I84" i="36"/>
  <c r="G86" i="77"/>
  <c r="E86" i="32"/>
  <c r="J90" i="156"/>
  <c r="J138" i="156" s="1"/>
  <c r="S138" i="156" s="1"/>
  <c r="J90" i="76"/>
  <c r="J138" i="76" s="1"/>
  <c r="I90" i="32"/>
  <c r="P90" i="32" s="1"/>
  <c r="I90" i="155"/>
  <c r="I138" i="155" s="1"/>
  <c r="O138" i="155" s="1"/>
  <c r="I90" i="36"/>
  <c r="E96" i="32"/>
  <c r="G96" i="77"/>
  <c r="G110" i="77"/>
  <c r="E110" i="32"/>
  <c r="G11" i="77"/>
  <c r="E11" i="32"/>
  <c r="G27" i="77"/>
  <c r="E27" i="32"/>
  <c r="G43" i="77"/>
  <c r="E43" i="32"/>
  <c r="G55" i="77"/>
  <c r="E55" i="32"/>
  <c r="G111" i="77"/>
  <c r="E111" i="32"/>
  <c r="G8" i="77"/>
  <c r="E8" i="32"/>
  <c r="G24" i="77"/>
  <c r="E24" i="32"/>
  <c r="G40" i="77"/>
  <c r="E40" i="32"/>
  <c r="J57" i="156"/>
  <c r="J57" i="76"/>
  <c r="I57" i="155"/>
  <c r="I57" i="36"/>
  <c r="P57" i="36" s="1"/>
  <c r="I57" i="32"/>
  <c r="P57" i="32" s="1"/>
  <c r="G63" i="77"/>
  <c r="E63" i="32"/>
  <c r="I67" i="155"/>
  <c r="J67" i="156"/>
  <c r="J67" i="76"/>
  <c r="I67" i="36"/>
  <c r="P67" i="36" s="1"/>
  <c r="I67" i="32"/>
  <c r="P67" i="32" s="1"/>
  <c r="G71" i="77"/>
  <c r="E71" i="32"/>
  <c r="J79" i="156"/>
  <c r="J127" i="156" s="1"/>
  <c r="S127" i="156" s="1"/>
  <c r="I79" i="155"/>
  <c r="I127" i="155" s="1"/>
  <c r="O127" i="155" s="1"/>
  <c r="J79" i="76"/>
  <c r="J127" i="76" s="1"/>
  <c r="I79" i="36"/>
  <c r="I79" i="32"/>
  <c r="P79" i="32" s="1"/>
  <c r="G81" i="77"/>
  <c r="E81" i="32"/>
  <c r="I87" i="155"/>
  <c r="I135" i="155" s="1"/>
  <c r="O135" i="155" s="1"/>
  <c r="J87" i="156"/>
  <c r="J135" i="156" s="1"/>
  <c r="S135" i="156" s="1"/>
  <c r="J87" i="76"/>
  <c r="J135" i="76" s="1"/>
  <c r="I87" i="36"/>
  <c r="I87" i="32"/>
  <c r="P87" i="32" s="1"/>
  <c r="G89" i="77"/>
  <c r="E89" i="32"/>
  <c r="I91" i="155"/>
  <c r="I139" i="155" s="1"/>
  <c r="O139" i="155" s="1"/>
  <c r="J91" i="76"/>
  <c r="J139" i="76" s="1"/>
  <c r="J91" i="156"/>
  <c r="J139" i="156" s="1"/>
  <c r="S139" i="156" s="1"/>
  <c r="I91" i="36"/>
  <c r="I91" i="32"/>
  <c r="P91" i="32" s="1"/>
  <c r="G97" i="77"/>
  <c r="E97" i="32"/>
  <c r="G112" i="77"/>
  <c r="E112" i="32"/>
  <c r="G5" i="77"/>
  <c r="E5" i="32"/>
  <c r="G21" i="77"/>
  <c r="E21" i="32"/>
  <c r="E37" i="32"/>
  <c r="G37" i="77"/>
  <c r="J50" i="156"/>
  <c r="I50" i="155"/>
  <c r="J50" i="76"/>
  <c r="I50" i="32"/>
  <c r="P50" i="32" s="1"/>
  <c r="I50" i="36"/>
  <c r="P50" i="36" s="1"/>
  <c r="G57" i="77"/>
  <c r="E57" i="32"/>
  <c r="G113" i="77"/>
  <c r="E113" i="32"/>
  <c r="G2" i="77"/>
  <c r="E2" i="32"/>
  <c r="G18" i="77"/>
  <c r="E18" i="32"/>
  <c r="G34" i="77"/>
  <c r="E34" i="32"/>
  <c r="G50" i="77"/>
  <c r="E50" i="32"/>
  <c r="J59" i="156"/>
  <c r="I59" i="155"/>
  <c r="J59" i="76"/>
  <c r="I59" i="36"/>
  <c r="P59" i="36" s="1"/>
  <c r="I59" i="32"/>
  <c r="P59" i="32" s="1"/>
  <c r="G64" i="77"/>
  <c r="E64" i="32"/>
  <c r="I68" i="155"/>
  <c r="J68" i="156"/>
  <c r="J68" i="76"/>
  <c r="I68" i="36"/>
  <c r="P68" i="36" s="1"/>
  <c r="I68" i="32"/>
  <c r="P68" i="32" s="1"/>
  <c r="G72" i="77"/>
  <c r="E72" i="32"/>
  <c r="J74" i="156"/>
  <c r="J122" i="156" s="1"/>
  <c r="S122" i="156" s="1"/>
  <c r="I74" i="155"/>
  <c r="I122" i="155" s="1"/>
  <c r="O122" i="155" s="1"/>
  <c r="J74" i="76"/>
  <c r="J122" i="76" s="1"/>
  <c r="I74" i="32"/>
  <c r="P74" i="32" s="1"/>
  <c r="I74" i="36"/>
  <c r="G76" i="77"/>
  <c r="E76" i="32"/>
  <c r="J82" i="156"/>
  <c r="J130" i="156" s="1"/>
  <c r="S130" i="156" s="1"/>
  <c r="J82" i="76"/>
  <c r="J130" i="76" s="1"/>
  <c r="I82" i="155"/>
  <c r="I130" i="155" s="1"/>
  <c r="O130" i="155" s="1"/>
  <c r="I82" i="32"/>
  <c r="P82" i="32" s="1"/>
  <c r="I82" i="36"/>
  <c r="G84" i="77"/>
  <c r="E84" i="32"/>
  <c r="G90" i="77"/>
  <c r="E90" i="32"/>
  <c r="I92" i="155"/>
  <c r="I140" i="155" s="1"/>
  <c r="O140" i="155" s="1"/>
  <c r="J92" i="156"/>
  <c r="J140" i="156" s="1"/>
  <c r="S140" i="156" s="1"/>
  <c r="J92" i="76"/>
  <c r="J140" i="76" s="1"/>
  <c r="I92" i="32"/>
  <c r="P92" i="32" s="1"/>
  <c r="I92" i="36"/>
  <c r="G98" i="77"/>
  <c r="E98" i="32"/>
  <c r="G114" i="77"/>
  <c r="E114" i="32"/>
  <c r="G31" i="77"/>
  <c r="E31" i="32"/>
  <c r="G47" i="77"/>
  <c r="E47" i="32"/>
  <c r="I52" i="155"/>
  <c r="J52" i="156"/>
  <c r="J52" i="76"/>
  <c r="I52" i="32"/>
  <c r="P52" i="32" s="1"/>
  <c r="I52" i="36"/>
  <c r="P52" i="36" s="1"/>
  <c r="G59" i="77"/>
  <c r="E59" i="32"/>
  <c r="G99" i="77"/>
  <c r="E99" i="32"/>
  <c r="G115" i="77"/>
  <c r="E115" i="32"/>
  <c r="DF14" i="67"/>
  <c r="CM15" i="67"/>
  <c r="DC21" i="67"/>
  <c r="E21" i="151"/>
  <c r="K21" i="151" s="1"/>
  <c r="O21" i="151" s="1"/>
  <c r="DA31" i="67"/>
  <c r="G40" i="75"/>
  <c r="CY41" i="67"/>
  <c r="CL44" i="67"/>
  <c r="DG49" i="67"/>
  <c r="F49" i="32"/>
  <c r="DB50" i="67"/>
  <c r="E50" i="30"/>
  <c r="DI51" i="67"/>
  <c r="H51" i="75"/>
  <c r="F51" i="28"/>
  <c r="CL52" i="67"/>
  <c r="CS53" i="67"/>
  <c r="F53" i="32"/>
  <c r="J54" i="154"/>
  <c r="S54" i="154" s="1"/>
  <c r="J54" i="153"/>
  <c r="S54" i="153" s="1"/>
  <c r="F55" i="153"/>
  <c r="O55" i="153" s="1"/>
  <c r="BZ68" i="67"/>
  <c r="CO57" i="67"/>
  <c r="E57" i="151"/>
  <c r="K57" i="151" s="1"/>
  <c r="E58" i="153"/>
  <c r="N58" i="153" s="1"/>
  <c r="CM59" i="67"/>
  <c r="H61" i="154"/>
  <c r="Q61" i="154" s="1"/>
  <c r="H61" i="153"/>
  <c r="Q61" i="153" s="1"/>
  <c r="H61" i="151"/>
  <c r="N61" i="151" s="1"/>
  <c r="H61" i="152"/>
  <c r="N61" i="152" s="1"/>
  <c r="H61" i="30"/>
  <c r="H61" i="34"/>
  <c r="DF62" i="67"/>
  <c r="BX74" i="67"/>
  <c r="G63" i="75"/>
  <c r="BV75" i="67"/>
  <c r="CN64" i="67"/>
  <c r="E64" i="30"/>
  <c r="BT76" i="67"/>
  <c r="CL65" i="67"/>
  <c r="BR77" i="67"/>
  <c r="CX66" i="67"/>
  <c r="BP78" i="67"/>
  <c r="BN79" i="67"/>
  <c r="CV68" i="67"/>
  <c r="E68" i="153"/>
  <c r="N68" i="153" s="1"/>
  <c r="CT69" i="67"/>
  <c r="H69" i="154"/>
  <c r="Q69" i="154" s="1"/>
  <c r="H69" i="152"/>
  <c r="N69" i="152" s="1"/>
  <c r="H69" i="153"/>
  <c r="Q69" i="153" s="1"/>
  <c r="H69" i="30"/>
  <c r="H69" i="151"/>
  <c r="N69" i="151" s="1"/>
  <c r="H69" i="34"/>
  <c r="CR70" i="67"/>
  <c r="BX82" i="67"/>
  <c r="G71" i="75"/>
  <c r="BV83" i="67"/>
  <c r="E72" i="30"/>
  <c r="BT84" i="67"/>
  <c r="CZ73" i="67"/>
  <c r="BR85" i="67"/>
  <c r="CX74" i="67"/>
  <c r="DH75" i="67"/>
  <c r="DB76" i="67"/>
  <c r="E76" i="30"/>
  <c r="H77" i="154"/>
  <c r="H77" i="153"/>
  <c r="Q77" i="153" s="1"/>
  <c r="H77" i="151"/>
  <c r="N77" i="151" s="1"/>
  <c r="H77" i="152"/>
  <c r="H77" i="30"/>
  <c r="H77" i="34"/>
  <c r="H125" i="34" s="1"/>
  <c r="CL79" i="67"/>
  <c r="E80" i="153"/>
  <c r="N80" i="153" s="1"/>
  <c r="G81" i="75"/>
  <c r="CJ82" i="67"/>
  <c r="CN84" i="67"/>
  <c r="E84" i="30"/>
  <c r="H85" i="154"/>
  <c r="H85" i="152"/>
  <c r="H85" i="153"/>
  <c r="Q85" i="153" s="1"/>
  <c r="H85" i="30"/>
  <c r="H85" i="34"/>
  <c r="H133" i="34" s="1"/>
  <c r="H85" i="151"/>
  <c r="N85" i="151" s="1"/>
  <c r="CL87" i="67"/>
  <c r="CV88" i="67"/>
  <c r="E88" i="153"/>
  <c r="N88" i="153" s="1"/>
  <c r="G89" i="75"/>
  <c r="E90" i="30"/>
  <c r="CJ92" i="67"/>
  <c r="H93" i="154"/>
  <c r="H93" i="151"/>
  <c r="N93" i="151" s="1"/>
  <c r="H93" i="153"/>
  <c r="Q93" i="153" s="1"/>
  <c r="H93" i="152"/>
  <c r="H93" i="30"/>
  <c r="H93" i="34"/>
  <c r="H141" i="34" s="1"/>
  <c r="CV94" i="67"/>
  <c r="E94" i="153"/>
  <c r="N94" i="153" s="1"/>
  <c r="CT95" i="67"/>
  <c r="DF96" i="67"/>
  <c r="DD97" i="67"/>
  <c r="G97" i="75"/>
  <c r="E98" i="30"/>
  <c r="CM99" i="67"/>
  <c r="CL100" i="67"/>
  <c r="CK101" i="67"/>
  <c r="CJ102" i="67"/>
  <c r="CW105" i="67"/>
  <c r="CV106" i="67"/>
  <c r="E106" i="153"/>
  <c r="N106" i="153" s="1"/>
  <c r="DI107" i="67"/>
  <c r="H107" i="75"/>
  <c r="F107" i="28"/>
  <c r="DH108" i="67"/>
  <c r="F109" i="32"/>
  <c r="CR110" i="67"/>
  <c r="F111" i="153"/>
  <c r="O111" i="153" s="1"/>
  <c r="G112" i="75"/>
  <c r="CO113" i="67"/>
  <c r="E113" i="151"/>
  <c r="K113" i="151" s="1"/>
  <c r="CN114" i="67"/>
  <c r="E114" i="30"/>
  <c r="CM115" i="67"/>
  <c r="CK9" i="67"/>
  <c r="DG17" i="67"/>
  <c r="F17" i="32"/>
  <c r="CN18" i="67"/>
  <c r="E18" i="30"/>
  <c r="DI23" i="67"/>
  <c r="F23" i="28"/>
  <c r="H23" i="75"/>
  <c r="G24" i="75"/>
  <c r="CY25" i="67"/>
  <c r="E26" i="153"/>
  <c r="N26" i="153" s="1"/>
  <c r="CQ27" i="67"/>
  <c r="F27" i="153"/>
  <c r="O27" i="153" s="1"/>
  <c r="CX38" i="67"/>
  <c r="DI4" i="67"/>
  <c r="H4" i="75"/>
  <c r="F4" i="28"/>
  <c r="DD5" i="67"/>
  <c r="G5" i="75"/>
  <c r="CY6" i="67"/>
  <c r="CL9" i="67"/>
  <c r="CO34" i="67"/>
  <c r="E34" i="151"/>
  <c r="K34" i="151" s="1"/>
  <c r="O34" i="151" s="1"/>
  <c r="CX35" i="67"/>
  <c r="H36" i="75"/>
  <c r="F36" i="28"/>
  <c r="CP37" i="67"/>
  <c r="G37" i="75"/>
  <c r="CY38" i="67"/>
  <c r="CV39" i="67"/>
  <c r="E39" i="153"/>
  <c r="N39" i="153" s="1"/>
  <c r="F40" i="153"/>
  <c r="O40" i="153" s="1"/>
  <c r="DK42" i="67"/>
  <c r="CR43" i="67"/>
  <c r="DG46" i="67"/>
  <c r="F46" i="32"/>
  <c r="E47" i="30"/>
  <c r="DH49" i="67"/>
  <c r="CO50" i="67"/>
  <c r="E50" i="151"/>
  <c r="K50" i="151" s="1"/>
  <c r="CV51" i="67"/>
  <c r="E51" i="153"/>
  <c r="N51" i="153" s="1"/>
  <c r="CM52" i="67"/>
  <c r="CT53" i="67"/>
  <c r="CY54" i="67"/>
  <c r="H54" i="154"/>
  <c r="Q54" i="154" s="1"/>
  <c r="H54" i="153"/>
  <c r="Q54" i="153" s="1"/>
  <c r="H54" i="30"/>
  <c r="H54" i="34"/>
  <c r="H54" i="151"/>
  <c r="N54" i="151" s="1"/>
  <c r="H54" i="152"/>
  <c r="N54" i="152" s="1"/>
  <c r="DF55" i="67"/>
  <c r="CA68" i="67"/>
  <c r="G57" i="75"/>
  <c r="CW58" i="67"/>
  <c r="DB59" i="67"/>
  <c r="E59" i="30"/>
  <c r="H60" i="75"/>
  <c r="F60" i="28"/>
  <c r="CZ61" i="67"/>
  <c r="DG62" i="67"/>
  <c r="F62" i="32"/>
  <c r="CQ63" i="67"/>
  <c r="F63" i="153"/>
  <c r="O63" i="153" s="1"/>
  <c r="BW75" i="67"/>
  <c r="DC64" i="67"/>
  <c r="E64" i="151"/>
  <c r="K64" i="151" s="1"/>
  <c r="BU76" i="67"/>
  <c r="CM65" i="67"/>
  <c r="BS77" i="67"/>
  <c r="CK66" i="67"/>
  <c r="BQ78" i="67"/>
  <c r="BO79" i="67"/>
  <c r="CW68" i="67"/>
  <c r="CU69" i="67"/>
  <c r="H69" i="75"/>
  <c r="F69" i="28"/>
  <c r="F70" i="32"/>
  <c r="F71" i="153"/>
  <c r="O71" i="153" s="1"/>
  <c r="BW83" i="67"/>
  <c r="E72" i="151"/>
  <c r="K72" i="151" s="1"/>
  <c r="BU84" i="67"/>
  <c r="DA73" i="67"/>
  <c r="BS85" i="67"/>
  <c r="CK74" i="67"/>
  <c r="H75" i="75"/>
  <c r="F75" i="28"/>
  <c r="CO76" i="67"/>
  <c r="E76" i="151"/>
  <c r="K76" i="151" s="1"/>
  <c r="DG78" i="67"/>
  <c r="F78" i="32"/>
  <c r="CM79" i="67"/>
  <c r="DE81" i="67"/>
  <c r="F81" i="153"/>
  <c r="O81" i="153" s="1"/>
  <c r="CY82" i="67"/>
  <c r="DI83" i="67"/>
  <c r="H83" i="75"/>
  <c r="F83" i="28"/>
  <c r="DC84" i="67"/>
  <c r="E84" i="151"/>
  <c r="K84" i="151" s="1"/>
  <c r="DG86" i="67"/>
  <c r="F86" i="32"/>
  <c r="F89" i="153"/>
  <c r="O89" i="153" s="1"/>
  <c r="CO90" i="67"/>
  <c r="E90" i="151"/>
  <c r="K90" i="151" s="1"/>
  <c r="CW94" i="67"/>
  <c r="CU95" i="67"/>
  <c r="H95" i="75"/>
  <c r="F95" i="28"/>
  <c r="CS96" i="67"/>
  <c r="F96" i="32"/>
  <c r="F97" i="153"/>
  <c r="O97" i="153" s="1"/>
  <c r="E98" i="151"/>
  <c r="K98" i="151" s="1"/>
  <c r="CN99" i="67"/>
  <c r="E99" i="30"/>
  <c r="CZ101" i="67"/>
  <c r="CY102" i="67"/>
  <c r="E107" i="153"/>
  <c r="N107" i="153" s="1"/>
  <c r="CU108" i="67"/>
  <c r="H108" i="75"/>
  <c r="F108" i="28"/>
  <c r="DH109" i="67"/>
  <c r="CS110" i="67"/>
  <c r="F110" i="32"/>
  <c r="DF111" i="67"/>
  <c r="CQ112" i="67"/>
  <c r="F112" i="153"/>
  <c r="O112" i="153" s="1"/>
  <c r="DD113" i="67"/>
  <c r="G113" i="75"/>
  <c r="CO114" i="67"/>
  <c r="E114" i="151"/>
  <c r="K114" i="151" s="1"/>
  <c r="DB115" i="67"/>
  <c r="E115" i="30"/>
  <c r="CW51" i="67"/>
  <c r="DI53" i="67"/>
  <c r="H53" i="75"/>
  <c r="F53" i="28"/>
  <c r="CL54" i="67"/>
  <c r="CS55" i="67"/>
  <c r="F55" i="32"/>
  <c r="J56" i="154"/>
  <c r="S56" i="154" s="1"/>
  <c r="J56" i="153"/>
  <c r="S56" i="153" s="1"/>
  <c r="CQ57" i="67"/>
  <c r="F57" i="153"/>
  <c r="O57" i="153" s="1"/>
  <c r="BZ70" i="67"/>
  <c r="CO59" i="67"/>
  <c r="E59" i="151"/>
  <c r="K59" i="151" s="1"/>
  <c r="DJ60" i="67"/>
  <c r="E60" i="153"/>
  <c r="N60" i="153" s="1"/>
  <c r="CM61" i="67"/>
  <c r="H62" i="154"/>
  <c r="Q62" i="154" s="1"/>
  <c r="H62" i="153"/>
  <c r="Q62" i="153" s="1"/>
  <c r="H62" i="34"/>
  <c r="H62" i="30"/>
  <c r="H62" i="152"/>
  <c r="N62" i="152" s="1"/>
  <c r="H62" i="151"/>
  <c r="N62" i="151" s="1"/>
  <c r="DF63" i="67"/>
  <c r="BX75" i="67"/>
  <c r="CP64" i="67"/>
  <c r="G64" i="75"/>
  <c r="BV76" i="67"/>
  <c r="DB65" i="67"/>
  <c r="E65" i="30"/>
  <c r="BT77" i="67"/>
  <c r="BR78" i="67"/>
  <c r="BP79" i="67"/>
  <c r="BN80" i="67"/>
  <c r="DJ69" i="67"/>
  <c r="E69" i="153"/>
  <c r="N69" i="153" s="1"/>
  <c r="H70" i="154"/>
  <c r="Q70" i="154" s="1"/>
  <c r="H70" i="30"/>
  <c r="H70" i="151"/>
  <c r="N70" i="151" s="1"/>
  <c r="H70" i="153"/>
  <c r="Q70" i="153" s="1"/>
  <c r="H70" i="152"/>
  <c r="N70" i="152" s="1"/>
  <c r="H70" i="34"/>
  <c r="CR71" i="67"/>
  <c r="BX83" i="67"/>
  <c r="G72" i="75"/>
  <c r="BV84" i="67"/>
  <c r="CN73" i="67"/>
  <c r="E73" i="30"/>
  <c r="BT85" i="67"/>
  <c r="CL74" i="67"/>
  <c r="DJ75" i="67"/>
  <c r="E75" i="153"/>
  <c r="N75" i="153" s="1"/>
  <c r="DD76" i="67"/>
  <c r="G76" i="75"/>
  <c r="DB79" i="67"/>
  <c r="E79" i="30"/>
  <c r="H80" i="153"/>
  <c r="Q80" i="153" s="1"/>
  <c r="H80" i="151"/>
  <c r="N80" i="151" s="1"/>
  <c r="H80" i="154"/>
  <c r="H80" i="30"/>
  <c r="H80" i="34"/>
  <c r="H128" i="34" s="1"/>
  <c r="H80" i="152"/>
  <c r="CR81" i="67"/>
  <c r="CZ82" i="67"/>
  <c r="E83" i="153"/>
  <c r="N83" i="153" s="1"/>
  <c r="CP84" i="67"/>
  <c r="G84" i="75"/>
  <c r="CJ85" i="67"/>
  <c r="DB87" i="67"/>
  <c r="E87" i="30"/>
  <c r="H88" i="153"/>
  <c r="Q88" i="153" s="1"/>
  <c r="H88" i="151"/>
  <c r="N88" i="151" s="1"/>
  <c r="H88" i="34"/>
  <c r="H136" i="34" s="1"/>
  <c r="H88" i="152"/>
  <c r="H88" i="30"/>
  <c r="H88" i="154"/>
  <c r="G90" i="75"/>
  <c r="CN91" i="67"/>
  <c r="E91" i="30"/>
  <c r="H94" i="154"/>
  <c r="H94" i="153"/>
  <c r="Q94" i="153" s="1"/>
  <c r="H94" i="152"/>
  <c r="H94" i="34"/>
  <c r="H142" i="34" s="1"/>
  <c r="H94" i="30"/>
  <c r="H94" i="151"/>
  <c r="N94" i="151" s="1"/>
  <c r="CV95" i="67"/>
  <c r="E95" i="153"/>
  <c r="N95" i="153" s="1"/>
  <c r="DH96" i="67"/>
  <c r="DF97" i="67"/>
  <c r="G98" i="75"/>
  <c r="DC99" i="67"/>
  <c r="E99" i="151"/>
  <c r="K99" i="151" s="1"/>
  <c r="E100" i="30"/>
  <c r="DA101" i="67"/>
  <c r="CL102" i="67"/>
  <c r="CX104" i="67"/>
  <c r="DJ108" i="67"/>
  <c r="E108" i="153"/>
  <c r="N108" i="153" s="1"/>
  <c r="H109" i="75"/>
  <c r="F109" i="28"/>
  <c r="DH110" i="67"/>
  <c r="DG111" i="67"/>
  <c r="F111" i="32"/>
  <c r="DE113" i="67"/>
  <c r="F113" i="153"/>
  <c r="O113" i="153" s="1"/>
  <c r="G114" i="75"/>
  <c r="CO115" i="67"/>
  <c r="E115" i="151"/>
  <c r="K115" i="151" s="1"/>
  <c r="CX6" i="67"/>
  <c r="CJ22" i="67"/>
  <c r="DG33" i="67"/>
  <c r="F33" i="32"/>
  <c r="CN34" i="67"/>
  <c r="E34" i="30"/>
  <c r="DC37" i="67"/>
  <c r="E37" i="151"/>
  <c r="K37" i="151" s="1"/>
  <c r="O37" i="151" s="1"/>
  <c r="CU39" i="67"/>
  <c r="H39" i="75"/>
  <c r="F39" i="28"/>
  <c r="E42" i="153"/>
  <c r="N42" i="153" s="1"/>
  <c r="CQ43" i="67"/>
  <c r="F43" i="153"/>
  <c r="O43" i="153" s="1"/>
  <c r="CJ3" i="67"/>
  <c r="DJ7" i="67"/>
  <c r="E7" i="153"/>
  <c r="N7" i="153" s="1"/>
  <c r="DK10" i="67"/>
  <c r="DF11" i="67"/>
  <c r="DA12" i="67"/>
  <c r="CJ19" i="67"/>
  <c r="CV23" i="67"/>
  <c r="E23" i="153"/>
  <c r="N23" i="153" s="1"/>
  <c r="DE24" i="67"/>
  <c r="F24" i="153"/>
  <c r="O24" i="153" s="1"/>
  <c r="DK26" i="67"/>
  <c r="CR27" i="67"/>
  <c r="CS30" i="67"/>
  <c r="F30" i="32"/>
  <c r="CK3" i="67"/>
  <c r="G34" i="75"/>
  <c r="CY35" i="67"/>
  <c r="DA41" i="67"/>
  <c r="CS43" i="67"/>
  <c r="F43" i="32"/>
  <c r="E47" i="151"/>
  <c r="K47" i="151" s="1"/>
  <c r="O47" i="151" s="1"/>
  <c r="G50" i="75"/>
  <c r="F40" i="32"/>
  <c r="DB41" i="67"/>
  <c r="E41" i="30"/>
  <c r="DC44" i="67"/>
  <c r="E44" i="151"/>
  <c r="K44" i="151" s="1"/>
  <c r="O44" i="151" s="1"/>
  <c r="DI46" i="67"/>
  <c r="H46" i="75"/>
  <c r="F46" i="28"/>
  <c r="DD47" i="67"/>
  <c r="G47" i="75"/>
  <c r="CY48" i="67"/>
  <c r="CV49" i="67"/>
  <c r="E49" i="153"/>
  <c r="N49" i="153" s="1"/>
  <c r="F50" i="153"/>
  <c r="O50" i="153" s="1"/>
  <c r="BZ63" i="67"/>
  <c r="DC52" i="67"/>
  <c r="E52" i="151"/>
  <c r="K52" i="151" s="1"/>
  <c r="DJ53" i="67"/>
  <c r="E53" i="153"/>
  <c r="N53" i="153" s="1"/>
  <c r="CY56" i="67"/>
  <c r="H56" i="153"/>
  <c r="Q56" i="153" s="1"/>
  <c r="H56" i="151"/>
  <c r="N56" i="151" s="1"/>
  <c r="H56" i="154"/>
  <c r="Q56" i="154" s="1"/>
  <c r="H56" i="34"/>
  <c r="H56" i="152"/>
  <c r="N56" i="152" s="1"/>
  <c r="H56" i="30"/>
  <c r="CR57" i="67"/>
  <c r="CA70" i="67"/>
  <c r="DD59" i="67"/>
  <c r="G59" i="75"/>
  <c r="DK60" i="67"/>
  <c r="CN61" i="67"/>
  <c r="E61" i="30"/>
  <c r="CU62" i="67"/>
  <c r="H62" i="75"/>
  <c r="F62" i="28"/>
  <c r="DG63" i="67"/>
  <c r="F63" i="32"/>
  <c r="DE64" i="67"/>
  <c r="F64" i="153"/>
  <c r="O64" i="153" s="1"/>
  <c r="BW76" i="67"/>
  <c r="E65" i="151"/>
  <c r="K65" i="151" s="1"/>
  <c r="BU77" i="67"/>
  <c r="BS78" i="67"/>
  <c r="BQ79" i="67"/>
  <c r="BO80" i="67"/>
  <c r="DK69" i="67"/>
  <c r="CU70" i="67"/>
  <c r="H70" i="75"/>
  <c r="F70" i="28"/>
  <c r="CS71" i="67"/>
  <c r="F71" i="32"/>
  <c r="F72" i="153"/>
  <c r="O72" i="153" s="1"/>
  <c r="BW84" i="67"/>
  <c r="E73" i="151"/>
  <c r="K73" i="151" s="1"/>
  <c r="BU85" i="67"/>
  <c r="DA74" i="67"/>
  <c r="DK75" i="67"/>
  <c r="F76" i="153"/>
  <c r="O76" i="153" s="1"/>
  <c r="DI78" i="67"/>
  <c r="H78" i="75"/>
  <c r="F78" i="28"/>
  <c r="CO79" i="67"/>
  <c r="E79" i="151"/>
  <c r="K79" i="151" s="1"/>
  <c r="DG81" i="67"/>
  <c r="F81" i="32"/>
  <c r="CM82" i="67"/>
  <c r="DK83" i="67"/>
  <c r="DE84" i="67"/>
  <c r="F84" i="153"/>
  <c r="O84" i="153" s="1"/>
  <c r="DI86" i="67"/>
  <c r="H86" i="75"/>
  <c r="F86" i="28"/>
  <c r="E87" i="151"/>
  <c r="K87" i="151" s="1"/>
  <c r="DG89" i="67"/>
  <c r="F89" i="32"/>
  <c r="CQ90" i="67"/>
  <c r="F90" i="153"/>
  <c r="O90" i="153" s="1"/>
  <c r="DC91" i="67"/>
  <c r="E91" i="151"/>
  <c r="K91" i="151" s="1"/>
  <c r="DA92" i="67"/>
  <c r="CW95" i="67"/>
  <c r="CU96" i="67"/>
  <c r="H96" i="75"/>
  <c r="F96" i="28"/>
  <c r="F97" i="32"/>
  <c r="F98" i="153"/>
  <c r="O98" i="153" s="1"/>
  <c r="CP99" i="67"/>
  <c r="G99" i="75"/>
  <c r="E100" i="151"/>
  <c r="K100" i="151" s="1"/>
  <c r="CN101" i="67"/>
  <c r="E101" i="30"/>
  <c r="CM102" i="67"/>
  <c r="CZ103" i="67"/>
  <c r="CY104" i="67"/>
  <c r="CX105" i="67"/>
  <c r="E109" i="153"/>
  <c r="N109" i="153" s="1"/>
  <c r="CU110" i="67"/>
  <c r="H110" i="75"/>
  <c r="F110" i="28"/>
  <c r="DG112" i="67"/>
  <c r="F112" i="32"/>
  <c r="DF113" i="67"/>
  <c r="DE114" i="67"/>
  <c r="F114" i="153"/>
  <c r="O114" i="153" s="1"/>
  <c r="G115" i="75"/>
  <c r="CR30" i="67"/>
  <c r="DC2" i="67"/>
  <c r="E2" i="151"/>
  <c r="K2" i="151" s="1"/>
  <c r="O2" i="151" s="1"/>
  <c r="F8" i="153"/>
  <c r="O8" i="153" s="1"/>
  <c r="DG14" i="67"/>
  <c r="F14" i="32"/>
  <c r="CN15" i="67"/>
  <c r="E15" i="30"/>
  <c r="DC18" i="67"/>
  <c r="E18" i="151"/>
  <c r="K18" i="151" s="1"/>
  <c r="O18" i="151" s="1"/>
  <c r="DI20" i="67"/>
  <c r="H20" i="75"/>
  <c r="F20" i="28"/>
  <c r="G21" i="75"/>
  <c r="CK22" i="67"/>
  <c r="DA28" i="67"/>
  <c r="CN31" i="67"/>
  <c r="E31" i="30"/>
  <c r="DJ4" i="67"/>
  <c r="E4" i="153"/>
  <c r="N4" i="153" s="1"/>
  <c r="F5" i="153"/>
  <c r="O5" i="153" s="1"/>
  <c r="CL6" i="67"/>
  <c r="CW7" i="67"/>
  <c r="DF8" i="67"/>
  <c r="CM9" i="67"/>
  <c r="CS11" i="67"/>
  <c r="F11" i="32"/>
  <c r="CN12" i="67"/>
  <c r="E12" i="30"/>
  <c r="CO15" i="67"/>
  <c r="E15" i="151"/>
  <c r="K15" i="151" s="1"/>
  <c r="O15" i="151" s="1"/>
  <c r="CX16" i="67"/>
  <c r="CU17" i="67"/>
  <c r="H17" i="75"/>
  <c r="F17" i="28"/>
  <c r="G18" i="75"/>
  <c r="CK19" i="67"/>
  <c r="DJ20" i="67"/>
  <c r="E20" i="153"/>
  <c r="N20" i="153" s="1"/>
  <c r="F21" i="153"/>
  <c r="O21" i="153" s="1"/>
  <c r="CL22" i="67"/>
  <c r="DK23" i="67"/>
  <c r="DG27" i="67"/>
  <c r="F27" i="32"/>
  <c r="DB28" i="67"/>
  <c r="E28" i="30"/>
  <c r="CO31" i="67"/>
  <c r="E31" i="151"/>
  <c r="K31" i="151" s="1"/>
  <c r="O31" i="151" s="1"/>
  <c r="DI33" i="67"/>
  <c r="H33" i="75"/>
  <c r="F33" i="28"/>
  <c r="DJ36" i="67"/>
  <c r="E36" i="153"/>
  <c r="N36" i="153" s="1"/>
  <c r="CQ37" i="67"/>
  <c r="F37" i="153"/>
  <c r="O37" i="153" s="1"/>
  <c r="CL38" i="67"/>
  <c r="CW39" i="67"/>
  <c r="DB44" i="67"/>
  <c r="E44" i="30"/>
  <c r="CU49" i="67"/>
  <c r="H49" i="75"/>
  <c r="F49" i="28"/>
  <c r="CN52" i="67"/>
  <c r="E52" i="30"/>
  <c r="F2" i="153"/>
  <c r="O2" i="153" s="1"/>
  <c r="CW4" i="67"/>
  <c r="DF5" i="67"/>
  <c r="DA6" i="67"/>
  <c r="CS8" i="67"/>
  <c r="F8" i="32"/>
  <c r="DB9" i="67"/>
  <c r="E9" i="30"/>
  <c r="CO12" i="67"/>
  <c r="E12" i="151"/>
  <c r="K12" i="151" s="1"/>
  <c r="O12" i="151" s="1"/>
  <c r="CX13" i="67"/>
  <c r="CU14" i="67"/>
  <c r="H14" i="75"/>
  <c r="F14" i="28"/>
  <c r="G15" i="75"/>
  <c r="CK16" i="67"/>
  <c r="CV17" i="67"/>
  <c r="E17" i="153"/>
  <c r="N17" i="153" s="1"/>
  <c r="F18" i="153"/>
  <c r="O18" i="153" s="1"/>
  <c r="DK20" i="67"/>
  <c r="CR21" i="67"/>
  <c r="CM22" i="67"/>
  <c r="CS24" i="67"/>
  <c r="F24" i="32"/>
  <c r="DB25" i="67"/>
  <c r="E25" i="30"/>
  <c r="DC28" i="67"/>
  <c r="E28" i="151"/>
  <c r="K28" i="151" s="1"/>
  <c r="O28" i="151" s="1"/>
  <c r="CJ29" i="67"/>
  <c r="DI30" i="67"/>
  <c r="H30" i="75"/>
  <c r="F30" i="28"/>
  <c r="G31" i="75"/>
  <c r="CY32" i="67"/>
  <c r="E33" i="153"/>
  <c r="N33" i="153" s="1"/>
  <c r="F34" i="153"/>
  <c r="O34" i="153" s="1"/>
  <c r="CZ35" i="67"/>
  <c r="DK36" i="67"/>
  <c r="CR37" i="67"/>
  <c r="CM38" i="67"/>
  <c r="DF2" i="67"/>
  <c r="DA3" i="67"/>
  <c r="F5" i="32"/>
  <c r="DB6" i="67"/>
  <c r="E6" i="30"/>
  <c r="E9" i="151"/>
  <c r="K9" i="151" s="1"/>
  <c r="O9" i="151" s="1"/>
  <c r="CX10" i="67"/>
  <c r="DI11" i="67"/>
  <c r="H11" i="75"/>
  <c r="F11" i="28"/>
  <c r="DD12" i="67"/>
  <c r="G12" i="75"/>
  <c r="CV14" i="67"/>
  <c r="E14" i="153"/>
  <c r="N14" i="153" s="1"/>
  <c r="F15" i="153"/>
  <c r="O15" i="153" s="1"/>
  <c r="CL16" i="67"/>
  <c r="CW17" i="67"/>
  <c r="DF18" i="67"/>
  <c r="DA19" i="67"/>
  <c r="F21" i="32"/>
  <c r="DB22" i="67"/>
  <c r="E22" i="30"/>
  <c r="CO25" i="67"/>
  <c r="E25" i="151"/>
  <c r="K25" i="151" s="1"/>
  <c r="O25" i="151" s="1"/>
  <c r="CX26" i="67"/>
  <c r="H27" i="75"/>
  <c r="F27" i="28"/>
  <c r="DD28" i="67"/>
  <c r="G28" i="75"/>
  <c r="CK29" i="67"/>
  <c r="DJ30" i="67"/>
  <c r="E30" i="153"/>
  <c r="N30" i="153" s="1"/>
  <c r="CQ31" i="67"/>
  <c r="F31" i="153"/>
  <c r="O31" i="153" s="1"/>
  <c r="CW33" i="67"/>
  <c r="DF34" i="67"/>
  <c r="DA35" i="67"/>
  <c r="CS37" i="67"/>
  <c r="F37" i="32"/>
  <c r="DB38" i="67"/>
  <c r="E38" i="30"/>
  <c r="CO41" i="67"/>
  <c r="E41" i="151"/>
  <c r="K41" i="151" s="1"/>
  <c r="O41" i="151" s="1"/>
  <c r="CX42" i="67"/>
  <c r="H43" i="75"/>
  <c r="F43" i="28"/>
  <c r="CP44" i="67"/>
  <c r="G44" i="75"/>
  <c r="CK45" i="67"/>
  <c r="DJ46" i="67"/>
  <c r="E46" i="153"/>
  <c r="N46" i="153" s="1"/>
  <c r="F47" i="153"/>
  <c r="O47" i="153" s="1"/>
  <c r="CZ48" i="67"/>
  <c r="CW49" i="67"/>
  <c r="CR50" i="67"/>
  <c r="CA63" i="67"/>
  <c r="G52" i="75"/>
  <c r="CW53" i="67"/>
  <c r="CN54" i="67"/>
  <c r="E54" i="30"/>
  <c r="DI55" i="67"/>
  <c r="F55" i="28"/>
  <c r="H55" i="75"/>
  <c r="CZ56" i="67"/>
  <c r="CS57" i="67"/>
  <c r="F57" i="32"/>
  <c r="CJ58" i="67"/>
  <c r="J58" i="154"/>
  <c r="S58" i="154" s="1"/>
  <c r="J58" i="153"/>
  <c r="S58" i="153" s="1"/>
  <c r="F59" i="153"/>
  <c r="O59" i="153" s="1"/>
  <c r="BZ72" i="67"/>
  <c r="DC61" i="67"/>
  <c r="E61" i="151"/>
  <c r="K61" i="151" s="1"/>
  <c r="O61" i="151" s="1"/>
  <c r="E62" i="153"/>
  <c r="N62" i="153" s="1"/>
  <c r="H63" i="154"/>
  <c r="Q63" i="154" s="1"/>
  <c r="H63" i="152"/>
  <c r="N63" i="152" s="1"/>
  <c r="H63" i="153"/>
  <c r="Q63" i="153" s="1"/>
  <c r="H63" i="30"/>
  <c r="H63" i="34"/>
  <c r="H63" i="151"/>
  <c r="N63" i="151" s="1"/>
  <c r="CR64" i="67"/>
  <c r="BX76" i="67"/>
  <c r="G65" i="75"/>
  <c r="BV77" i="67"/>
  <c r="E66" i="30"/>
  <c r="BT78" i="67"/>
  <c r="CZ67" i="67"/>
  <c r="BR79" i="67"/>
  <c r="BP80" i="67"/>
  <c r="BN81" i="67"/>
  <c r="CV70" i="67"/>
  <c r="E70" i="153"/>
  <c r="N70" i="153" s="1"/>
  <c r="H71" i="154"/>
  <c r="Q71" i="154" s="1"/>
  <c r="H71" i="151"/>
  <c r="N71" i="151" s="1"/>
  <c r="H71" i="152"/>
  <c r="N71" i="152" s="1"/>
  <c r="H71" i="153"/>
  <c r="Q71" i="153" s="1"/>
  <c r="H71" i="30"/>
  <c r="H71" i="34"/>
  <c r="BX84" i="67"/>
  <c r="G73" i="75"/>
  <c r="BV85" i="67"/>
  <c r="DB74" i="67"/>
  <c r="E74" i="30"/>
  <c r="H75" i="154"/>
  <c r="H75" i="153"/>
  <c r="Q75" i="153" s="1"/>
  <c r="H75" i="151"/>
  <c r="N75" i="151" s="1"/>
  <c r="H75" i="152"/>
  <c r="H75" i="34"/>
  <c r="H123" i="34" s="1"/>
  <c r="H75" i="30"/>
  <c r="DF76" i="67"/>
  <c r="CL77" i="67"/>
  <c r="CV78" i="67"/>
  <c r="E78" i="153"/>
  <c r="N78" i="153" s="1"/>
  <c r="G79" i="75"/>
  <c r="CJ80" i="67"/>
  <c r="DB82" i="67"/>
  <c r="E82" i="30"/>
  <c r="H83" i="154"/>
  <c r="H83" i="153"/>
  <c r="Q83" i="153" s="1"/>
  <c r="H83" i="34"/>
  <c r="H131" i="34" s="1"/>
  <c r="H83" i="151"/>
  <c r="N83" i="151" s="1"/>
  <c r="H83" i="30"/>
  <c r="H83" i="152"/>
  <c r="CR84" i="67"/>
  <c r="DJ86" i="67"/>
  <c r="E86" i="153"/>
  <c r="N86" i="153" s="1"/>
  <c r="CP87" i="67"/>
  <c r="G87" i="75"/>
  <c r="CX88" i="67"/>
  <c r="G91" i="75"/>
  <c r="CN92" i="67"/>
  <c r="E92" i="30"/>
  <c r="CX94" i="67"/>
  <c r="H95" i="154"/>
  <c r="H95" i="152"/>
  <c r="H95" i="153"/>
  <c r="Q95" i="153" s="1"/>
  <c r="H95" i="30"/>
  <c r="H95" i="34"/>
  <c r="H143" i="34" s="1"/>
  <c r="H95" i="151"/>
  <c r="N95" i="151" s="1"/>
  <c r="CV96" i="67"/>
  <c r="E96" i="153"/>
  <c r="N96" i="153" s="1"/>
  <c r="DH97" i="67"/>
  <c r="DF98" i="67"/>
  <c r="CQ99" i="67"/>
  <c r="F99" i="153"/>
  <c r="O99" i="153" s="1"/>
  <c r="DD100" i="67"/>
  <c r="G100" i="75"/>
  <c r="DC101" i="67"/>
  <c r="E101" i="151"/>
  <c r="K101" i="151" s="1"/>
  <c r="DB102" i="67"/>
  <c r="E102" i="30"/>
  <c r="CL104" i="67"/>
  <c r="CY105" i="67"/>
  <c r="CX106" i="67"/>
  <c r="DK109" i="67"/>
  <c r="E110" i="153"/>
  <c r="N110" i="153" s="1"/>
  <c r="CU111" i="67"/>
  <c r="F111" i="28"/>
  <c r="H111" i="75"/>
  <c r="DG113" i="67"/>
  <c r="F113" i="32"/>
  <c r="DF114" i="67"/>
  <c r="F115" i="153"/>
  <c r="O115" i="153" s="1"/>
  <c r="DJ55" i="67"/>
  <c r="E55" i="153"/>
  <c r="N55" i="153" s="1"/>
  <c r="CY58" i="67"/>
  <c r="H58" i="154"/>
  <c r="Q58" i="154" s="1"/>
  <c r="H58" i="153"/>
  <c r="Q58" i="153" s="1"/>
  <c r="H58" i="152"/>
  <c r="N58" i="152" s="1"/>
  <c r="H58" i="151"/>
  <c r="N58" i="151" s="1"/>
  <c r="H58" i="34"/>
  <c r="H58" i="30"/>
  <c r="CR59" i="67"/>
  <c r="H81" i="75"/>
  <c r="F81" i="28"/>
  <c r="DC82" i="67"/>
  <c r="E82" i="151"/>
  <c r="K82" i="151" s="1"/>
  <c r="CS84" i="67"/>
  <c r="F84" i="32"/>
  <c r="CQ87" i="67"/>
  <c r="F87" i="153"/>
  <c r="O87" i="153" s="1"/>
  <c r="CK88" i="67"/>
  <c r="CU89" i="67"/>
  <c r="H89" i="75"/>
  <c r="F89" i="28"/>
  <c r="DG90" i="67"/>
  <c r="F90" i="32"/>
  <c r="CQ91" i="67"/>
  <c r="F91" i="153"/>
  <c r="O91" i="153" s="1"/>
  <c r="DC92" i="67"/>
  <c r="E92" i="151"/>
  <c r="K92" i="151" s="1"/>
  <c r="CK94" i="67"/>
  <c r="H97" i="75"/>
  <c r="F97" i="28"/>
  <c r="DG98" i="67"/>
  <c r="F98" i="32"/>
  <c r="CQ100" i="67"/>
  <c r="F100" i="153"/>
  <c r="O100" i="153" s="1"/>
  <c r="G101" i="75"/>
  <c r="DC102" i="67"/>
  <c r="E102" i="151"/>
  <c r="K102" i="151" s="1"/>
  <c r="DB103" i="67"/>
  <c r="E103" i="30"/>
  <c r="DA104" i="67"/>
  <c r="CL105" i="67"/>
  <c r="CK106" i="67"/>
  <c r="CX107" i="67"/>
  <c r="CW110" i="67"/>
  <c r="DJ111" i="67"/>
  <c r="E111" i="153"/>
  <c r="N111" i="153" s="1"/>
  <c r="DI112" i="67"/>
  <c r="H112" i="75"/>
  <c r="F112" i="28"/>
  <c r="CS114" i="67"/>
  <c r="F114" i="32"/>
  <c r="DC3" i="67"/>
  <c r="E3" i="151"/>
  <c r="K3" i="151" s="1"/>
  <c r="O3" i="151" s="1"/>
  <c r="CJ4" i="67"/>
  <c r="DI5" i="67"/>
  <c r="H5" i="75"/>
  <c r="F5" i="28"/>
  <c r="G6" i="75"/>
  <c r="CY7" i="67"/>
  <c r="CV8" i="67"/>
  <c r="E8" i="153"/>
  <c r="N8" i="153" s="1"/>
  <c r="DE9" i="67"/>
  <c r="F9" i="153"/>
  <c r="O9" i="153" s="1"/>
  <c r="CL10" i="67"/>
  <c r="DK11" i="67"/>
  <c r="CR12" i="67"/>
  <c r="DA13" i="67"/>
  <c r="DG15" i="67"/>
  <c r="F15" i="32"/>
  <c r="CN16" i="67"/>
  <c r="E16" i="30"/>
  <c r="CO19" i="67"/>
  <c r="E19" i="151"/>
  <c r="K19" i="151" s="1"/>
  <c r="O19" i="151" s="1"/>
  <c r="CJ20" i="67"/>
  <c r="DI21" i="67"/>
  <c r="H21" i="75"/>
  <c r="F21" i="28"/>
  <c r="CP22" i="67"/>
  <c r="G22" i="75"/>
  <c r="CK23" i="67"/>
  <c r="E24" i="153"/>
  <c r="N24" i="153" s="1"/>
  <c r="F25" i="153"/>
  <c r="O25" i="153" s="1"/>
  <c r="CZ26" i="67"/>
  <c r="CW27" i="67"/>
  <c r="CR28" i="67"/>
  <c r="CM29" i="67"/>
  <c r="CS31" i="67"/>
  <c r="F31" i="32"/>
  <c r="DB32" i="67"/>
  <c r="E32" i="30"/>
  <c r="E35" i="151"/>
  <c r="K35" i="151" s="1"/>
  <c r="O35" i="151" s="1"/>
  <c r="CJ36" i="67"/>
  <c r="H37" i="75"/>
  <c r="F37" i="28"/>
  <c r="DD38" i="67"/>
  <c r="G38" i="75"/>
  <c r="CK39" i="67"/>
  <c r="E40" i="153"/>
  <c r="N40" i="153" s="1"/>
  <c r="F41" i="153"/>
  <c r="O41" i="153" s="1"/>
  <c r="CL42" i="67"/>
  <c r="DA45" i="67"/>
  <c r="F47" i="32"/>
  <c r="CN48" i="67"/>
  <c r="E48" i="30"/>
  <c r="H51" i="154"/>
  <c r="Q51" i="154" s="1"/>
  <c r="H51" i="153"/>
  <c r="Q51" i="153" s="1"/>
  <c r="H51" i="151"/>
  <c r="N51" i="151" s="1"/>
  <c r="H51" i="34"/>
  <c r="H51" i="152"/>
  <c r="N51" i="152" s="1"/>
  <c r="H51" i="30"/>
  <c r="CA65" i="67"/>
  <c r="G54" i="75"/>
  <c r="CN56" i="67"/>
  <c r="E56" i="30"/>
  <c r="DI57" i="67"/>
  <c r="H57" i="75"/>
  <c r="F57" i="28"/>
  <c r="CZ58" i="67"/>
  <c r="F59" i="32"/>
  <c r="CJ60" i="67"/>
  <c r="J60" i="154"/>
  <c r="S60" i="154" s="1"/>
  <c r="J60" i="153"/>
  <c r="S60" i="153" s="1"/>
  <c r="F61" i="153"/>
  <c r="O61" i="153" s="1"/>
  <c r="BN74" i="67"/>
  <c r="DJ63" i="67"/>
  <c r="E63" i="153"/>
  <c r="N63" i="153" s="1"/>
  <c r="H64" i="153"/>
  <c r="Q64" i="153" s="1"/>
  <c r="H64" i="154"/>
  <c r="Q64" i="154" s="1"/>
  <c r="H64" i="151"/>
  <c r="N64" i="151" s="1"/>
  <c r="H64" i="30"/>
  <c r="H64" i="34"/>
  <c r="H64" i="152"/>
  <c r="N64" i="152" s="1"/>
  <c r="CR65" i="67"/>
  <c r="BX77" i="67"/>
  <c r="G66" i="75"/>
  <c r="BV78" i="67"/>
  <c r="DB67" i="67"/>
  <c r="E67" i="30"/>
  <c r="BT79" i="67"/>
  <c r="CZ68" i="67"/>
  <c r="BR80" i="67"/>
  <c r="BP81" i="67"/>
  <c r="BN82" i="67"/>
  <c r="DJ71" i="67"/>
  <c r="E71" i="153"/>
  <c r="N71" i="153" s="1"/>
  <c r="H72" i="153"/>
  <c r="Q72" i="153" s="1"/>
  <c r="H72" i="151"/>
  <c r="N72" i="151" s="1"/>
  <c r="H72" i="154"/>
  <c r="Q72" i="154" s="1"/>
  <c r="H72" i="34"/>
  <c r="H72" i="30"/>
  <c r="H72" i="152"/>
  <c r="N72" i="152" s="1"/>
  <c r="BX85" i="67"/>
  <c r="G74" i="75"/>
  <c r="E77" i="30"/>
  <c r="H78" i="154"/>
  <c r="H78" i="153"/>
  <c r="Q78" i="153" s="1"/>
  <c r="H78" i="34"/>
  <c r="H126" i="34" s="1"/>
  <c r="H78" i="30"/>
  <c r="H78" i="151"/>
  <c r="N78" i="151" s="1"/>
  <c r="H78" i="152"/>
  <c r="DF79" i="67"/>
  <c r="CL80" i="67"/>
  <c r="E81" i="153"/>
  <c r="N81" i="153" s="1"/>
  <c r="G82" i="75"/>
  <c r="CJ83" i="67"/>
  <c r="E85" i="30"/>
  <c r="H86" i="154"/>
  <c r="H86" i="153"/>
  <c r="Q86" i="153" s="1"/>
  <c r="H86" i="30"/>
  <c r="H86" i="152"/>
  <c r="H86" i="34"/>
  <c r="H134" i="34" s="1"/>
  <c r="H86" i="151"/>
  <c r="N86" i="151" s="1"/>
  <c r="CR87" i="67"/>
  <c r="CL88" i="67"/>
  <c r="E89" i="153"/>
  <c r="N89" i="153" s="1"/>
  <c r="DH90" i="67"/>
  <c r="CP92" i="67"/>
  <c r="G92" i="75"/>
  <c r="DB93" i="67"/>
  <c r="E93" i="30"/>
  <c r="CL94" i="67"/>
  <c r="H96" i="153"/>
  <c r="Q96" i="153" s="1"/>
  <c r="H96" i="151"/>
  <c r="N96" i="151" s="1"/>
  <c r="H96" i="154"/>
  <c r="H96" i="152"/>
  <c r="H96" i="30"/>
  <c r="H96" i="34"/>
  <c r="H144" i="34" s="1"/>
  <c r="DJ97" i="67"/>
  <c r="E97" i="153"/>
  <c r="N97" i="153" s="1"/>
  <c r="CS99" i="67"/>
  <c r="F99" i="32"/>
  <c r="CR100" i="67"/>
  <c r="F101" i="153"/>
  <c r="O101" i="153" s="1"/>
  <c r="G102" i="75"/>
  <c r="E103" i="151"/>
  <c r="K103" i="151" s="1"/>
  <c r="CN104" i="67"/>
  <c r="E104" i="30"/>
  <c r="CM105" i="67"/>
  <c r="CL106" i="67"/>
  <c r="CK107" i="67"/>
  <c r="CW111" i="67"/>
  <c r="CV112" i="67"/>
  <c r="E112" i="153"/>
  <c r="N112" i="153" s="1"/>
  <c r="H113" i="75"/>
  <c r="F113" i="28"/>
  <c r="DG115" i="67"/>
  <c r="F115" i="32"/>
  <c r="DK13" i="67"/>
  <c r="CW14" i="67"/>
  <c r="DF15" i="67"/>
  <c r="CM16" i="67"/>
  <c r="DG18" i="67"/>
  <c r="F18" i="32"/>
  <c r="DE28" i="67"/>
  <c r="F28" i="153"/>
  <c r="O28" i="153" s="1"/>
  <c r="CW30" i="67"/>
  <c r="DF31" i="67"/>
  <c r="F34" i="32"/>
  <c r="CN35" i="67"/>
  <c r="E35" i="30"/>
  <c r="DH37" i="67"/>
  <c r="CO38" i="67"/>
  <c r="E38" i="151"/>
  <c r="K38" i="151" s="1"/>
  <c r="O38" i="151" s="1"/>
  <c r="CX39" i="67"/>
  <c r="CR47" i="67"/>
  <c r="BQ80" i="67"/>
  <c r="DI71" i="67"/>
  <c r="F71" i="28"/>
  <c r="H71" i="75"/>
  <c r="F73" i="153"/>
  <c r="O73" i="153" s="1"/>
  <c r="BW85" i="67"/>
  <c r="DC74" i="67"/>
  <c r="E74" i="151"/>
  <c r="K74" i="151" s="1"/>
  <c r="F79" i="153"/>
  <c r="O79" i="153" s="1"/>
  <c r="DI2" i="67"/>
  <c r="H2" i="75"/>
  <c r="F2" i="28"/>
  <c r="DA10" i="67"/>
  <c r="F12" i="32"/>
  <c r="CN13" i="67"/>
  <c r="E13" i="30"/>
  <c r="E16" i="151"/>
  <c r="K16" i="151" s="1"/>
  <c r="O16" i="151" s="1"/>
  <c r="DI18" i="67"/>
  <c r="H18" i="75"/>
  <c r="F18" i="28"/>
  <c r="CP19" i="67"/>
  <c r="G19" i="75"/>
  <c r="CQ22" i="67"/>
  <c r="F22" i="153"/>
  <c r="O22" i="153" s="1"/>
  <c r="CW24" i="67"/>
  <c r="DA26" i="67"/>
  <c r="DG28" i="67"/>
  <c r="F28" i="32"/>
  <c r="CN29" i="67"/>
  <c r="E29" i="30"/>
  <c r="DI34" i="67"/>
  <c r="H34" i="75"/>
  <c r="F34" i="28"/>
  <c r="G35" i="75"/>
  <c r="E37" i="153"/>
  <c r="N37" i="153" s="1"/>
  <c r="DE38" i="67"/>
  <c r="F38" i="153"/>
  <c r="O38" i="153" s="1"/>
  <c r="DK40" i="67"/>
  <c r="CM42" i="67"/>
  <c r="F44" i="32"/>
  <c r="DB45" i="67"/>
  <c r="E45" i="30"/>
  <c r="CT47" i="67"/>
  <c r="E48" i="151"/>
  <c r="K48" i="151" s="1"/>
  <c r="O48" i="151" s="1"/>
  <c r="CX49" i="67"/>
  <c r="CU50" i="67"/>
  <c r="H50" i="75"/>
  <c r="F50" i="28"/>
  <c r="DG52" i="67"/>
  <c r="F52" i="32"/>
  <c r="CX53" i="67"/>
  <c r="J53" i="153"/>
  <c r="S53" i="153" s="1"/>
  <c r="J53" i="154"/>
  <c r="S53" i="154" s="1"/>
  <c r="CQ54" i="67"/>
  <c r="F54" i="153"/>
  <c r="O54" i="153" s="1"/>
  <c r="BZ67" i="67"/>
  <c r="DC56" i="67"/>
  <c r="E56" i="151"/>
  <c r="K56" i="151" s="1"/>
  <c r="DJ57" i="67"/>
  <c r="E57" i="153"/>
  <c r="N57" i="153" s="1"/>
  <c r="CM58" i="67"/>
  <c r="CK60" i="67"/>
  <c r="H60" i="153"/>
  <c r="Q60" i="153" s="1"/>
  <c r="H60" i="154"/>
  <c r="Q60" i="154" s="1"/>
  <c r="H60" i="152"/>
  <c r="N60" i="152" s="1"/>
  <c r="H60" i="34"/>
  <c r="H60" i="30"/>
  <c r="H60" i="151"/>
  <c r="N60" i="151" s="1"/>
  <c r="DF61" i="67"/>
  <c r="BO74" i="67"/>
  <c r="DI64" i="67"/>
  <c r="H64" i="75"/>
  <c r="F64" i="28"/>
  <c r="F65" i="32"/>
  <c r="F66" i="153"/>
  <c r="O66" i="153" s="1"/>
  <c r="BW78" i="67"/>
  <c r="DC67" i="67"/>
  <c r="E67" i="151"/>
  <c r="K67" i="151" s="1"/>
  <c r="BU79" i="67"/>
  <c r="DA68" i="67"/>
  <c r="BS80" i="67"/>
  <c r="BQ81" i="67"/>
  <c r="BO82" i="67"/>
  <c r="CW71" i="67"/>
  <c r="H72" i="75"/>
  <c r="F72" i="28"/>
  <c r="F73" i="32"/>
  <c r="F74" i="153"/>
  <c r="O74" i="153" s="1"/>
  <c r="CK75" i="67"/>
  <c r="DI76" i="67"/>
  <c r="H76" i="75"/>
  <c r="F76" i="28"/>
  <c r="CO77" i="67"/>
  <c r="E77" i="151"/>
  <c r="K77" i="151" s="1"/>
  <c r="O77" i="151" s="1"/>
  <c r="F79" i="32"/>
  <c r="DA80" i="67"/>
  <c r="DK81" i="67"/>
  <c r="F82" i="153"/>
  <c r="O82" i="153" s="1"/>
  <c r="H84" i="75"/>
  <c r="F84" i="28"/>
  <c r="DC85" i="67"/>
  <c r="E85" i="151"/>
  <c r="K85" i="151" s="1"/>
  <c r="O85" i="151" s="1"/>
  <c r="CS87" i="67"/>
  <c r="F87" i="32"/>
  <c r="DA88" i="67"/>
  <c r="DK89" i="67"/>
  <c r="CU90" i="67"/>
  <c r="H90" i="75"/>
  <c r="F90" i="28"/>
  <c r="CS91" i="67"/>
  <c r="F91" i="32"/>
  <c r="CQ92" i="67"/>
  <c r="F92" i="153"/>
  <c r="O92" i="153" s="1"/>
  <c r="CO93" i="67"/>
  <c r="E93" i="151"/>
  <c r="K93" i="151" s="1"/>
  <c r="O93" i="151" s="1"/>
  <c r="DA94" i="67"/>
  <c r="DK97" i="67"/>
  <c r="DI98" i="67"/>
  <c r="H98" i="75"/>
  <c r="F98" i="28"/>
  <c r="F100" i="32"/>
  <c r="DF101" i="67"/>
  <c r="F102" i="153"/>
  <c r="O102" i="153" s="1"/>
  <c r="G103" i="75"/>
  <c r="DC104" i="67"/>
  <c r="E104" i="151"/>
  <c r="K104" i="151" s="1"/>
  <c r="DB105" i="67"/>
  <c r="E105" i="30"/>
  <c r="CM106" i="67"/>
  <c r="CL107" i="67"/>
  <c r="CK108" i="67"/>
  <c r="CJ109" i="67"/>
  <c r="CW112" i="67"/>
  <c r="DJ113" i="67"/>
  <c r="E113" i="153"/>
  <c r="N113" i="153" s="1"/>
  <c r="DI114" i="67"/>
  <c r="H114" i="75"/>
  <c r="F114" i="28"/>
  <c r="DH115" i="67"/>
  <c r="CU7" i="67"/>
  <c r="H7" i="75"/>
  <c r="F7" i="28"/>
  <c r="G8" i="75"/>
  <c r="F11" i="153"/>
  <c r="O11" i="153" s="1"/>
  <c r="DB19" i="67"/>
  <c r="E19" i="30"/>
  <c r="DH21" i="67"/>
  <c r="CO22" i="67"/>
  <c r="E22" i="151"/>
  <c r="K22" i="151" s="1"/>
  <c r="O22" i="151" s="1"/>
  <c r="CX23" i="67"/>
  <c r="H24" i="75"/>
  <c r="F24" i="28"/>
  <c r="G25" i="75"/>
  <c r="DJ27" i="67"/>
  <c r="E27" i="153"/>
  <c r="N27" i="153" s="1"/>
  <c r="CL29" i="67"/>
  <c r="DA32" i="67"/>
  <c r="DI40" i="67"/>
  <c r="H40" i="75"/>
  <c r="F40" i="28"/>
  <c r="G41" i="75"/>
  <c r="CK42" i="67"/>
  <c r="DJ43" i="67"/>
  <c r="E43" i="153"/>
  <c r="N43" i="153" s="1"/>
  <c r="DE44" i="67"/>
  <c r="F44" i="153"/>
  <c r="O44" i="153" s="1"/>
  <c r="DA48" i="67"/>
  <c r="CS50" i="67"/>
  <c r="F50" i="32"/>
  <c r="CJ51" i="67"/>
  <c r="J51" i="153"/>
  <c r="S51" i="153" s="1"/>
  <c r="J51" i="154"/>
  <c r="S51" i="154" s="1"/>
  <c r="F52" i="153"/>
  <c r="O52" i="153" s="1"/>
  <c r="BZ65" i="67"/>
  <c r="DC54" i="67"/>
  <c r="E54" i="151"/>
  <c r="K54" i="151" s="1"/>
  <c r="O54" i="151" s="1"/>
  <c r="CA72" i="67"/>
  <c r="G61" i="75"/>
  <c r="CW62" i="67"/>
  <c r="CU63" i="67"/>
  <c r="F63" i="28"/>
  <c r="H63" i="75"/>
  <c r="CS64" i="67"/>
  <c r="F64" i="32"/>
  <c r="F65" i="153"/>
  <c r="O65" i="153" s="1"/>
  <c r="BW77" i="67"/>
  <c r="E66" i="151"/>
  <c r="K66" i="151" s="1"/>
  <c r="BU78" i="67"/>
  <c r="DA67" i="67"/>
  <c r="BS79" i="67"/>
  <c r="CY68" i="67"/>
  <c r="BO81" i="67"/>
  <c r="CW70" i="67"/>
  <c r="DG72" i="67"/>
  <c r="F72" i="32"/>
  <c r="F76" i="32"/>
  <c r="DA77" i="67"/>
  <c r="CW78" i="67"/>
  <c r="G3" i="75"/>
  <c r="CV5" i="67"/>
  <c r="E5" i="153"/>
  <c r="N5" i="153" s="1"/>
  <c r="CQ6" i="67"/>
  <c r="F6" i="153"/>
  <c r="O6" i="153" s="1"/>
  <c r="CZ7" i="67"/>
  <c r="CR9" i="67"/>
  <c r="CJ17" i="67"/>
  <c r="DJ21" i="67"/>
  <c r="E21" i="153"/>
  <c r="N21" i="153" s="1"/>
  <c r="CL23" i="67"/>
  <c r="DC32" i="67"/>
  <c r="E32" i="151"/>
  <c r="K32" i="151" s="1"/>
  <c r="O32" i="151" s="1"/>
  <c r="CX33" i="67"/>
  <c r="E2" i="153"/>
  <c r="N2" i="153" s="1"/>
  <c r="F3" i="153"/>
  <c r="O3" i="153" s="1"/>
  <c r="CZ4" i="67"/>
  <c r="CW5" i="67"/>
  <c r="DA7" i="67"/>
  <c r="CS9" i="67"/>
  <c r="F9" i="32"/>
  <c r="E10" i="30"/>
  <c r="CO13" i="67"/>
  <c r="E13" i="151"/>
  <c r="K13" i="151" s="1"/>
  <c r="O13" i="151" s="1"/>
  <c r="DI15" i="67"/>
  <c r="H15" i="75"/>
  <c r="F15" i="28"/>
  <c r="G16" i="75"/>
  <c r="CK17" i="67"/>
  <c r="CV18" i="67"/>
  <c r="E18" i="153"/>
  <c r="N18" i="153" s="1"/>
  <c r="CQ19" i="67"/>
  <c r="F19" i="153"/>
  <c r="O19" i="153" s="1"/>
  <c r="CZ20" i="67"/>
  <c r="CW21" i="67"/>
  <c r="CR22" i="67"/>
  <c r="DA23" i="67"/>
  <c r="DG25" i="67"/>
  <c r="F25" i="32"/>
  <c r="CN26" i="67"/>
  <c r="E26" i="30"/>
  <c r="DC29" i="67"/>
  <c r="E29" i="151"/>
  <c r="K29" i="151" s="1"/>
  <c r="O29" i="151" s="1"/>
  <c r="CX30" i="67"/>
  <c r="DI31" i="67"/>
  <c r="F31" i="28"/>
  <c r="H31" i="75"/>
  <c r="G32" i="75"/>
  <c r="CK33" i="67"/>
  <c r="DJ34" i="67"/>
  <c r="E34" i="153"/>
  <c r="N34" i="153" s="1"/>
  <c r="F35" i="153"/>
  <c r="O35" i="153" s="1"/>
  <c r="CZ36" i="67"/>
  <c r="DK37" i="67"/>
  <c r="CR38" i="67"/>
  <c r="DA39" i="67"/>
  <c r="CS41" i="67"/>
  <c r="F41" i="32"/>
  <c r="E42" i="30"/>
  <c r="DH44" i="67"/>
  <c r="E45" i="151"/>
  <c r="K45" i="151" s="1"/>
  <c r="O45" i="151" s="1"/>
  <c r="H47" i="75"/>
  <c r="F47" i="28"/>
  <c r="G48" i="75"/>
  <c r="CY49" i="67"/>
  <c r="CV50" i="67"/>
  <c r="E50" i="153"/>
  <c r="N50" i="153" s="1"/>
  <c r="CM51" i="67"/>
  <c r="H53" i="154"/>
  <c r="Q53" i="154" s="1"/>
  <c r="H53" i="153"/>
  <c r="Q53" i="153" s="1"/>
  <c r="H53" i="152"/>
  <c r="N53" i="152" s="1"/>
  <c r="H53" i="30"/>
  <c r="H53" i="34"/>
  <c r="H53" i="151"/>
  <c r="N53" i="151" s="1"/>
  <c r="DF54" i="67"/>
  <c r="CA67" i="67"/>
  <c r="G56" i="75"/>
  <c r="CW57" i="67"/>
  <c r="DB58" i="67"/>
  <c r="E58" i="30"/>
  <c r="CU59" i="67"/>
  <c r="H59" i="75"/>
  <c r="F59" i="28"/>
  <c r="CL60" i="67"/>
  <c r="DG61" i="67"/>
  <c r="F61" i="32"/>
  <c r="BP74" i="67"/>
  <c r="BN75" i="67"/>
  <c r="E64" i="153"/>
  <c r="N64" i="153" s="1"/>
  <c r="DH65" i="67"/>
  <c r="H65" i="154"/>
  <c r="Q65" i="154" s="1"/>
  <c r="H65" i="152"/>
  <c r="N65" i="152" s="1"/>
  <c r="H65" i="153"/>
  <c r="Q65" i="153" s="1"/>
  <c r="H65" i="151"/>
  <c r="N65" i="151" s="1"/>
  <c r="H65" i="30"/>
  <c r="H65" i="34"/>
  <c r="BX78" i="67"/>
  <c r="G67" i="75"/>
  <c r="BV79" i="67"/>
  <c r="DB68" i="67"/>
  <c r="E68" i="30"/>
  <c r="BT80" i="67"/>
  <c r="BR81" i="67"/>
  <c r="BP82" i="67"/>
  <c r="BN83" i="67"/>
  <c r="DJ72" i="67"/>
  <c r="E72" i="153"/>
  <c r="N72" i="153" s="1"/>
  <c r="H73" i="154"/>
  <c r="Q73" i="154" s="1"/>
  <c r="H73" i="152"/>
  <c r="N73" i="152" s="1"/>
  <c r="H73" i="151"/>
  <c r="N73" i="151" s="1"/>
  <c r="H73" i="153"/>
  <c r="Q73" i="153" s="1"/>
  <c r="H73" i="34"/>
  <c r="H73" i="30"/>
  <c r="CZ75" i="67"/>
  <c r="DJ76" i="67"/>
  <c r="E76" i="153"/>
  <c r="N76" i="153" s="1"/>
  <c r="G77" i="75"/>
  <c r="CX78" i="67"/>
  <c r="CN80" i="67"/>
  <c r="E80" i="30"/>
  <c r="H81" i="154"/>
  <c r="H81" i="153"/>
  <c r="Q81" i="153" s="1"/>
  <c r="H81" i="152"/>
  <c r="H81" i="151"/>
  <c r="N81" i="151" s="1"/>
  <c r="H81" i="30"/>
  <c r="H81" i="34"/>
  <c r="H129" i="34" s="1"/>
  <c r="CV84" i="67"/>
  <c r="E84" i="153"/>
  <c r="N84" i="153" s="1"/>
  <c r="G85" i="75"/>
  <c r="CJ86" i="67"/>
  <c r="E88" i="30"/>
  <c r="H89" i="154"/>
  <c r="H89" i="152"/>
  <c r="H89" i="151"/>
  <c r="N89" i="151" s="1"/>
  <c r="H89" i="153"/>
  <c r="Q89" i="153" s="1"/>
  <c r="H89" i="34"/>
  <c r="H137" i="34" s="1"/>
  <c r="H89" i="30"/>
  <c r="CV90" i="67"/>
  <c r="E90" i="153"/>
  <c r="N90" i="153" s="1"/>
  <c r="DF92" i="67"/>
  <c r="G93" i="75"/>
  <c r="CN94" i="67"/>
  <c r="E94" i="30"/>
  <c r="CX96" i="67"/>
  <c r="H97" i="154"/>
  <c r="H97" i="152"/>
  <c r="H97" i="151"/>
  <c r="N97" i="151" s="1"/>
  <c r="H97" i="30"/>
  <c r="H97" i="153"/>
  <c r="Q97" i="153" s="1"/>
  <c r="H97" i="34"/>
  <c r="H145" i="34" s="1"/>
  <c r="DJ98" i="67"/>
  <c r="E98" i="153"/>
  <c r="N98" i="153" s="1"/>
  <c r="DI99" i="67"/>
  <c r="H99" i="75"/>
  <c r="F99" i="28"/>
  <c r="DG101" i="67"/>
  <c r="F101" i="32"/>
  <c r="DF102" i="67"/>
  <c r="F103" i="153"/>
  <c r="O103" i="153" s="1"/>
  <c r="G104" i="75"/>
  <c r="DC105" i="67"/>
  <c r="E105" i="151"/>
  <c r="K105" i="151" s="1"/>
  <c r="DB106" i="67"/>
  <c r="E106" i="30"/>
  <c r="DA107" i="67"/>
  <c r="CZ108" i="67"/>
  <c r="CY109" i="67"/>
  <c r="CJ110" i="67"/>
  <c r="CW113" i="67"/>
  <c r="E114" i="153"/>
  <c r="N114" i="153" s="1"/>
  <c r="CU115" i="67"/>
  <c r="H115" i="75"/>
  <c r="F115" i="28"/>
  <c r="AC6" i="24"/>
  <c r="D30" i="74" s="1"/>
  <c r="AL6" i="24"/>
  <c r="AC7" i="24"/>
  <c r="E30" i="74" s="1"/>
  <c r="AA4" i="23"/>
  <c r="AL7" i="24"/>
  <c r="AC8" i="24"/>
  <c r="F30" i="74" s="1"/>
  <c r="L8" i="24"/>
  <c r="F28" i="25" s="1"/>
  <c r="AC9" i="24"/>
  <c r="G30" i="74" s="1"/>
  <c r="D5" i="24"/>
  <c r="AC10" i="24"/>
  <c r="H30" i="74" s="1"/>
  <c r="AC11" i="24"/>
  <c r="I30" i="74" s="1"/>
  <c r="AC12" i="24"/>
  <c r="J30" i="74" s="1"/>
  <c r="AC13" i="24"/>
  <c r="K30" i="74" s="1"/>
  <c r="AC5" i="24"/>
  <c r="AL5" i="24"/>
  <c r="U6" i="24"/>
  <c r="U7" i="24"/>
  <c r="E29" i="25" s="1"/>
  <c r="U5" i="24"/>
  <c r="C29" i="25" s="1"/>
  <c r="L5" i="24"/>
  <c r="C28" i="25" s="1"/>
  <c r="AA10" i="23"/>
  <c r="AA9" i="23"/>
  <c r="AA11" i="23"/>
  <c r="K4" i="23"/>
  <c r="Y5" i="17"/>
  <c r="S8" i="23"/>
  <c r="G49" i="25" s="1"/>
  <c r="S4" i="23"/>
  <c r="C49" i="25" s="1"/>
  <c r="BL5" i="17"/>
  <c r="AA5" i="23"/>
  <c r="AA7" i="23"/>
  <c r="AU5" i="17"/>
  <c r="T5" i="57" s="1"/>
  <c r="V5" i="57" s="1"/>
  <c r="AA8" i="23"/>
  <c r="AJ5" i="17"/>
  <c r="K5" i="57" s="1"/>
  <c r="M5" i="57" s="1"/>
  <c r="AA6" i="23"/>
  <c r="BL6" i="17"/>
  <c r="S7" i="23"/>
  <c r="F49" i="25" s="1"/>
  <c r="AA12" i="23"/>
  <c r="AU6" i="17"/>
  <c r="T6" i="57" s="1"/>
  <c r="V6" i="57" s="1"/>
  <c r="O4" i="23"/>
  <c r="C48" i="25" s="1"/>
  <c r="AJ13" i="17"/>
  <c r="K13" i="57" s="1"/>
  <c r="M13" i="57" s="1"/>
  <c r="O13" i="23"/>
  <c r="L48" i="25" s="1"/>
  <c r="S6" i="23"/>
  <c r="E49" i="25" s="1"/>
  <c r="O10" i="23"/>
  <c r="I48" i="25" s="1"/>
  <c r="AJ12" i="17"/>
  <c r="K12" i="57" s="1"/>
  <c r="M12" i="57" s="1"/>
  <c r="S5" i="23"/>
  <c r="D49" i="25" s="1"/>
  <c r="O12" i="23"/>
  <c r="K48" i="25" s="1"/>
  <c r="S13" i="23"/>
  <c r="L49" i="25" s="1"/>
  <c r="AJ6" i="17"/>
  <c r="K6" i="57" s="1"/>
  <c r="M6" i="57" s="1"/>
  <c r="O6" i="23"/>
  <c r="E48" i="25" s="1"/>
  <c r="AA13" i="23"/>
  <c r="AJ11" i="17"/>
  <c r="K11" i="57" s="1"/>
  <c r="M11" i="57" s="1"/>
  <c r="AJ10" i="17"/>
  <c r="K10" i="57" s="1"/>
  <c r="M10" i="57" s="1"/>
  <c r="L6" i="24"/>
  <c r="D28" i="25" s="1"/>
  <c r="S12" i="23"/>
  <c r="K49" i="25" s="1"/>
  <c r="O11" i="23"/>
  <c r="J48" i="25" s="1"/>
  <c r="AC14" i="24"/>
  <c r="L30" i="74" s="1"/>
  <c r="S11" i="23"/>
  <c r="J49" i="25" s="1"/>
  <c r="L7" i="24"/>
  <c r="E28" i="25" s="1"/>
  <c r="AJ8" i="17"/>
  <c r="K8" i="57" s="1"/>
  <c r="M8" i="57" s="1"/>
  <c r="O9" i="23"/>
  <c r="H48" i="25" s="1"/>
  <c r="S10" i="23"/>
  <c r="I49" i="25" s="1"/>
  <c r="AJ7" i="17"/>
  <c r="K7" i="57" s="1"/>
  <c r="M7" i="57" s="1"/>
  <c r="AU12" i="17"/>
  <c r="T12" i="57" s="1"/>
  <c r="V12" i="57" s="1"/>
  <c r="S9" i="23"/>
  <c r="H49" i="25" s="1"/>
  <c r="O7" i="23"/>
  <c r="F48" i="25" s="1"/>
  <c r="O8" i="23"/>
  <c r="G48" i="25" s="1"/>
  <c r="AU10" i="17"/>
  <c r="T10" i="57" s="1"/>
  <c r="V10" i="57" s="1"/>
  <c r="AU9" i="17"/>
  <c r="T9" i="57" s="1"/>
  <c r="V9" i="57" s="1"/>
  <c r="AJ14" i="17"/>
  <c r="K14" i="57" s="1"/>
  <c r="O5" i="23"/>
  <c r="D48" i="25" s="1"/>
  <c r="AU8" i="17"/>
  <c r="T8" i="57" s="1"/>
  <c r="V8" i="57" s="1"/>
  <c r="U8" i="24"/>
  <c r="AU13" i="17"/>
  <c r="T13" i="57" s="1"/>
  <c r="V13" i="57" s="1"/>
  <c r="BL7" i="17"/>
  <c r="AL8" i="24"/>
  <c r="AU11" i="17"/>
  <c r="T11" i="57" s="1"/>
  <c r="V11" i="57" s="1"/>
  <c r="AU14" i="17"/>
  <c r="T14" i="57" s="1"/>
  <c r="AU7" i="17"/>
  <c r="T7" i="57" s="1"/>
  <c r="V7" i="57" s="1"/>
  <c r="AL9" i="24"/>
  <c r="L10" i="24"/>
  <c r="H28" i="25" s="1"/>
  <c r="BL8" i="17"/>
  <c r="U9" i="24"/>
  <c r="BL9" i="17"/>
  <c r="L11" i="24"/>
  <c r="I28" i="25" s="1"/>
  <c r="U10" i="24"/>
  <c r="AL10" i="24"/>
  <c r="L12" i="24"/>
  <c r="J28" i="25" s="1"/>
  <c r="AL11" i="24"/>
  <c r="BL10" i="17"/>
  <c r="U11" i="24"/>
  <c r="L13" i="24"/>
  <c r="K28" i="25" s="1"/>
  <c r="BL11" i="17"/>
  <c r="AL12" i="24"/>
  <c r="U12" i="24"/>
  <c r="L14" i="24"/>
  <c r="BL12" i="17"/>
  <c r="AL13" i="24"/>
  <c r="U13" i="24"/>
  <c r="AL14" i="24"/>
  <c r="BL13" i="17"/>
  <c r="U14" i="24"/>
  <c r="DC26" i="67"/>
  <c r="E26" i="151"/>
  <c r="K26" i="151" s="1"/>
  <c r="O26" i="151" s="1"/>
  <c r="CJ27" i="67"/>
  <c r="DI28" i="67"/>
  <c r="H28" i="75"/>
  <c r="F28" i="28"/>
  <c r="G29" i="75"/>
  <c r="E31" i="153"/>
  <c r="N31" i="153" s="1"/>
  <c r="CQ32" i="67"/>
  <c r="F32" i="153"/>
  <c r="O32" i="153" s="1"/>
  <c r="CL33" i="67"/>
  <c r="CW34" i="67"/>
  <c r="DA36" i="67"/>
  <c r="F38" i="32"/>
  <c r="DB39" i="67"/>
  <c r="E39" i="30"/>
  <c r="E42" i="151"/>
  <c r="K42" i="151" s="1"/>
  <c r="O42" i="151" s="1"/>
  <c r="CJ43" i="67"/>
  <c r="CU44" i="67"/>
  <c r="H44" i="75"/>
  <c r="F44" i="28"/>
  <c r="G45" i="75"/>
  <c r="DJ47" i="67"/>
  <c r="E47" i="153"/>
  <c r="N47" i="153" s="1"/>
  <c r="CQ48" i="67"/>
  <c r="F48" i="153"/>
  <c r="O48" i="153" s="1"/>
  <c r="CZ49" i="67"/>
  <c r="CW50" i="67"/>
  <c r="CN51" i="67"/>
  <c r="E51" i="30"/>
  <c r="DI52" i="67"/>
  <c r="H52" i="75"/>
  <c r="F52" i="28"/>
  <c r="CZ53" i="67"/>
  <c r="CS54" i="67"/>
  <c r="F54" i="32"/>
  <c r="J55" i="153"/>
  <c r="S55" i="153" s="1"/>
  <c r="J55" i="154"/>
  <c r="S55" i="154" s="1"/>
  <c r="DE56" i="67"/>
  <c r="F56" i="153"/>
  <c r="O56" i="153" s="1"/>
  <c r="BZ69" i="67"/>
  <c r="DC58" i="67"/>
  <c r="E58" i="151"/>
  <c r="K58" i="151" s="1"/>
  <c r="O58" i="151" s="1"/>
  <c r="E59" i="153"/>
  <c r="N59" i="153" s="1"/>
  <c r="DA60" i="67"/>
  <c r="CT61" i="67"/>
  <c r="BQ74" i="67"/>
  <c r="BO75" i="67"/>
  <c r="CU65" i="67"/>
  <c r="H65" i="75"/>
  <c r="F65" i="28"/>
  <c r="CS66" i="67"/>
  <c r="DG66" i="67"/>
  <c r="F66" i="32"/>
  <c r="CQ67" i="67"/>
  <c r="F67" i="153"/>
  <c r="O67" i="153" s="1"/>
  <c r="BW79" i="67"/>
  <c r="CO68" i="67"/>
  <c r="E68" i="151"/>
  <c r="K68" i="151" s="1"/>
  <c r="BU80" i="67"/>
  <c r="BS81" i="67"/>
  <c r="CY70" i="67"/>
  <c r="BQ82" i="67"/>
  <c r="BO83" i="67"/>
  <c r="CW72" i="67"/>
  <c r="DI73" i="67"/>
  <c r="H73" i="75"/>
  <c r="F73" i="28"/>
  <c r="F74" i="32"/>
  <c r="CQ77" i="67"/>
  <c r="F77" i="153"/>
  <c r="O77" i="153" s="1"/>
  <c r="CY78" i="67"/>
  <c r="DI79" i="67"/>
  <c r="F79" i="28"/>
  <c r="H79" i="75"/>
  <c r="CO80" i="67"/>
  <c r="E80" i="151"/>
  <c r="K80" i="151" s="1"/>
  <c r="O80" i="151" s="1"/>
  <c r="CS82" i="67"/>
  <c r="F82" i="32"/>
  <c r="DA83" i="67"/>
  <c r="F85" i="153"/>
  <c r="O85" i="153" s="1"/>
  <c r="CY86" i="67"/>
  <c r="F87" i="28"/>
  <c r="H87" i="75"/>
  <c r="E88" i="151"/>
  <c r="K88" i="151" s="1"/>
  <c r="O88" i="151" s="1"/>
  <c r="DK90" i="67"/>
  <c r="CU91" i="67"/>
  <c r="H91" i="75"/>
  <c r="F91" i="28"/>
  <c r="CS92" i="67"/>
  <c r="F92" i="32"/>
  <c r="F93" i="153"/>
  <c r="O93" i="153" s="1"/>
  <c r="CO94" i="67"/>
  <c r="E94" i="151"/>
  <c r="K94" i="151" s="1"/>
  <c r="O94" i="151" s="1"/>
  <c r="CM95" i="67"/>
  <c r="CY96" i="67"/>
  <c r="CW98" i="67"/>
  <c r="CV99" i="67"/>
  <c r="E99" i="153"/>
  <c r="N99" i="153" s="1"/>
  <c r="H100" i="75"/>
  <c r="F100" i="28"/>
  <c r="CS102" i="67"/>
  <c r="F102" i="32"/>
  <c r="CR103" i="67"/>
  <c r="F104" i="153"/>
  <c r="O104" i="153" s="1"/>
  <c r="G105" i="75"/>
  <c r="E106" i="151"/>
  <c r="K106" i="151" s="1"/>
  <c r="E107" i="30"/>
  <c r="CK110" i="67"/>
  <c r="DK114" i="67"/>
  <c r="CV115" i="67"/>
  <c r="E115" i="153"/>
  <c r="N115" i="153" s="1"/>
  <c r="CN60" i="67"/>
  <c r="E60" i="30"/>
  <c r="DI61" i="67"/>
  <c r="H61" i="75"/>
  <c r="F61" i="28"/>
  <c r="CZ62" i="67"/>
  <c r="BR74" i="67"/>
  <c r="CX63" i="67"/>
  <c r="BP75" i="67"/>
  <c r="BN76" i="67"/>
  <c r="CV65" i="67"/>
  <c r="E65" i="153"/>
  <c r="N65" i="153" s="1"/>
  <c r="DH66" i="67"/>
  <c r="H66" i="153"/>
  <c r="Q66" i="153" s="1"/>
  <c r="H66" i="154"/>
  <c r="Q66" i="154" s="1"/>
  <c r="H66" i="152"/>
  <c r="N66" i="152" s="1"/>
  <c r="H66" i="151"/>
  <c r="N66" i="151" s="1"/>
  <c r="H66" i="30"/>
  <c r="H66" i="34"/>
  <c r="DF67" i="67"/>
  <c r="BX79" i="67"/>
  <c r="DD68" i="67"/>
  <c r="G68" i="75"/>
  <c r="BV80" i="67"/>
  <c r="E69" i="30"/>
  <c r="BT81" i="67"/>
  <c r="CZ70" i="67"/>
  <c r="BR82" i="67"/>
  <c r="CX71" i="67"/>
  <c r="BP83" i="67"/>
  <c r="BN84" i="67"/>
  <c r="CV73" i="67"/>
  <c r="E73" i="153"/>
  <c r="N73" i="153" s="1"/>
  <c r="DH74" i="67"/>
  <c r="DB75" i="67"/>
  <c r="E75" i="30"/>
  <c r="H76" i="153"/>
  <c r="Q76" i="153" s="1"/>
  <c r="H76" i="154"/>
  <c r="H76" i="152"/>
  <c r="H76" i="151"/>
  <c r="N76" i="151" s="1"/>
  <c r="H76" i="34"/>
  <c r="H124" i="34" s="1"/>
  <c r="H76" i="30"/>
  <c r="CR77" i="67"/>
  <c r="CZ78" i="67"/>
  <c r="CV79" i="67"/>
  <c r="E79" i="153"/>
  <c r="N79" i="153" s="1"/>
  <c r="G80" i="75"/>
  <c r="DB83" i="67"/>
  <c r="E83" i="30"/>
  <c r="H84" i="152"/>
  <c r="H84" i="154"/>
  <c r="H84" i="153"/>
  <c r="Q84" i="153" s="1"/>
  <c r="H84" i="34"/>
  <c r="H132" i="34" s="1"/>
  <c r="H84" i="151"/>
  <c r="N84" i="151" s="1"/>
  <c r="H84" i="30"/>
  <c r="CL86" i="67"/>
  <c r="DJ87" i="67"/>
  <c r="E87" i="153"/>
  <c r="N87" i="153" s="1"/>
  <c r="G88" i="75"/>
  <c r="H90" i="154"/>
  <c r="H90" i="153"/>
  <c r="Q90" i="153" s="1"/>
  <c r="H90" i="152"/>
  <c r="H90" i="151"/>
  <c r="N90" i="151" s="1"/>
  <c r="H90" i="34"/>
  <c r="H138" i="34" s="1"/>
  <c r="H90" i="30"/>
  <c r="DJ91" i="67"/>
  <c r="E91" i="153"/>
  <c r="N91" i="153" s="1"/>
  <c r="CR93" i="67"/>
  <c r="G94" i="75"/>
  <c r="CN95" i="67"/>
  <c r="E95" i="30"/>
  <c r="CZ96" i="67"/>
  <c r="CX97" i="67"/>
  <c r="DJ100" i="67"/>
  <c r="E100" i="153"/>
  <c r="N100" i="153" s="1"/>
  <c r="H101" i="75"/>
  <c r="F101" i="28"/>
  <c r="DG103" i="67"/>
  <c r="F103" i="32"/>
  <c r="CR104" i="67"/>
  <c r="F105" i="153"/>
  <c r="O105" i="153" s="1"/>
  <c r="G106" i="75"/>
  <c r="E107" i="151"/>
  <c r="K107" i="151" s="1"/>
  <c r="DB108" i="67"/>
  <c r="E108" i="30"/>
  <c r="CL110" i="67"/>
  <c r="CY111" i="67"/>
  <c r="CJ112" i="67"/>
  <c r="DK115" i="67"/>
  <c r="G9" i="75"/>
  <c r="CR3" i="67"/>
  <c r="CV15" i="67"/>
  <c r="E15" i="153"/>
  <c r="N15" i="153" s="1"/>
  <c r="CL17" i="67"/>
  <c r="DK18" i="67"/>
  <c r="CR19" i="67"/>
  <c r="DA20" i="67"/>
  <c r="CS22" i="67"/>
  <c r="F22" i="32"/>
  <c r="E23" i="30"/>
  <c r="DB4" i="67"/>
  <c r="E4" i="30"/>
  <c r="CW15" i="67"/>
  <c r="CR16" i="67"/>
  <c r="CS19" i="67"/>
  <c r="F19" i="32"/>
  <c r="DD26" i="67"/>
  <c r="G26" i="75"/>
  <c r="CZ30" i="67"/>
  <c r="CR32" i="67"/>
  <c r="CM33" i="67"/>
  <c r="DG35" i="67"/>
  <c r="F35" i="32"/>
  <c r="DC39" i="67"/>
  <c r="E39" i="151"/>
  <c r="K39" i="151" s="1"/>
  <c r="O39" i="151" s="1"/>
  <c r="CJ40" i="67"/>
  <c r="CU41" i="67"/>
  <c r="H41" i="75"/>
  <c r="F41" i="28"/>
  <c r="G42" i="75"/>
  <c r="CV44" i="67"/>
  <c r="E44" i="153"/>
  <c r="N44" i="153" s="1"/>
  <c r="F45" i="153"/>
  <c r="O45" i="153" s="1"/>
  <c r="CZ46" i="67"/>
  <c r="DC51" i="67"/>
  <c r="E51" i="151"/>
  <c r="K51" i="151" s="1"/>
  <c r="O51" i="151" s="1"/>
  <c r="CS16" i="67"/>
  <c r="F16" i="32"/>
  <c r="DH19" i="67"/>
  <c r="DC20" i="67"/>
  <c r="E20" i="151"/>
  <c r="K20" i="151" s="1"/>
  <c r="O20" i="151" s="1"/>
  <c r="CX21" i="67"/>
  <c r="F26" i="153"/>
  <c r="O26" i="153" s="1"/>
  <c r="CS48" i="67"/>
  <c r="F48" i="32"/>
  <c r="DB49" i="67"/>
  <c r="E49" i="30"/>
  <c r="CA62" i="67"/>
  <c r="G51" i="75"/>
  <c r="DB53" i="67"/>
  <c r="E53" i="30"/>
  <c r="H54" i="75"/>
  <c r="F54" i="28"/>
  <c r="CL55" i="67"/>
  <c r="F56" i="32"/>
  <c r="CX57" i="67"/>
  <c r="J57" i="153"/>
  <c r="S57" i="153" s="1"/>
  <c r="J57" i="154"/>
  <c r="S57" i="154" s="1"/>
  <c r="BQ75" i="67"/>
  <c r="BO76" i="67"/>
  <c r="CU66" i="67"/>
  <c r="H66" i="75"/>
  <c r="F66" i="28"/>
  <c r="CS67" i="67"/>
  <c r="DG67" i="67"/>
  <c r="F67" i="32"/>
  <c r="DE68" i="67"/>
  <c r="F68" i="153"/>
  <c r="O68" i="153" s="1"/>
  <c r="BW80" i="67"/>
  <c r="CO69" i="67"/>
  <c r="E69" i="151"/>
  <c r="K69" i="151" s="1"/>
  <c r="O69" i="151" s="1"/>
  <c r="BU81" i="67"/>
  <c r="DA70" i="67"/>
  <c r="BS82" i="67"/>
  <c r="CY71" i="67"/>
  <c r="BQ83" i="67"/>
  <c r="BO84" i="67"/>
  <c r="CW73" i="67"/>
  <c r="H74" i="75"/>
  <c r="F74" i="28"/>
  <c r="DC75" i="67"/>
  <c r="E75" i="151"/>
  <c r="K75" i="151" s="1"/>
  <c r="O75" i="151" s="1"/>
  <c r="DG77" i="67"/>
  <c r="F77" i="32"/>
  <c r="DA78" i="67"/>
  <c r="F80" i="153"/>
  <c r="O80" i="153" s="1"/>
  <c r="CY81" i="67"/>
  <c r="H82" i="75"/>
  <c r="F82" i="28"/>
  <c r="DC83" i="67"/>
  <c r="E83" i="151"/>
  <c r="K83" i="151" s="1"/>
  <c r="O83" i="151" s="1"/>
  <c r="F85" i="32"/>
  <c r="DA86" i="67"/>
  <c r="DK87" i="67"/>
  <c r="F88" i="153"/>
  <c r="O88" i="153" s="1"/>
  <c r="DK91" i="67"/>
  <c r="H92" i="75"/>
  <c r="F92" i="28"/>
  <c r="DG93" i="67"/>
  <c r="F93" i="32"/>
  <c r="F94" i="153"/>
  <c r="O94" i="153" s="1"/>
  <c r="DC95" i="67"/>
  <c r="E95" i="151"/>
  <c r="K95" i="151" s="1"/>
  <c r="O95" i="151" s="1"/>
  <c r="CM96" i="67"/>
  <c r="CY97" i="67"/>
  <c r="DK100" i="67"/>
  <c r="DJ101" i="67"/>
  <c r="E101" i="153"/>
  <c r="N101" i="153" s="1"/>
  <c r="H102" i="75"/>
  <c r="F102" i="28"/>
  <c r="DG104" i="67"/>
  <c r="F104" i="32"/>
  <c r="DF105" i="67"/>
  <c r="F106" i="153"/>
  <c r="O106" i="153" s="1"/>
  <c r="G107" i="75"/>
  <c r="DC108" i="67"/>
  <c r="E108" i="151"/>
  <c r="K108" i="151" s="1"/>
  <c r="DB109" i="67"/>
  <c r="E109" i="30"/>
  <c r="DA110" i="67"/>
  <c r="CL111" i="67"/>
  <c r="CY112" i="67"/>
  <c r="CJ113" i="67"/>
  <c r="CN36" i="67"/>
  <c r="E36" i="30"/>
  <c r="CM49" i="67"/>
  <c r="G58" i="75"/>
  <c r="DC4" i="67"/>
  <c r="E4" i="151"/>
  <c r="K4" i="151" s="1"/>
  <c r="O4" i="151" s="1"/>
  <c r="CU6" i="67"/>
  <c r="H6" i="75"/>
  <c r="F6" i="28"/>
  <c r="G7" i="75"/>
  <c r="E9" i="153"/>
  <c r="N9" i="153" s="1"/>
  <c r="F10" i="153"/>
  <c r="O10" i="153" s="1"/>
  <c r="CZ11" i="67"/>
  <c r="CW12" i="67"/>
  <c r="CU22" i="67"/>
  <c r="H22" i="75"/>
  <c r="F22" i="28"/>
  <c r="CY24" i="67"/>
  <c r="DJ25" i="67"/>
  <c r="E25" i="153"/>
  <c r="N25" i="153" s="1"/>
  <c r="CL27" i="67"/>
  <c r="DK28" i="67"/>
  <c r="DF29" i="67"/>
  <c r="CM30" i="67"/>
  <c r="E33" i="30"/>
  <c r="CU38" i="67"/>
  <c r="H38" i="75"/>
  <c r="F38" i="28"/>
  <c r="DD39" i="67"/>
  <c r="G39" i="75"/>
  <c r="CL43" i="67"/>
  <c r="CR10" i="67"/>
  <c r="DG13" i="67"/>
  <c r="F13" i="32"/>
  <c r="CN14" i="67"/>
  <c r="E14" i="30"/>
  <c r="CO17" i="67"/>
  <c r="E17" i="151"/>
  <c r="K17" i="151" s="1"/>
  <c r="O17" i="151" s="1"/>
  <c r="CX18" i="67"/>
  <c r="CU19" i="67"/>
  <c r="H19" i="75"/>
  <c r="F19" i="28"/>
  <c r="G20" i="75"/>
  <c r="CK21" i="67"/>
  <c r="DJ22" i="67"/>
  <c r="E22" i="153"/>
  <c r="N22" i="153" s="1"/>
  <c r="DE23" i="67"/>
  <c r="F23" i="153"/>
  <c r="O23" i="153" s="1"/>
  <c r="CZ24" i="67"/>
  <c r="CW25" i="67"/>
  <c r="DF26" i="67"/>
  <c r="DA27" i="67"/>
  <c r="DG29" i="67"/>
  <c r="F29" i="32"/>
  <c r="CN30" i="67"/>
  <c r="E30" i="30"/>
  <c r="CT32" i="67"/>
  <c r="E33" i="151"/>
  <c r="K33" i="151" s="1"/>
  <c r="O33" i="151" s="1"/>
  <c r="CX34" i="67"/>
  <c r="DI35" i="67"/>
  <c r="H35" i="75"/>
  <c r="F35" i="28"/>
  <c r="CP36" i="67"/>
  <c r="G36" i="75"/>
  <c r="CY37" i="67"/>
  <c r="CV38" i="67"/>
  <c r="E38" i="153"/>
  <c r="N38" i="153" s="1"/>
  <c r="F39" i="153"/>
  <c r="O39" i="153" s="1"/>
  <c r="DK41" i="67"/>
  <c r="DF42" i="67"/>
  <c r="DG45" i="67"/>
  <c r="F45" i="32"/>
  <c r="E46" i="30"/>
  <c r="CT48" i="67"/>
  <c r="E49" i="151"/>
  <c r="K49" i="151" s="1"/>
  <c r="O49" i="151" s="1"/>
  <c r="CX50" i="67"/>
  <c r="J50" i="154"/>
  <c r="S50" i="154" s="1"/>
  <c r="J50" i="153"/>
  <c r="S50" i="153" s="1"/>
  <c r="DE51" i="67"/>
  <c r="F51" i="153"/>
  <c r="O51" i="153" s="1"/>
  <c r="BZ64" i="67"/>
  <c r="E53" i="151"/>
  <c r="K53" i="151" s="1"/>
  <c r="O53" i="151" s="1"/>
  <c r="DJ54" i="67"/>
  <c r="E54" i="153"/>
  <c r="N54" i="153" s="1"/>
  <c r="CM55" i="67"/>
  <c r="H57" i="154"/>
  <c r="Q57" i="154" s="1"/>
  <c r="H57" i="152"/>
  <c r="N57" i="152" s="1"/>
  <c r="H57" i="151"/>
  <c r="N57" i="151" s="1"/>
  <c r="H57" i="153"/>
  <c r="Q57" i="153" s="1"/>
  <c r="H57" i="34"/>
  <c r="H57" i="30"/>
  <c r="DF58" i="67"/>
  <c r="CA71" i="67"/>
  <c r="G60" i="75"/>
  <c r="DK61" i="67"/>
  <c r="CN62" i="67"/>
  <c r="E62" i="30"/>
  <c r="BT74" i="67"/>
  <c r="BR75" i="67"/>
  <c r="CX64" i="67"/>
  <c r="BP76" i="67"/>
  <c r="BN77" i="67"/>
  <c r="DJ66" i="67"/>
  <c r="E66" i="153"/>
  <c r="N66" i="153" s="1"/>
  <c r="H67" i="154"/>
  <c r="Q67" i="154" s="1"/>
  <c r="H67" i="153"/>
  <c r="Q67" i="153" s="1"/>
  <c r="H67" i="151"/>
  <c r="N67" i="151" s="1"/>
  <c r="H67" i="34"/>
  <c r="H67" i="152"/>
  <c r="N67" i="152" s="1"/>
  <c r="H67" i="30"/>
  <c r="CR68" i="67"/>
  <c r="BX80" i="67"/>
  <c r="G69" i="75"/>
  <c r="BV81" i="67"/>
  <c r="DB70" i="67"/>
  <c r="E70" i="30"/>
  <c r="BT82" i="67"/>
  <c r="BR83" i="67"/>
  <c r="CJ72" i="67"/>
  <c r="BP84" i="67"/>
  <c r="BN85" i="67"/>
  <c r="DJ74" i="67"/>
  <c r="E74" i="153"/>
  <c r="N74" i="153" s="1"/>
  <c r="CP75" i="67"/>
  <c r="G75" i="75"/>
  <c r="CJ76" i="67"/>
  <c r="CN78" i="67"/>
  <c r="E78" i="30"/>
  <c r="H79" i="154"/>
  <c r="H79" i="153"/>
  <c r="Q79" i="153" s="1"/>
  <c r="H79" i="152"/>
  <c r="H79" i="30"/>
  <c r="H79" i="34"/>
  <c r="H127" i="34" s="1"/>
  <c r="H79" i="151"/>
  <c r="N79" i="151" s="1"/>
  <c r="CR80" i="67"/>
  <c r="E82" i="153"/>
  <c r="N82" i="153" s="1"/>
  <c r="DD83" i="67"/>
  <c r="G83" i="75"/>
  <c r="DH85" i="67"/>
  <c r="CN86" i="67"/>
  <c r="E86" i="30"/>
  <c r="H87" i="154"/>
  <c r="H87" i="151"/>
  <c r="N87" i="151" s="1"/>
  <c r="H87" i="153"/>
  <c r="Q87" i="153" s="1"/>
  <c r="H87" i="152"/>
  <c r="H87" i="30"/>
  <c r="H87" i="34"/>
  <c r="H135" i="34" s="1"/>
  <c r="CZ89" i="67"/>
  <c r="H91" i="154"/>
  <c r="H91" i="153"/>
  <c r="Q91" i="153" s="1"/>
  <c r="H91" i="151"/>
  <c r="N91" i="151" s="1"/>
  <c r="H91" i="152"/>
  <c r="H91" i="34"/>
  <c r="H139" i="34" s="1"/>
  <c r="H91" i="30"/>
  <c r="E92" i="153"/>
  <c r="N92" i="153" s="1"/>
  <c r="CR94" i="67"/>
  <c r="G95" i="75"/>
  <c r="E96" i="30"/>
  <c r="CL97" i="67"/>
  <c r="CJ98" i="67"/>
  <c r="DJ102" i="67"/>
  <c r="E102" i="153"/>
  <c r="N102" i="153" s="1"/>
  <c r="CU103" i="67"/>
  <c r="F103" i="28"/>
  <c r="H103" i="75"/>
  <c r="F105" i="32"/>
  <c r="DF106" i="67"/>
  <c r="F107" i="153"/>
  <c r="O107" i="153" s="1"/>
  <c r="G108" i="75"/>
  <c r="CO109" i="67"/>
  <c r="E109" i="151"/>
  <c r="K109" i="151" s="1"/>
  <c r="E110" i="30"/>
  <c r="CM111" i="67"/>
  <c r="CK113" i="67"/>
  <c r="I102" i="65"/>
  <c r="AJ99" i="67"/>
  <c r="CS2" i="67"/>
  <c r="F2" i="32"/>
  <c r="DB3" i="67"/>
  <c r="E3" i="30"/>
  <c r="DH5" i="67"/>
  <c r="CU8" i="67"/>
  <c r="H8" i="75"/>
  <c r="F8" i="28"/>
  <c r="CK10" i="67"/>
  <c r="DJ11" i="67"/>
  <c r="E11" i="153"/>
  <c r="N11" i="153" s="1"/>
  <c r="CL13" i="67"/>
  <c r="DG6" i="67"/>
  <c r="F6" i="32"/>
  <c r="CS3" i="67"/>
  <c r="F3" i="32"/>
  <c r="CP10" i="67"/>
  <c r="G10" i="75"/>
  <c r="CK11" i="67"/>
  <c r="F13" i="153"/>
  <c r="O13" i="153" s="1"/>
  <c r="CZ14" i="67"/>
  <c r="E20" i="30"/>
  <c r="E23" i="151"/>
  <c r="K23" i="151" s="1"/>
  <c r="O23" i="151" s="1"/>
  <c r="CJ24" i="67"/>
  <c r="CU25" i="67"/>
  <c r="H25" i="75"/>
  <c r="F25" i="28"/>
  <c r="CK27" i="67"/>
  <c r="E28" i="153"/>
  <c r="N28" i="153" s="1"/>
  <c r="F29" i="153"/>
  <c r="O29" i="153" s="1"/>
  <c r="DK31" i="67"/>
  <c r="CY8" i="67"/>
  <c r="CN17" i="67"/>
  <c r="E17" i="30"/>
  <c r="DC36" i="67"/>
  <c r="E36" i="151"/>
  <c r="K36" i="151" s="1"/>
  <c r="O36" i="151" s="1"/>
  <c r="CV41" i="67"/>
  <c r="E41" i="153"/>
  <c r="N41" i="153" s="1"/>
  <c r="F42" i="153"/>
  <c r="O42" i="153" s="1"/>
  <c r="CW44" i="67"/>
  <c r="F58" i="153"/>
  <c r="O58" i="153" s="1"/>
  <c r="BZ71" i="67"/>
  <c r="CO60" i="67"/>
  <c r="E60" i="151"/>
  <c r="K60" i="151" s="1"/>
  <c r="DJ61" i="67"/>
  <c r="E61" i="153"/>
  <c r="N61" i="153" s="1"/>
  <c r="DA62" i="67"/>
  <c r="BS74" i="67"/>
  <c r="CJ2" i="67"/>
  <c r="H3" i="75"/>
  <c r="F3" i="28"/>
  <c r="DD4" i="67"/>
  <c r="G4" i="75"/>
  <c r="CY5" i="67"/>
  <c r="CV6" i="67"/>
  <c r="E6" i="153"/>
  <c r="N6" i="153" s="1"/>
  <c r="F7" i="153"/>
  <c r="O7" i="153" s="1"/>
  <c r="CL8" i="67"/>
  <c r="DK9" i="67"/>
  <c r="CK2" i="67"/>
  <c r="CV3" i="67"/>
  <c r="E3" i="153"/>
  <c r="N3" i="153" s="1"/>
  <c r="F4" i="153"/>
  <c r="O4" i="153" s="1"/>
  <c r="CZ5" i="67"/>
  <c r="DK6" i="67"/>
  <c r="DF7" i="67"/>
  <c r="CM8" i="67"/>
  <c r="DG10" i="67"/>
  <c r="F10" i="32"/>
  <c r="DB11" i="67"/>
  <c r="E11" i="30"/>
  <c r="CT13" i="67"/>
  <c r="DC14" i="67"/>
  <c r="E14" i="151"/>
  <c r="K14" i="151" s="1"/>
  <c r="O14" i="151" s="1"/>
  <c r="CJ15" i="67"/>
  <c r="CU16" i="67"/>
  <c r="H16" i="75"/>
  <c r="F16" i="28"/>
  <c r="G17" i="75"/>
  <c r="CY18" i="67"/>
  <c r="E19" i="153"/>
  <c r="N19" i="153" s="1"/>
  <c r="DE20" i="67"/>
  <c r="F20" i="153"/>
  <c r="O20" i="153" s="1"/>
  <c r="CL21" i="67"/>
  <c r="DF23" i="67"/>
  <c r="DA24" i="67"/>
  <c r="DG26" i="67"/>
  <c r="F26" i="32"/>
  <c r="CN27" i="67"/>
  <c r="E27" i="30"/>
  <c r="DC30" i="67"/>
  <c r="E30" i="151"/>
  <c r="K30" i="151" s="1"/>
  <c r="O30" i="151" s="1"/>
  <c r="CU32" i="67"/>
  <c r="H32" i="75"/>
  <c r="F32" i="28"/>
  <c r="CP33" i="67"/>
  <c r="G33" i="75"/>
  <c r="CY34" i="67"/>
  <c r="DJ35" i="67"/>
  <c r="E35" i="153"/>
  <c r="N35" i="153" s="1"/>
  <c r="F36" i="153"/>
  <c r="O36" i="153" s="1"/>
  <c r="CL37" i="67"/>
  <c r="CR39" i="67"/>
  <c r="CM40" i="67"/>
  <c r="DG42" i="67"/>
  <c r="F42" i="32"/>
  <c r="E43" i="30"/>
  <c r="CO46" i="67"/>
  <c r="E46" i="151"/>
  <c r="K46" i="151" s="1"/>
  <c r="O46" i="151" s="1"/>
  <c r="CJ47" i="67"/>
  <c r="DI48" i="67"/>
  <c r="H48" i="75"/>
  <c r="F48" i="28"/>
  <c r="CP49" i="67"/>
  <c r="G49" i="75"/>
  <c r="H50" i="153"/>
  <c r="Q50" i="153" s="1"/>
  <c r="H50" i="154"/>
  <c r="Q50" i="154" s="1"/>
  <c r="H50" i="152"/>
  <c r="N50" i="152" s="1"/>
  <c r="H50" i="151"/>
  <c r="N50" i="151" s="1"/>
  <c r="H50" i="30"/>
  <c r="H50" i="34"/>
  <c r="DF51" i="67"/>
  <c r="CA64" i="67"/>
  <c r="G53" i="75"/>
  <c r="DK54" i="67"/>
  <c r="CN55" i="67"/>
  <c r="E55" i="30"/>
  <c r="DI56" i="67"/>
  <c r="H56" i="75"/>
  <c r="F56" i="28"/>
  <c r="CL57" i="67"/>
  <c r="DG58" i="67"/>
  <c r="F58" i="32"/>
  <c r="CX59" i="67"/>
  <c r="J59" i="153"/>
  <c r="S59" i="153" s="1"/>
  <c r="J59" i="154"/>
  <c r="S59" i="154" s="1"/>
  <c r="F60" i="153"/>
  <c r="O60" i="153" s="1"/>
  <c r="BZ73" i="67"/>
  <c r="E62" i="151"/>
  <c r="K62" i="151" s="1"/>
  <c r="O62" i="151" s="1"/>
  <c r="BU74" i="67"/>
  <c r="BS75" i="67"/>
  <c r="CK64" i="67"/>
  <c r="BQ76" i="67"/>
  <c r="BO77" i="67"/>
  <c r="DK66" i="67"/>
  <c r="H67" i="75"/>
  <c r="F67" i="28"/>
  <c r="CS68" i="67"/>
  <c r="F68" i="32"/>
  <c r="DE69" i="67"/>
  <c r="F69" i="153"/>
  <c r="O69" i="153" s="1"/>
  <c r="BW81" i="67"/>
  <c r="CO70" i="67"/>
  <c r="E70" i="151"/>
  <c r="K70" i="151" s="1"/>
  <c r="O70" i="151" s="1"/>
  <c r="BU82" i="67"/>
  <c r="DA71" i="67"/>
  <c r="BS83" i="67"/>
  <c r="CY72" i="67"/>
  <c r="BQ84" i="67"/>
  <c r="BO85" i="67"/>
  <c r="F75" i="153"/>
  <c r="O75" i="153" s="1"/>
  <c r="CY76" i="67"/>
  <c r="DI77" i="67"/>
  <c r="H77" i="75"/>
  <c r="F77" i="28"/>
  <c r="E78" i="151"/>
  <c r="K78" i="151" s="1"/>
  <c r="O78" i="151" s="1"/>
  <c r="DG80" i="67"/>
  <c r="F80" i="32"/>
  <c r="CM81" i="67"/>
  <c r="F83" i="153"/>
  <c r="O83" i="153" s="1"/>
  <c r="CU85" i="67"/>
  <c r="H85" i="75"/>
  <c r="F85" i="28"/>
  <c r="E86" i="151"/>
  <c r="K86" i="151" s="1"/>
  <c r="O86" i="151" s="1"/>
  <c r="CS88" i="67"/>
  <c r="F88" i="32"/>
  <c r="CK90" i="67"/>
  <c r="CW92" i="67"/>
  <c r="DI93" i="67"/>
  <c r="H93" i="75"/>
  <c r="F93" i="28"/>
  <c r="CS94" i="67"/>
  <c r="F94" i="32"/>
  <c r="CQ95" i="67"/>
  <c r="F95" i="153"/>
  <c r="O95" i="153" s="1"/>
  <c r="CO96" i="67"/>
  <c r="E96" i="151"/>
  <c r="K96" i="151" s="1"/>
  <c r="O96" i="151" s="1"/>
  <c r="DA97" i="67"/>
  <c r="CJ99" i="67"/>
  <c r="CW102" i="67"/>
  <c r="DJ103" i="67"/>
  <c r="E103" i="153"/>
  <c r="N103" i="153" s="1"/>
  <c r="H104" i="75"/>
  <c r="F104" i="28"/>
  <c r="CS106" i="67"/>
  <c r="F106" i="32"/>
  <c r="DF107" i="67"/>
  <c r="F108" i="153"/>
  <c r="O108" i="153" s="1"/>
  <c r="DD109" i="67"/>
  <c r="G109" i="75"/>
  <c r="E110" i="151"/>
  <c r="K110" i="151" s="1"/>
  <c r="CN111" i="67"/>
  <c r="E111" i="30"/>
  <c r="CM112" i="67"/>
  <c r="CL113" i="67"/>
  <c r="CK114" i="67"/>
  <c r="CX115" i="67"/>
  <c r="DB2" i="67"/>
  <c r="E2" i="30"/>
  <c r="DC5" i="67"/>
  <c r="E5" i="151"/>
  <c r="K5" i="151" s="1"/>
  <c r="O5" i="151" s="1"/>
  <c r="DJ10" i="67"/>
  <c r="E10" i="153"/>
  <c r="N10" i="153" s="1"/>
  <c r="CO6" i="67"/>
  <c r="E6" i="151"/>
  <c r="K6" i="151" s="1"/>
  <c r="O6" i="151" s="1"/>
  <c r="CX7" i="67"/>
  <c r="DE12" i="67"/>
  <c r="F12" i="153"/>
  <c r="O12" i="153" s="1"/>
  <c r="CW2" i="67"/>
  <c r="DA4" i="67"/>
  <c r="CN7" i="67"/>
  <c r="E7" i="30"/>
  <c r="DC10" i="67"/>
  <c r="E10" i="151"/>
  <c r="K10" i="151" s="1"/>
  <c r="O10" i="151" s="1"/>
  <c r="CJ11" i="67"/>
  <c r="DI12" i="67"/>
  <c r="H12" i="75"/>
  <c r="F12" i="28"/>
  <c r="CP13" i="67"/>
  <c r="G13" i="75"/>
  <c r="CY14" i="67"/>
  <c r="F16" i="153"/>
  <c r="O16" i="153" s="1"/>
  <c r="DH6" i="67"/>
  <c r="CO7" i="67"/>
  <c r="E7" i="151"/>
  <c r="K7" i="151" s="1"/>
  <c r="O7" i="151" s="1"/>
  <c r="CX8" i="67"/>
  <c r="CU9" i="67"/>
  <c r="H9" i="75"/>
  <c r="F9" i="28"/>
  <c r="DJ12" i="67"/>
  <c r="E12" i="153"/>
  <c r="N12" i="153" s="1"/>
  <c r="DA17" i="67"/>
  <c r="BZ62" i="67"/>
  <c r="E52" i="153"/>
  <c r="N52" i="153" s="1"/>
  <c r="CT54" i="67"/>
  <c r="CY55" i="67"/>
  <c r="H55" i="154"/>
  <c r="Q55" i="154" s="1"/>
  <c r="H55" i="151"/>
  <c r="N55" i="151" s="1"/>
  <c r="H55" i="153"/>
  <c r="Q55" i="153" s="1"/>
  <c r="H55" i="152"/>
  <c r="N55" i="152" s="1"/>
  <c r="H55" i="30"/>
  <c r="H55" i="34"/>
  <c r="CA69" i="67"/>
  <c r="CM14" i="67"/>
  <c r="DD23" i="67"/>
  <c r="G23" i="75"/>
  <c r="DG32" i="67"/>
  <c r="F32" i="32"/>
  <c r="CL2" i="67"/>
  <c r="CW3" i="67"/>
  <c r="CR4" i="67"/>
  <c r="DA5" i="67"/>
  <c r="CS7" i="67"/>
  <c r="F7" i="32"/>
  <c r="CN8" i="67"/>
  <c r="E8" i="30"/>
  <c r="DC11" i="67"/>
  <c r="E11" i="151"/>
  <c r="K11" i="151" s="1"/>
  <c r="O11" i="151" s="1"/>
  <c r="CJ12" i="67"/>
  <c r="DI13" i="67"/>
  <c r="H13" i="75"/>
  <c r="F13" i="28"/>
  <c r="G14" i="75"/>
  <c r="CK15" i="67"/>
  <c r="CV16" i="67"/>
  <c r="E16" i="153"/>
  <c r="N16" i="153" s="1"/>
  <c r="F17" i="153"/>
  <c r="O17" i="153" s="1"/>
  <c r="CL18" i="67"/>
  <c r="DK19" i="67"/>
  <c r="CR20" i="67"/>
  <c r="CM21" i="67"/>
  <c r="F23" i="32"/>
  <c r="DB24" i="67"/>
  <c r="E24" i="30"/>
  <c r="DC27" i="67"/>
  <c r="E27" i="151"/>
  <c r="K27" i="151" s="1"/>
  <c r="O27" i="151" s="1"/>
  <c r="CX28" i="67"/>
  <c r="CU29" i="67"/>
  <c r="H29" i="75"/>
  <c r="F29" i="28"/>
  <c r="DD30" i="67"/>
  <c r="G30" i="75"/>
  <c r="CY31" i="67"/>
  <c r="CV32" i="67"/>
  <c r="E32" i="153"/>
  <c r="N32" i="153" s="1"/>
  <c r="F33" i="153"/>
  <c r="O33" i="153" s="1"/>
  <c r="CL34" i="67"/>
  <c r="DK35" i="67"/>
  <c r="CR36" i="67"/>
  <c r="CM37" i="67"/>
  <c r="DG39" i="67"/>
  <c r="F39" i="32"/>
  <c r="DB40" i="67"/>
  <c r="E40" i="30"/>
  <c r="CT42" i="67"/>
  <c r="DC43" i="67"/>
  <c r="E43" i="151"/>
  <c r="K43" i="151" s="1"/>
  <c r="O43" i="151" s="1"/>
  <c r="CU45" i="67"/>
  <c r="H45" i="75"/>
  <c r="F45" i="28"/>
  <c r="G46" i="75"/>
  <c r="CV48" i="67"/>
  <c r="E48" i="153"/>
  <c r="N48" i="153" s="1"/>
  <c r="F49" i="153"/>
  <c r="O49" i="153" s="1"/>
  <c r="CL50" i="67"/>
  <c r="F51" i="32"/>
  <c r="CX52" i="67"/>
  <c r="J52" i="154"/>
  <c r="S52" i="154" s="1"/>
  <c r="J52" i="153"/>
  <c r="S52" i="153" s="1"/>
  <c r="F53" i="153"/>
  <c r="O53" i="153" s="1"/>
  <c r="BZ66" i="67"/>
  <c r="CO55" i="67"/>
  <c r="E55" i="151"/>
  <c r="K55" i="151" s="1"/>
  <c r="DJ56" i="67"/>
  <c r="E56" i="153"/>
  <c r="N56" i="153" s="1"/>
  <c r="CY59" i="67"/>
  <c r="H59" i="154"/>
  <c r="Q59" i="154" s="1"/>
  <c r="H59" i="153"/>
  <c r="Q59" i="153" s="1"/>
  <c r="H59" i="151"/>
  <c r="N59" i="151" s="1"/>
  <c r="H59" i="152"/>
  <c r="N59" i="152" s="1"/>
  <c r="H59" i="34"/>
  <c r="H59" i="30"/>
  <c r="CR60" i="67"/>
  <c r="CA73" i="67"/>
  <c r="G62" i="75"/>
  <c r="BV74" i="67"/>
  <c r="DB63" i="67"/>
  <c r="E63" i="30"/>
  <c r="BT75" i="67"/>
  <c r="CL64" i="67"/>
  <c r="BR76" i="67"/>
  <c r="CJ65" i="67"/>
  <c r="BP77" i="67"/>
  <c r="BN78" i="67"/>
  <c r="E67" i="153"/>
  <c r="N67" i="153" s="1"/>
  <c r="H68" i="152"/>
  <c r="N68" i="152" s="1"/>
  <c r="H68" i="154"/>
  <c r="Q68" i="154" s="1"/>
  <c r="H68" i="153"/>
  <c r="Q68" i="153" s="1"/>
  <c r="H68" i="151"/>
  <c r="N68" i="151" s="1"/>
  <c r="H68" i="34"/>
  <c r="H68" i="30"/>
  <c r="CR69" i="67"/>
  <c r="BX81" i="67"/>
  <c r="CP70" i="67"/>
  <c r="G70" i="75"/>
  <c r="BV82" i="67"/>
  <c r="DB71" i="67"/>
  <c r="E71" i="30"/>
  <c r="BT83" i="67"/>
  <c r="BR84" i="67"/>
  <c r="BP85" i="67"/>
  <c r="H74" i="154"/>
  <c r="H74" i="153"/>
  <c r="Q74" i="153" s="1"/>
  <c r="H74" i="152"/>
  <c r="H74" i="151"/>
  <c r="N74" i="151" s="1"/>
  <c r="H74" i="34"/>
  <c r="H122" i="34" s="1"/>
  <c r="H74" i="30"/>
  <c r="CL76" i="67"/>
  <c r="DJ77" i="67"/>
  <c r="E77" i="153"/>
  <c r="N77" i="153" s="1"/>
  <c r="G78" i="75"/>
  <c r="CJ79" i="67"/>
  <c r="CT80" i="67"/>
  <c r="CN81" i="67"/>
  <c r="E81" i="30"/>
  <c r="H82" i="153"/>
  <c r="Q82" i="153" s="1"/>
  <c r="H82" i="154"/>
  <c r="H82" i="152"/>
  <c r="H82" i="151"/>
  <c r="N82" i="151" s="1"/>
  <c r="H82" i="30"/>
  <c r="H82" i="34"/>
  <c r="H130" i="34" s="1"/>
  <c r="CR83" i="67"/>
  <c r="CZ84" i="67"/>
  <c r="DJ85" i="67"/>
  <c r="E85" i="153"/>
  <c r="N85" i="153" s="1"/>
  <c r="G86" i="75"/>
  <c r="E89" i="30"/>
  <c r="H92" i="153"/>
  <c r="Q92" i="153" s="1"/>
  <c r="H92" i="154"/>
  <c r="H92" i="152"/>
  <c r="H92" i="151"/>
  <c r="N92" i="151" s="1"/>
  <c r="H92" i="34"/>
  <c r="H140" i="34" s="1"/>
  <c r="H92" i="30"/>
  <c r="DJ93" i="67"/>
  <c r="E93" i="153"/>
  <c r="N93" i="153" s="1"/>
  <c r="DH94" i="67"/>
  <c r="DF95" i="67"/>
  <c r="G96" i="75"/>
  <c r="CN97" i="67"/>
  <c r="E97" i="30"/>
  <c r="CZ98" i="67"/>
  <c r="CX100" i="67"/>
  <c r="CV104" i="67"/>
  <c r="E104" i="153"/>
  <c r="N104" i="153" s="1"/>
  <c r="H105" i="75"/>
  <c r="F105" i="28"/>
  <c r="CS107" i="67"/>
  <c r="F107" i="32"/>
  <c r="DE109" i="67"/>
  <c r="F109" i="153"/>
  <c r="O109" i="153" s="1"/>
  <c r="G110" i="75"/>
  <c r="DC111" i="67"/>
  <c r="E111" i="151"/>
  <c r="K111" i="151" s="1"/>
  <c r="CN112" i="67"/>
  <c r="E112" i="30"/>
  <c r="CZ114" i="67"/>
  <c r="DG4" i="67"/>
  <c r="F4" i="32"/>
  <c r="CN5" i="67"/>
  <c r="E5" i="30"/>
  <c r="DH7" i="67"/>
  <c r="DC8" i="67"/>
  <c r="E8" i="151"/>
  <c r="K8" i="151" s="1"/>
  <c r="O8" i="151" s="1"/>
  <c r="CJ9" i="67"/>
  <c r="H10" i="75"/>
  <c r="F10" i="28"/>
  <c r="G11" i="75"/>
  <c r="CY12" i="67"/>
  <c r="CV13" i="67"/>
  <c r="E13" i="153"/>
  <c r="N13" i="153" s="1"/>
  <c r="F14" i="153"/>
  <c r="O14" i="153" s="1"/>
  <c r="CL15" i="67"/>
  <c r="DK16" i="67"/>
  <c r="DF17" i="67"/>
  <c r="CM18" i="67"/>
  <c r="DG20" i="67"/>
  <c r="F20" i="32"/>
  <c r="CN21" i="67"/>
  <c r="E21" i="30"/>
  <c r="DC24" i="67"/>
  <c r="E24" i="151"/>
  <c r="K24" i="151" s="1"/>
  <c r="O24" i="151" s="1"/>
  <c r="CJ25" i="67"/>
  <c r="CU26" i="67"/>
  <c r="H26" i="75"/>
  <c r="F26" i="28"/>
  <c r="G27" i="75"/>
  <c r="CY28" i="67"/>
  <c r="E29" i="153"/>
  <c r="N29" i="153" s="1"/>
  <c r="F30" i="153"/>
  <c r="O30" i="153" s="1"/>
  <c r="CZ31" i="67"/>
  <c r="CW32" i="67"/>
  <c r="CR33" i="67"/>
  <c r="CM34" i="67"/>
  <c r="F36" i="32"/>
  <c r="E37" i="30"/>
  <c r="CO40" i="67"/>
  <c r="E40" i="151"/>
  <c r="K40" i="151" s="1"/>
  <c r="O40" i="151" s="1"/>
  <c r="CX41" i="67"/>
  <c r="CU42" i="67"/>
  <c r="H42" i="75"/>
  <c r="F42" i="28"/>
  <c r="CP43" i="67"/>
  <c r="G43" i="75"/>
  <c r="CY44" i="67"/>
  <c r="E45" i="153"/>
  <c r="N45" i="153" s="1"/>
  <c r="F46" i="153"/>
  <c r="O46" i="153" s="1"/>
  <c r="CR49" i="67"/>
  <c r="DA50" i="67"/>
  <c r="DH51" i="67"/>
  <c r="CK52" i="67"/>
  <c r="H52" i="153"/>
  <c r="Q52" i="153" s="1"/>
  <c r="H52" i="152"/>
  <c r="N52" i="152" s="1"/>
  <c r="H52" i="154"/>
  <c r="Q52" i="154" s="1"/>
  <c r="H52" i="34"/>
  <c r="H52" i="151"/>
  <c r="N52" i="151" s="1"/>
  <c r="H52" i="30"/>
  <c r="CA66" i="67"/>
  <c r="CP55" i="67"/>
  <c r="G55" i="75"/>
  <c r="CW56" i="67"/>
  <c r="CN57" i="67"/>
  <c r="E57" i="30"/>
  <c r="H58" i="75"/>
  <c r="F58" i="28"/>
  <c r="CS60" i="67"/>
  <c r="F60" i="32"/>
  <c r="CJ61" i="67"/>
  <c r="J61" i="153"/>
  <c r="S61" i="153" s="1"/>
  <c r="J61" i="154"/>
  <c r="S61" i="154" s="1"/>
  <c r="CQ62" i="67"/>
  <c r="F62" i="153"/>
  <c r="O62" i="153" s="1"/>
  <c r="BW74" i="67"/>
  <c r="DC63" i="67"/>
  <c r="E63" i="151"/>
  <c r="K63" i="151" s="1"/>
  <c r="O63" i="151" s="1"/>
  <c r="BU75" i="67"/>
  <c r="CM64" i="67"/>
  <c r="BS76" i="67"/>
  <c r="CK65" i="67"/>
  <c r="BQ77" i="67"/>
  <c r="BO78" i="67"/>
  <c r="CW67" i="67"/>
  <c r="H68" i="75"/>
  <c r="F68" i="28"/>
  <c r="DG69" i="67"/>
  <c r="F69" i="32"/>
  <c r="F70" i="153"/>
  <c r="O70" i="153" s="1"/>
  <c r="BW82" i="67"/>
  <c r="E71" i="151"/>
  <c r="K71" i="151" s="1"/>
  <c r="BU83" i="67"/>
  <c r="CM72" i="67"/>
  <c r="BS84" i="67"/>
  <c r="CY73" i="67"/>
  <c r="BQ85" i="67"/>
  <c r="F75" i="32"/>
  <c r="CW77" i="67"/>
  <c r="F78" i="153"/>
  <c r="O78" i="153" s="1"/>
  <c r="CU80" i="67"/>
  <c r="H80" i="75"/>
  <c r="F80" i="28"/>
  <c r="DC81" i="67"/>
  <c r="E81" i="151"/>
  <c r="K81" i="151" s="1"/>
  <c r="O81" i="151" s="1"/>
  <c r="F83" i="32"/>
  <c r="DA84" i="67"/>
  <c r="DK85" i="67"/>
  <c r="F86" i="153"/>
  <c r="O86" i="153" s="1"/>
  <c r="CY87" i="67"/>
  <c r="H88" i="75"/>
  <c r="F88" i="28"/>
  <c r="E89" i="151"/>
  <c r="K89" i="151" s="1"/>
  <c r="O89" i="151" s="1"/>
  <c r="H94" i="75"/>
  <c r="F94" i="28"/>
  <c r="DG95" i="67"/>
  <c r="F95" i="32"/>
  <c r="F96" i="153"/>
  <c r="O96" i="153" s="1"/>
  <c r="CO97" i="67"/>
  <c r="E97" i="151"/>
  <c r="K97" i="151" s="1"/>
  <c r="O97" i="151" s="1"/>
  <c r="DA98" i="67"/>
  <c r="CL99" i="67"/>
  <c r="CK100" i="67"/>
  <c r="CJ101" i="67"/>
  <c r="CW104" i="67"/>
  <c r="E105" i="153"/>
  <c r="N105" i="153" s="1"/>
  <c r="DI106" i="67"/>
  <c r="H106" i="75"/>
  <c r="F106" i="28"/>
  <c r="DH107" i="67"/>
  <c r="CS108" i="67"/>
  <c r="F108" i="32"/>
  <c r="DF109" i="67"/>
  <c r="F110" i="153"/>
  <c r="O110" i="153" s="1"/>
  <c r="G111" i="75"/>
  <c r="E112" i="151"/>
  <c r="K112" i="151" s="1"/>
  <c r="E113" i="30"/>
  <c r="CM114" i="67"/>
  <c r="R2" i="67"/>
  <c r="D42" i="72"/>
  <c r="D41" i="72" s="1"/>
  <c r="D43" i="72" s="1"/>
  <c r="E42" i="72"/>
  <c r="E41" i="72" s="1"/>
  <c r="E43" i="72" s="1"/>
  <c r="F42" i="72"/>
  <c r="F41" i="72" s="1"/>
  <c r="F43" i="72" s="1"/>
  <c r="G42" i="72"/>
  <c r="G41" i="72" s="1"/>
  <c r="G43" i="72" s="1"/>
  <c r="C42" i="72"/>
  <c r="W2" i="67"/>
  <c r="W3" i="67"/>
  <c r="R3" i="67"/>
  <c r="W4" i="67"/>
  <c r="R4" i="67"/>
  <c r="W5" i="67"/>
  <c r="R5" i="67"/>
  <c r="W6" i="67"/>
  <c r="R6" i="67"/>
  <c r="W7" i="67"/>
  <c r="R7" i="67"/>
  <c r="R8" i="67"/>
  <c r="W8" i="67"/>
  <c r="R9" i="67"/>
  <c r="W9" i="67"/>
  <c r="R10" i="67"/>
  <c r="W10" i="67"/>
  <c r="R11" i="67"/>
  <c r="W11" i="67"/>
  <c r="R12" i="67"/>
  <c r="W12" i="67"/>
  <c r="R13" i="67"/>
  <c r="W13" i="67"/>
  <c r="EV50" i="4"/>
  <c r="EU50" i="4"/>
  <c r="EU51" i="4"/>
  <c r="EV51" i="4"/>
  <c r="EV52" i="4"/>
  <c r="EU52" i="4"/>
  <c r="EV53" i="4"/>
  <c r="EU53" i="4"/>
  <c r="EU54" i="4"/>
  <c r="EV54" i="4"/>
  <c r="EU55" i="4"/>
  <c r="EV55" i="4"/>
  <c r="EU56" i="4"/>
  <c r="EV56" i="4"/>
  <c r="EU57" i="4"/>
  <c r="EV57" i="4"/>
  <c r="EU58" i="4"/>
  <c r="EV58" i="4"/>
  <c r="EV59" i="4"/>
  <c r="EV60" i="4"/>
  <c r="EV61" i="4"/>
  <c r="EU61" i="4"/>
  <c r="EV62" i="4"/>
  <c r="EU62" i="4"/>
  <c r="EV63" i="4"/>
  <c r="EU63" i="4"/>
  <c r="EV64" i="4"/>
  <c r="EU64" i="4"/>
  <c r="EU65" i="4"/>
  <c r="EV65" i="4"/>
  <c r="EU66" i="4"/>
  <c r="EV66" i="4"/>
  <c r="EV67" i="4"/>
  <c r="EU67" i="4"/>
  <c r="CD116" i="67"/>
  <c r="EV68" i="4"/>
  <c r="EU68" i="4"/>
  <c r="CD117" i="67"/>
  <c r="EU69" i="4"/>
  <c r="EV69" i="4"/>
  <c r="CD118" i="67"/>
  <c r="EU70" i="4"/>
  <c r="EV70" i="4"/>
  <c r="CD119" i="67"/>
  <c r="EU71" i="4"/>
  <c r="EV71" i="4"/>
  <c r="CD120" i="67"/>
  <c r="EV72" i="4"/>
  <c r="EU72" i="4"/>
  <c r="CD121" i="67"/>
  <c r="K121" i="77" s="1"/>
  <c r="EU73" i="4"/>
  <c r="EV73" i="4"/>
  <c r="EU74" i="4"/>
  <c r="EV74" i="4"/>
  <c r="EV75" i="4"/>
  <c r="EU75" i="4"/>
  <c r="EV76" i="4"/>
  <c r="EU76" i="4"/>
  <c r="EU77" i="4"/>
  <c r="EV77" i="4"/>
  <c r="EV78" i="4"/>
  <c r="EU78" i="4"/>
  <c r="EV79" i="4"/>
  <c r="EU79" i="4"/>
  <c r="EU80" i="4"/>
  <c r="EV80" i="4"/>
  <c r="EV81" i="4"/>
  <c r="EU81" i="4"/>
  <c r="EV82" i="4"/>
  <c r="EU82" i="4"/>
  <c r="EV83" i="4"/>
  <c r="EU83" i="4"/>
  <c r="EU84" i="4"/>
  <c r="EV84" i="4"/>
  <c r="EU85" i="4"/>
  <c r="EV85" i="4"/>
  <c r="EV86" i="4"/>
  <c r="EU86" i="4"/>
  <c r="EU87" i="4"/>
  <c r="EV87" i="4"/>
  <c r="EU88" i="4"/>
  <c r="EV88" i="4"/>
  <c r="EU89" i="4"/>
  <c r="EV89" i="4"/>
  <c r="EV90" i="4"/>
  <c r="EU90" i="4"/>
  <c r="EV91" i="4"/>
  <c r="EU91" i="4"/>
  <c r="EV92" i="4"/>
  <c r="EU92" i="4"/>
  <c r="EU93" i="4"/>
  <c r="EV93" i="4"/>
  <c r="EU94" i="4"/>
  <c r="EV94" i="4"/>
  <c r="EV95" i="4"/>
  <c r="EU95" i="4"/>
  <c r="EV96" i="4"/>
  <c r="EU96" i="4"/>
  <c r="EU97" i="4"/>
  <c r="EV97" i="4"/>
  <c r="CL31" i="67"/>
  <c r="CO11" i="67"/>
  <c r="CW89" i="67"/>
  <c r="CM28" i="67"/>
  <c r="CM94" i="67"/>
  <c r="DB5" i="67"/>
  <c r="DC6" i="67"/>
  <c r="CO24" i="67"/>
  <c r="K118" i="77"/>
  <c r="E131" i="65"/>
  <c r="O131" i="65" s="1"/>
  <c r="E135" i="65"/>
  <c r="O135" i="65" s="1"/>
  <c r="D130" i="65"/>
  <c r="N130" i="65" s="1"/>
  <c r="E128" i="65"/>
  <c r="O128" i="65" s="1"/>
  <c r="F131" i="65"/>
  <c r="F135" i="65"/>
  <c r="E125" i="65"/>
  <c r="O125" i="65" s="1"/>
  <c r="F128" i="65"/>
  <c r="G131" i="65"/>
  <c r="D125" i="65"/>
  <c r="N125" i="65" s="1"/>
  <c r="F125" i="65"/>
  <c r="G128" i="65"/>
  <c r="D126" i="65"/>
  <c r="N126" i="65" s="1"/>
  <c r="G132" i="65"/>
  <c r="G125" i="65"/>
  <c r="D127" i="65"/>
  <c r="N127" i="65" s="1"/>
  <c r="F129" i="65"/>
  <c r="E132" i="65"/>
  <c r="O132" i="65" s="1"/>
  <c r="D128" i="65"/>
  <c r="N128" i="65" s="1"/>
  <c r="E126" i="65"/>
  <c r="O126" i="65" s="1"/>
  <c r="G133" i="65"/>
  <c r="E129" i="65"/>
  <c r="O129" i="65" s="1"/>
  <c r="F132" i="65"/>
  <c r="D129" i="65"/>
  <c r="N129" i="65" s="1"/>
  <c r="E134" i="65"/>
  <c r="O134" i="65" s="1"/>
  <c r="F126" i="65"/>
  <c r="G129" i="65"/>
  <c r="D131" i="65"/>
  <c r="N131" i="65" s="1"/>
  <c r="F134" i="65"/>
  <c r="G126" i="65"/>
  <c r="D132" i="65"/>
  <c r="N132" i="65" s="1"/>
  <c r="G135" i="65"/>
  <c r="E133" i="65"/>
  <c r="O133" i="65" s="1"/>
  <c r="D133" i="65"/>
  <c r="N133" i="65" s="1"/>
  <c r="E130" i="65"/>
  <c r="O130" i="65" s="1"/>
  <c r="F133" i="65"/>
  <c r="D134" i="65"/>
  <c r="N134" i="65" s="1"/>
  <c r="E127" i="65"/>
  <c r="O127" i="65" s="1"/>
  <c r="F130" i="65"/>
  <c r="D135" i="65"/>
  <c r="N135" i="65" s="1"/>
  <c r="E124" i="65"/>
  <c r="O124" i="65" s="1"/>
  <c r="F127" i="65"/>
  <c r="G130" i="65"/>
  <c r="G134" i="65"/>
  <c r="D124" i="65"/>
  <c r="N124" i="65" s="1"/>
  <c r="F124" i="65"/>
  <c r="G127" i="65"/>
  <c r="G124" i="65"/>
  <c r="E145" i="65"/>
  <c r="O145" i="65" s="1"/>
  <c r="H124" i="65"/>
  <c r="H136" i="65" s="1"/>
  <c r="CS13" i="67"/>
  <c r="DJ78" i="67"/>
  <c r="DB62" i="67"/>
  <c r="CY52" i="67"/>
  <c r="CO74" i="67"/>
  <c r="CM19" i="67"/>
  <c r="CU107" i="67"/>
  <c r="CN28" i="67"/>
  <c r="CY60" i="67"/>
  <c r="CN67" i="67"/>
  <c r="CO10" i="67"/>
  <c r="CO30" i="67"/>
  <c r="CX65" i="67"/>
  <c r="DI91" i="67"/>
  <c r="CJ23" i="67"/>
  <c r="CN58" i="67"/>
  <c r="CY65" i="67"/>
  <c r="DI89" i="67"/>
  <c r="CM104" i="67"/>
  <c r="CV34" i="67"/>
  <c r="CM35" i="67"/>
  <c r="DC59" i="67"/>
  <c r="CM86" i="67"/>
  <c r="CK96" i="67"/>
  <c r="DK53" i="67"/>
  <c r="CU64" i="67"/>
  <c r="CU86" i="67"/>
  <c r="DK4" i="67"/>
  <c r="CP23" i="67"/>
  <c r="CN24" i="67"/>
  <c r="CW61" i="67"/>
  <c r="DF65" i="67"/>
  <c r="DF81" i="67"/>
  <c r="DI95" i="67"/>
  <c r="CT107" i="67"/>
  <c r="CS101" i="67"/>
  <c r="DF39" i="67"/>
  <c r="DF59" i="67"/>
  <c r="CW100" i="67"/>
  <c r="DG8" i="67"/>
  <c r="DI16" i="67"/>
  <c r="DG54" i="67"/>
  <c r="DK57" i="67"/>
  <c r="DF100" i="67"/>
  <c r="CR17" i="67"/>
  <c r="DA40" i="67"/>
  <c r="CU48" i="67"/>
  <c r="DK73" i="67"/>
  <c r="CN82" i="67"/>
  <c r="CU93" i="67"/>
  <c r="CW75" i="67"/>
  <c r="CK18" i="67"/>
  <c r="CX2" i="67"/>
  <c r="DB18" i="67"/>
  <c r="CJ33" i="67"/>
  <c r="DE99" i="67"/>
  <c r="CM26" i="67"/>
  <c r="CS90" i="67"/>
  <c r="CO37" i="67"/>
  <c r="DB48" i="67"/>
  <c r="CT90" i="67"/>
  <c r="DB91" i="67"/>
  <c r="CR92" i="67"/>
  <c r="DI96" i="67"/>
  <c r="CR102" i="67"/>
  <c r="CN106" i="67"/>
  <c r="DF20" i="67"/>
  <c r="CZ43" i="67"/>
  <c r="CR58" i="67"/>
  <c r="CV72" i="67"/>
  <c r="CV76" i="67"/>
  <c r="CX85" i="67"/>
  <c r="CV93" i="67"/>
  <c r="CV102" i="67"/>
  <c r="CK105" i="67"/>
  <c r="CZ106" i="67"/>
  <c r="CO20" i="67"/>
  <c r="CU4" i="67"/>
  <c r="CX9" i="67"/>
  <c r="CY15" i="67"/>
  <c r="CN32" i="67"/>
  <c r="CK49" i="67"/>
  <c r="CK70" i="67"/>
  <c r="DG102" i="67"/>
  <c r="CN105" i="67"/>
  <c r="DG106" i="67"/>
  <c r="CN115" i="67"/>
  <c r="CZ9" i="67"/>
  <c r="CZ15" i="67"/>
  <c r="CQ56" i="67"/>
  <c r="DF69" i="67"/>
  <c r="CL70" i="67"/>
  <c r="CR113" i="67"/>
  <c r="DA21" i="67"/>
  <c r="CJ39" i="67"/>
  <c r="CX101" i="67"/>
  <c r="CM39" i="67"/>
  <c r="CJ74" i="67"/>
  <c r="CZ10" i="67"/>
  <c r="CS77" i="67"/>
  <c r="DF104" i="67"/>
  <c r="DG57" i="67"/>
  <c r="CY74" i="67"/>
  <c r="CS6" i="67"/>
  <c r="CS35" i="67"/>
  <c r="DG41" i="67"/>
  <c r="CV47" i="67"/>
  <c r="CO82" i="67"/>
  <c r="DK110" i="67"/>
  <c r="CK112" i="67"/>
  <c r="CV30" i="67"/>
  <c r="DB35" i="67"/>
  <c r="DJ41" i="67"/>
  <c r="CZ50" i="67"/>
  <c r="CK55" i="67"/>
  <c r="CV103" i="67"/>
  <c r="CS112" i="67"/>
  <c r="CM13" i="67"/>
  <c r="CV53" i="67"/>
  <c r="DA55" i="67"/>
  <c r="CV98" i="67"/>
  <c r="DF103" i="67"/>
  <c r="DJ112" i="67"/>
  <c r="DB55" i="67"/>
  <c r="CM7" i="67"/>
  <c r="CL48" i="67"/>
  <c r="DF47" i="67"/>
  <c r="DD55" i="67"/>
  <c r="CM67" i="67"/>
  <c r="CW83" i="67"/>
  <c r="CY90" i="67"/>
  <c r="CV108" i="67"/>
  <c r="CZ113" i="67"/>
  <c r="CV4" i="67"/>
  <c r="DD10" i="67"/>
  <c r="CL14" i="67"/>
  <c r="CM32" i="67"/>
  <c r="CN39" i="67"/>
  <c r="CV43" i="67"/>
  <c r="CJ66" i="67"/>
  <c r="CM77" i="67"/>
  <c r="CV86" i="67"/>
  <c r="DI25" i="67"/>
  <c r="CZ52" i="67"/>
  <c r="CR54" i="67"/>
  <c r="CO67" i="67"/>
  <c r="CM68" i="67"/>
  <c r="DJ90" i="67"/>
  <c r="CO91" i="67"/>
  <c r="DB101" i="67"/>
  <c r="CL7" i="67"/>
  <c r="DI14" i="67"/>
  <c r="CW18" i="67"/>
  <c r="CY21" i="67"/>
  <c r="DJ14" i="67"/>
  <c r="CZ21" i="67"/>
  <c r="DF28" i="67"/>
  <c r="CX29" i="67"/>
  <c r="DA8" i="67"/>
  <c r="CN11" i="67"/>
  <c r="DK14" i="67"/>
  <c r="CS32" i="67"/>
  <c r="CM50" i="67"/>
  <c r="CZ54" i="67"/>
  <c r="CV60" i="67"/>
  <c r="DG68" i="67"/>
  <c r="CO75" i="67"/>
  <c r="DI80" i="67"/>
  <c r="CZ94" i="67"/>
  <c r="CY106" i="67"/>
  <c r="CR107" i="67"/>
  <c r="CU73" i="67"/>
  <c r="DI8" i="67"/>
  <c r="CN19" i="67"/>
  <c r="DE22" i="67"/>
  <c r="CO26" i="67"/>
  <c r="CK12" i="67"/>
  <c r="CX15" i="67"/>
  <c r="DF22" i="67"/>
  <c r="DB26" i="67"/>
  <c r="CU30" i="67"/>
  <c r="DI41" i="67"/>
  <c r="CU56" i="67"/>
  <c r="CM70" i="67"/>
  <c r="CS78" i="67"/>
  <c r="CS81" i="67"/>
  <c r="DJ95" i="67"/>
  <c r="CJ96" i="67"/>
  <c r="CJ104" i="67"/>
  <c r="DJ106" i="67"/>
  <c r="CN70" i="67"/>
  <c r="CO85" i="67"/>
  <c r="CU33" i="67"/>
  <c r="CK34" i="67"/>
  <c r="DG37" i="67"/>
  <c r="CL49" i="67"/>
  <c r="DK78" i="67"/>
  <c r="CW85" i="67"/>
  <c r="CM88" i="67"/>
  <c r="CL103" i="67"/>
  <c r="CL114" i="67"/>
  <c r="DB15" i="67"/>
  <c r="CR23" i="67"/>
  <c r="DC96" i="67"/>
  <c r="CN103" i="67"/>
  <c r="DB114" i="67"/>
  <c r="CZ27" i="67"/>
  <c r="CR42" i="67"/>
  <c r="DJ51" i="67"/>
  <c r="CS62" i="67"/>
  <c r="CN76" i="67"/>
  <c r="CK97" i="67"/>
  <c r="CS103" i="67"/>
  <c r="CW109" i="67"/>
  <c r="DC114" i="67"/>
  <c r="CK38" i="67"/>
  <c r="CS42" i="67"/>
  <c r="DA49" i="67"/>
  <c r="CV57" i="67"/>
  <c r="CY2" i="67"/>
  <c r="CU13" i="67"/>
  <c r="CY16" i="67"/>
  <c r="CK24" i="67"/>
  <c r="CK31" i="67"/>
  <c r="CV55" i="67"/>
  <c r="DI6" i="67"/>
  <c r="CS10" i="67"/>
  <c r="DJ16" i="67"/>
  <c r="H53" i="76"/>
  <c r="F53" i="30"/>
  <c r="CT57" i="67"/>
  <c r="CD107" i="67"/>
  <c r="K59" i="77"/>
  <c r="CR63" i="67"/>
  <c r="H71" i="76"/>
  <c r="F71" i="30"/>
  <c r="H72" i="76"/>
  <c r="F72" i="30"/>
  <c r="CP73" i="67"/>
  <c r="E73" i="28"/>
  <c r="DE75" i="67"/>
  <c r="H75" i="76"/>
  <c r="F75" i="30"/>
  <c r="DD78" i="67"/>
  <c r="E78" i="28"/>
  <c r="CT85" i="67"/>
  <c r="DE87" i="67"/>
  <c r="H87" i="76"/>
  <c r="F87" i="30"/>
  <c r="DB94" i="67"/>
  <c r="E96" i="28"/>
  <c r="DH100" i="67"/>
  <c r="DD101" i="67"/>
  <c r="E101" i="28"/>
  <c r="CP105" i="67"/>
  <c r="E105" i="28"/>
  <c r="DA114" i="67"/>
  <c r="DA115" i="67"/>
  <c r="CT2" i="67"/>
  <c r="E4" i="28"/>
  <c r="DE8" i="67"/>
  <c r="H8" i="76"/>
  <c r="F8" i="30"/>
  <c r="DE16" i="67"/>
  <c r="H16" i="76"/>
  <c r="F16" i="30"/>
  <c r="CX17" i="67"/>
  <c r="CQ20" i="67"/>
  <c r="H20" i="76"/>
  <c r="F20" i="30"/>
  <c r="DD25" i="67"/>
  <c r="E25" i="28"/>
  <c r="CO5" i="67"/>
  <c r="DB13" i="67"/>
  <c r="CS29" i="67"/>
  <c r="H32" i="76"/>
  <c r="F32" i="30"/>
  <c r="CT34" i="67"/>
  <c r="DJ39" i="67"/>
  <c r="CT45" i="67"/>
  <c r="CK59" i="67"/>
  <c r="CS63" i="67"/>
  <c r="BY76" i="67"/>
  <c r="BY80" i="67"/>
  <c r="H73" i="76"/>
  <c r="F73" i="30"/>
  <c r="CQ78" i="67"/>
  <c r="H78" i="76"/>
  <c r="F78" i="30"/>
  <c r="DJ84" i="67"/>
  <c r="CY88" i="67"/>
  <c r="K91" i="77"/>
  <c r="CT92" i="67"/>
  <c r="DC94" i="67"/>
  <c r="K95" i="77"/>
  <c r="DE96" i="67"/>
  <c r="H96" i="76"/>
  <c r="F96" i="30"/>
  <c r="K97" i="77"/>
  <c r="CT98" i="67"/>
  <c r="CQ101" i="67"/>
  <c r="H101" i="76"/>
  <c r="F101" i="30"/>
  <c r="DD103" i="67"/>
  <c r="E103" i="28"/>
  <c r="DD104" i="67"/>
  <c r="E104" i="28"/>
  <c r="H105" i="76"/>
  <c r="F105" i="30"/>
  <c r="DG108" i="67"/>
  <c r="CT110" i="67"/>
  <c r="L110" i="32"/>
  <c r="CS113" i="67"/>
  <c r="DH12" i="67"/>
  <c r="CW42" i="67"/>
  <c r="K68" i="77"/>
  <c r="E102" i="28"/>
  <c r="DE103" i="67"/>
  <c r="H103" i="76"/>
  <c r="F103" i="30"/>
  <c r="CQ104" i="67"/>
  <c r="H104" i="76"/>
  <c r="F104" i="30"/>
  <c r="DC115" i="67"/>
  <c r="DH14" i="67"/>
  <c r="H46" i="76"/>
  <c r="F46" i="30"/>
  <c r="CP6" i="67"/>
  <c r="E6" i="28"/>
  <c r="E10" i="28"/>
  <c r="CY17" i="67"/>
  <c r="DE6" i="67"/>
  <c r="H6" i="76"/>
  <c r="F6" i="30"/>
  <c r="CQ10" i="67"/>
  <c r="H10" i="76"/>
  <c r="F10" i="30"/>
  <c r="CP30" i="67"/>
  <c r="E30" i="28"/>
  <c r="CT41" i="67"/>
  <c r="DK44" i="67"/>
  <c r="DD49" i="67"/>
  <c r="E49" i="28"/>
  <c r="DH50" i="67"/>
  <c r="CB63" i="67"/>
  <c r="L63" i="156" s="1"/>
  <c r="DA52" i="67"/>
  <c r="CB67" i="67"/>
  <c r="L67" i="156" s="1"/>
  <c r="CV56" i="67"/>
  <c r="CV63" i="67"/>
  <c r="CD112" i="67"/>
  <c r="K64" i="77"/>
  <c r="BY83" i="67"/>
  <c r="BY84" i="67"/>
  <c r="K76" i="77"/>
  <c r="K79" i="77"/>
  <c r="CX82" i="67"/>
  <c r="CZ88" i="67"/>
  <c r="E90" i="28"/>
  <c r="E93" i="28"/>
  <c r="E94" i="28"/>
  <c r="CX3" i="67"/>
  <c r="CU5" i="67"/>
  <c r="DB7" i="67"/>
  <c r="CT8" i="67"/>
  <c r="CY9" i="67"/>
  <c r="CY11" i="67"/>
  <c r="CQ13" i="67"/>
  <c r="H13" i="76"/>
  <c r="F13" i="30"/>
  <c r="DA15" i="67"/>
  <c r="DH16" i="67"/>
  <c r="DI17" i="67"/>
  <c r="DG19" i="67"/>
  <c r="CT20" i="67"/>
  <c r="E23" i="28"/>
  <c r="CQ24" i="67"/>
  <c r="CZ29" i="67"/>
  <c r="CQ30" i="67"/>
  <c r="H30" i="76"/>
  <c r="F30" i="30"/>
  <c r="CN38" i="67"/>
  <c r="CP39" i="67"/>
  <c r="E39" i="28"/>
  <c r="CW40" i="67"/>
  <c r="CT46" i="67"/>
  <c r="CP47" i="67"/>
  <c r="E47" i="28"/>
  <c r="CM48" i="67"/>
  <c r="H49" i="76"/>
  <c r="F49" i="30"/>
  <c r="DJ49" i="67"/>
  <c r="CD99" i="67"/>
  <c r="K51" i="77"/>
  <c r="CP52" i="67"/>
  <c r="E52" i="28"/>
  <c r="DD52" i="67"/>
  <c r="DH53" i="67"/>
  <c r="CD103" i="67"/>
  <c r="K55" i="77"/>
  <c r="CB70" i="67"/>
  <c r="L70" i="156" s="1"/>
  <c r="DD62" i="67"/>
  <c r="E62" i="28"/>
  <c r="CO64" i="67"/>
  <c r="CL68" i="67"/>
  <c r="CT71" i="67"/>
  <c r="K71" i="77"/>
  <c r="K72" i="77"/>
  <c r="BY85" i="67"/>
  <c r="CT75" i="67"/>
  <c r="CK76" i="67"/>
  <c r="CU77" i="67"/>
  <c r="CN79" i="67"/>
  <c r="E80" i="28"/>
  <c r="DA82" i="67"/>
  <c r="DD84" i="67"/>
  <c r="E84" i="28"/>
  <c r="DB86" i="67"/>
  <c r="DE90" i="67"/>
  <c r="H90" i="76"/>
  <c r="F90" i="30"/>
  <c r="H93" i="76"/>
  <c r="F93" i="30"/>
  <c r="H94" i="76"/>
  <c r="F94" i="30"/>
  <c r="DJ94" i="67"/>
  <c r="CR95" i="67"/>
  <c r="CR97" i="67"/>
  <c r="CO99" i="67"/>
  <c r="H102" i="76"/>
  <c r="F102" i="30"/>
  <c r="DD106" i="67"/>
  <c r="E106" i="28"/>
  <c r="CY107" i="67"/>
  <c r="CK111" i="67"/>
  <c r="CU112" i="67"/>
  <c r="DD115" i="67"/>
  <c r="L115" i="30"/>
  <c r="E115" i="28"/>
  <c r="K115" i="28" s="1"/>
  <c r="CP32" i="67"/>
  <c r="E32" i="28"/>
  <c r="CQ4" i="67"/>
  <c r="H4" i="76"/>
  <c r="F4" i="30"/>
  <c r="CQ9" i="67"/>
  <c r="DF3" i="67"/>
  <c r="DG7" i="67"/>
  <c r="CQ23" i="67"/>
  <c r="H23" i="76"/>
  <c r="F23" i="30"/>
  <c r="CT25" i="67"/>
  <c r="CP26" i="67"/>
  <c r="E26" i="28"/>
  <c r="CO27" i="67"/>
  <c r="CP28" i="67"/>
  <c r="E28" i="28"/>
  <c r="DA29" i="67"/>
  <c r="CR31" i="67"/>
  <c r="DH32" i="67"/>
  <c r="DD37" i="67"/>
  <c r="E37" i="28"/>
  <c r="CQ38" i="67"/>
  <c r="CQ39" i="67"/>
  <c r="H39" i="76"/>
  <c r="F39" i="30"/>
  <c r="DE47" i="67"/>
  <c r="H47" i="76"/>
  <c r="F47" i="30"/>
  <c r="CQ51" i="67"/>
  <c r="CQ52" i="67"/>
  <c r="H52" i="76"/>
  <c r="F52" i="30"/>
  <c r="DE52" i="67"/>
  <c r="DD56" i="67"/>
  <c r="E56" i="28"/>
  <c r="CD106" i="67"/>
  <c r="K58" i="77"/>
  <c r="H62" i="76"/>
  <c r="F62" i="30"/>
  <c r="CP65" i="67"/>
  <c r="E65" i="28"/>
  <c r="CR67" i="67"/>
  <c r="DK70" i="67"/>
  <c r="CN71" i="67"/>
  <c r="CK72" i="67"/>
  <c r="E74" i="28"/>
  <c r="CV77" i="67"/>
  <c r="DH78" i="67"/>
  <c r="CX79" i="67"/>
  <c r="DE80" i="67"/>
  <c r="H80" i="76"/>
  <c r="F80" i="30"/>
  <c r="K81" i="77"/>
  <c r="H84" i="76"/>
  <c r="F84" i="30"/>
  <c r="DG88" i="67"/>
  <c r="CS95" i="67"/>
  <c r="CZ97" i="67"/>
  <c r="DH105" i="67"/>
  <c r="DE106" i="67"/>
  <c r="H106" i="76"/>
  <c r="F106" i="30"/>
  <c r="CP109" i="67"/>
  <c r="E109" i="28"/>
  <c r="CV111" i="67"/>
  <c r="DE115" i="67"/>
  <c r="H115" i="76"/>
  <c r="M115" i="32"/>
  <c r="F115" i="30"/>
  <c r="M115" i="30" s="1"/>
  <c r="L115" i="28"/>
  <c r="DD3" i="67"/>
  <c r="E3" i="28"/>
  <c r="DH27" i="67"/>
  <c r="H25" i="76"/>
  <c r="F25" i="30"/>
  <c r="DI26" i="67"/>
  <c r="CT5" i="67"/>
  <c r="CX11" i="67"/>
  <c r="DD13" i="67"/>
  <c r="E13" i="28"/>
  <c r="CZ17" i="67"/>
  <c r="DF21" i="67"/>
  <c r="BR5" i="17"/>
  <c r="C10" i="74" s="1"/>
  <c r="BF5" i="17"/>
  <c r="N5" i="17"/>
  <c r="C4" i="25" s="1"/>
  <c r="C5" i="17"/>
  <c r="C3" i="25" s="1"/>
  <c r="C5" i="25"/>
  <c r="DK3" i="67"/>
  <c r="CT6" i="67"/>
  <c r="CT10" i="67"/>
  <c r="CO14" i="67"/>
  <c r="DD19" i="67"/>
  <c r="E19" i="28"/>
  <c r="DK24" i="67"/>
  <c r="DE26" i="67"/>
  <c r="H26" i="76"/>
  <c r="F26" i="30"/>
  <c r="CQ28" i="67"/>
  <c r="H28" i="76"/>
  <c r="F28" i="30"/>
  <c r="DB29" i="67"/>
  <c r="CW31" i="67"/>
  <c r="CJ34" i="67"/>
  <c r="CL36" i="67"/>
  <c r="DE37" i="67"/>
  <c r="H37" i="76"/>
  <c r="F37" i="30"/>
  <c r="DD44" i="67"/>
  <c r="E44" i="28"/>
  <c r="CM45" i="67"/>
  <c r="CR51" i="67"/>
  <c r="CB66" i="67"/>
  <c r="L66" i="156" s="1"/>
  <c r="H56" i="76"/>
  <c r="F56" i="30"/>
  <c r="CK58" i="67"/>
  <c r="CP59" i="67"/>
  <c r="E59" i="28"/>
  <c r="CD109" i="67"/>
  <c r="K61" i="77"/>
  <c r="H65" i="76"/>
  <c r="F65" i="30"/>
  <c r="CN68" i="67"/>
  <c r="DK71" i="67"/>
  <c r="CS72" i="67"/>
  <c r="CB73" i="67"/>
  <c r="L73" i="156" s="1"/>
  <c r="H74" i="76"/>
  <c r="F74" i="30"/>
  <c r="CR76" i="67"/>
  <c r="CZ77" i="67"/>
  <c r="DA79" i="67"/>
  <c r="CK81" i="67"/>
  <c r="DJ88" i="67"/>
  <c r="CW91" i="67"/>
  <c r="K92" i="77"/>
  <c r="DB97" i="67"/>
  <c r="CU98" i="67"/>
  <c r="CT100" i="67"/>
  <c r="DH103" i="67"/>
  <c r="DH104" i="67"/>
  <c r="CQ109" i="67"/>
  <c r="H109" i="76"/>
  <c r="F109" i="30"/>
  <c r="CM110" i="67"/>
  <c r="DA111" i="67"/>
  <c r="CX112" i="67"/>
  <c r="L114" i="30"/>
  <c r="E114" i="28"/>
  <c r="K114" i="28" s="1"/>
  <c r="DI7" i="67"/>
  <c r="DG9" i="67"/>
  <c r="CM12" i="67"/>
  <c r="DH13" i="67"/>
  <c r="CT14" i="67"/>
  <c r="CP17" i="67"/>
  <c r="E17" i="28"/>
  <c r="CO18" i="67"/>
  <c r="DE19" i="67"/>
  <c r="H19" i="76"/>
  <c r="F19" i="30"/>
  <c r="CS27" i="67"/>
  <c r="CT30" i="67"/>
  <c r="CP35" i="67"/>
  <c r="E35" i="28"/>
  <c r="CM36" i="67"/>
  <c r="CK41" i="67"/>
  <c r="DD42" i="67"/>
  <c r="E42" i="28"/>
  <c r="CQ44" i="67"/>
  <c r="H44" i="76"/>
  <c r="F44" i="30"/>
  <c r="CU51" i="67"/>
  <c r="CD102" i="67"/>
  <c r="K54" i="77"/>
  <c r="CB69" i="67"/>
  <c r="L69" i="156" s="1"/>
  <c r="H59" i="76"/>
  <c r="F59" i="30"/>
  <c r="CR61" i="67"/>
  <c r="BY74" i="67"/>
  <c r="CY64" i="67"/>
  <c r="DD69" i="67"/>
  <c r="E69" i="28"/>
  <c r="K73" i="77"/>
  <c r="E77" i="28"/>
  <c r="DD82" i="67"/>
  <c r="E82" i="28"/>
  <c r="K83" i="77"/>
  <c r="K85" i="77"/>
  <c r="CP86" i="67"/>
  <c r="E86" i="28"/>
  <c r="E88" i="28"/>
  <c r="K89" i="77"/>
  <c r="CM92" i="67"/>
  <c r="DH93" i="67"/>
  <c r="CT94" i="67"/>
  <c r="DC97" i="67"/>
  <c r="CU99" i="67"/>
  <c r="CV100" i="67"/>
  <c r="DH102" i="67"/>
  <c r="E108" i="28"/>
  <c r="DK111" i="67"/>
  <c r="DB112" i="67"/>
  <c r="H114" i="76"/>
  <c r="F114" i="30"/>
  <c r="M114" i="30" s="1"/>
  <c r="M114" i="32"/>
  <c r="L114" i="28"/>
  <c r="DD2" i="67"/>
  <c r="G2" i="75"/>
  <c r="E2" i="28"/>
  <c r="CJ8" i="67"/>
  <c r="DA14" i="67"/>
  <c r="E15" i="28"/>
  <c r="CJ16" i="67"/>
  <c r="H17" i="76"/>
  <c r="F17" i="30"/>
  <c r="CS18" i="67"/>
  <c r="CL20" i="67"/>
  <c r="E21" i="28"/>
  <c r="CX22" i="67"/>
  <c r="CT27" i="67"/>
  <c r="DI29" i="67"/>
  <c r="CU34" i="67"/>
  <c r="H35" i="76"/>
  <c r="F35" i="30"/>
  <c r="CO36" i="67"/>
  <c r="DI38" i="67"/>
  <c r="CN41" i="67"/>
  <c r="H42" i="76"/>
  <c r="F42" i="30"/>
  <c r="CO43" i="67"/>
  <c r="CQ46" i="67"/>
  <c r="DH47" i="67"/>
  <c r="DH52" i="67"/>
  <c r="CK54" i="67"/>
  <c r="CZ55" i="67"/>
  <c r="CD105" i="67"/>
  <c r="K57" i="77"/>
  <c r="CS61" i="67"/>
  <c r="CT62" i="67"/>
  <c r="CD110" i="67"/>
  <c r="K62" i="77"/>
  <c r="CZ64" i="67"/>
  <c r="BY77" i="67"/>
  <c r="H69" i="76"/>
  <c r="F69" i="30"/>
  <c r="CM73" i="67"/>
  <c r="K75" i="77"/>
  <c r="CX76" i="67"/>
  <c r="DE77" i="67"/>
  <c r="H77" i="76"/>
  <c r="F77" i="30"/>
  <c r="DC79" i="67"/>
  <c r="DH80" i="67"/>
  <c r="H82" i="76"/>
  <c r="F82" i="30"/>
  <c r="CU83" i="67"/>
  <c r="DH84" i="67"/>
  <c r="H86" i="76"/>
  <c r="F86" i="30"/>
  <c r="K87" i="77"/>
  <c r="H88" i="76"/>
  <c r="F88" i="30"/>
  <c r="CL89" i="67"/>
  <c r="DB95" i="67"/>
  <c r="DK98" i="67"/>
  <c r="CZ99" i="67"/>
  <c r="DH106" i="67"/>
  <c r="E107" i="28"/>
  <c r="DE108" i="67"/>
  <c r="H108" i="76"/>
  <c r="F108" i="30"/>
  <c r="CX110" i="67"/>
  <c r="L113" i="30"/>
  <c r="E113" i="28"/>
  <c r="K113" i="28" s="1"/>
  <c r="CT115" i="67"/>
  <c r="L115" i="32"/>
  <c r="DE2" i="67"/>
  <c r="H2" i="76"/>
  <c r="F2" i="30"/>
  <c r="CP4" i="67"/>
  <c r="DD7" i="67"/>
  <c r="E7" i="28"/>
  <c r="CK8" i="67"/>
  <c r="CP11" i="67"/>
  <c r="E11" i="28"/>
  <c r="DB12" i="67"/>
  <c r="DB14" i="67"/>
  <c r="DE15" i="67"/>
  <c r="H15" i="76"/>
  <c r="F15" i="30"/>
  <c r="CU18" i="67"/>
  <c r="CM20" i="67"/>
  <c r="CQ21" i="67"/>
  <c r="H21" i="76"/>
  <c r="F21" i="30"/>
  <c r="CY22" i="67"/>
  <c r="CP24" i="67"/>
  <c r="E24" i="28"/>
  <c r="DH25" i="67"/>
  <c r="CT26" i="67"/>
  <c r="CX27" i="67"/>
  <c r="CT28" i="67"/>
  <c r="CK32" i="67"/>
  <c r="CT37" i="67"/>
  <c r="DJ38" i="67"/>
  <c r="DE46" i="67"/>
  <c r="DJ48" i="67"/>
  <c r="CB62" i="67"/>
  <c r="L62" i="156" s="1"/>
  <c r="DD51" i="67"/>
  <c r="E51" i="28"/>
  <c r="E55" i="28"/>
  <c r="CT56" i="67"/>
  <c r="CS58" i="67"/>
  <c r="CB72" i="67"/>
  <c r="L72" i="156" s="1"/>
  <c r="CL62" i="67"/>
  <c r="DB64" i="67"/>
  <c r="CT65" i="67"/>
  <c r="CD113" i="67"/>
  <c r="K65" i="77"/>
  <c r="CT74" i="67"/>
  <c r="CP76" i="67"/>
  <c r="E76" i="28"/>
  <c r="CZ76" i="67"/>
  <c r="K78" i="77"/>
  <c r="CP79" i="67"/>
  <c r="E79" i="28"/>
  <c r="DD79" i="67"/>
  <c r="DA81" i="67"/>
  <c r="CN87" i="67"/>
  <c r="CS89" i="67"/>
  <c r="K96" i="77"/>
  <c r="CP97" i="67"/>
  <c r="E97" i="28"/>
  <c r="DB99" i="67"/>
  <c r="CJ105" i="67"/>
  <c r="H107" i="76"/>
  <c r="F107" i="30"/>
  <c r="CT109" i="67"/>
  <c r="CY110" i="67"/>
  <c r="CP112" i="67"/>
  <c r="L112" i="30"/>
  <c r="E112" i="28"/>
  <c r="K112" i="28" s="1"/>
  <c r="CQ113" i="67"/>
  <c r="H113" i="76"/>
  <c r="M113" i="32"/>
  <c r="F113" i="30"/>
  <c r="M113" i="30" s="1"/>
  <c r="L113" i="28"/>
  <c r="CP5" i="67"/>
  <c r="E5" i="28"/>
  <c r="CJ6" i="67"/>
  <c r="H7" i="76"/>
  <c r="F7" i="30"/>
  <c r="DD9" i="67"/>
  <c r="E9" i="28"/>
  <c r="CQ11" i="67"/>
  <c r="H11" i="76"/>
  <c r="F11" i="30"/>
  <c r="CT19" i="67"/>
  <c r="H24" i="76"/>
  <c r="F24" i="30"/>
  <c r="DD29" i="67"/>
  <c r="E29" i="28"/>
  <c r="DD31" i="67"/>
  <c r="E31" i="28"/>
  <c r="CT44" i="67"/>
  <c r="CD98" i="67"/>
  <c r="K50" i="77"/>
  <c r="H51" i="76"/>
  <c r="F51" i="30"/>
  <c r="CB65" i="67"/>
  <c r="L65" i="156" s="1"/>
  <c r="CQ55" i="67"/>
  <c r="H55" i="76"/>
  <c r="F55" i="30"/>
  <c r="CU57" i="67"/>
  <c r="DD58" i="67"/>
  <c r="E58" i="28"/>
  <c r="CT59" i="67"/>
  <c r="CD108" i="67"/>
  <c r="K60" i="77"/>
  <c r="CV61" i="67"/>
  <c r="E66" i="28"/>
  <c r="DF68" i="67"/>
  <c r="BY81" i="67"/>
  <c r="H76" i="76"/>
  <c r="F76" i="30"/>
  <c r="CP78" i="67"/>
  <c r="DE79" i="67"/>
  <c r="H79" i="76"/>
  <c r="F79" i="30"/>
  <c r="DD91" i="67"/>
  <c r="E91" i="28"/>
  <c r="DD95" i="67"/>
  <c r="E95" i="28"/>
  <c r="CQ97" i="67"/>
  <c r="H97" i="76"/>
  <c r="F97" i="30"/>
  <c r="CP101" i="67"/>
  <c r="DG110" i="67"/>
  <c r="DE112" i="67"/>
  <c r="H112" i="76"/>
  <c r="M112" i="32"/>
  <c r="F112" i="30"/>
  <c r="M112" i="30" s="1"/>
  <c r="L112" i="28"/>
  <c r="CT114" i="67"/>
  <c r="L114" i="32"/>
  <c r="CQ5" i="67"/>
  <c r="H5" i="76"/>
  <c r="F5" i="30"/>
  <c r="H9" i="76"/>
  <c r="F9" i="30"/>
  <c r="CZ16" i="67"/>
  <c r="DH17" i="67"/>
  <c r="DA18" i="67"/>
  <c r="DE29" i="67"/>
  <c r="H29" i="76"/>
  <c r="F29" i="30"/>
  <c r="DE31" i="67"/>
  <c r="H31" i="76"/>
  <c r="F31" i="30"/>
  <c r="DD33" i="67"/>
  <c r="E33" i="28"/>
  <c r="CZ34" i="67"/>
  <c r="DH35" i="67"/>
  <c r="CP38" i="67"/>
  <c r="E38" i="28"/>
  <c r="DH42" i="67"/>
  <c r="E48" i="28"/>
  <c r="CJ49" i="67"/>
  <c r="CD101" i="67"/>
  <c r="K53" i="77"/>
  <c r="H58" i="76"/>
  <c r="F58" i="30"/>
  <c r="DK58" i="67"/>
  <c r="E61" i="28"/>
  <c r="E63" i="28"/>
  <c r="DE66" i="67"/>
  <c r="H66" i="76"/>
  <c r="F66" i="30"/>
  <c r="DD67" i="67"/>
  <c r="E67" i="28"/>
  <c r="DH69" i="67"/>
  <c r="K69" i="77"/>
  <c r="DD70" i="67"/>
  <c r="E70" i="28"/>
  <c r="CQ75" i="67"/>
  <c r="K90" i="77"/>
  <c r="DE91" i="67"/>
  <c r="H91" i="76"/>
  <c r="F91" i="30"/>
  <c r="DG92" i="67"/>
  <c r="K93" i="77"/>
  <c r="DE95" i="67"/>
  <c r="H95" i="76"/>
  <c r="F95" i="30"/>
  <c r="CR101" i="67"/>
  <c r="CK102" i="67"/>
  <c r="CZ8" i="67"/>
  <c r="DH15" i="67"/>
  <c r="DA16" i="67"/>
  <c r="CT21" i="67"/>
  <c r="H33" i="76"/>
  <c r="F33" i="30"/>
  <c r="DC34" i="67"/>
  <c r="H38" i="76"/>
  <c r="F38" i="30"/>
  <c r="CP40" i="67"/>
  <c r="E40" i="28"/>
  <c r="DE48" i="67"/>
  <c r="H48" i="76"/>
  <c r="F48" i="30"/>
  <c r="CT50" i="67"/>
  <c r="CN53" i="67"/>
  <c r="DD54" i="67"/>
  <c r="E54" i="28"/>
  <c r="CZ57" i="67"/>
  <c r="CW60" i="67"/>
  <c r="H61" i="76"/>
  <c r="F61" i="30"/>
  <c r="DB61" i="67"/>
  <c r="CR62" i="67"/>
  <c r="DE63" i="67"/>
  <c r="H63" i="76"/>
  <c r="F63" i="30"/>
  <c r="CZ65" i="67"/>
  <c r="DE67" i="67"/>
  <c r="H67" i="76"/>
  <c r="F67" i="30"/>
  <c r="DK68" i="67"/>
  <c r="CQ69" i="67"/>
  <c r="CQ70" i="67"/>
  <c r="H70" i="76"/>
  <c r="F70" i="30"/>
  <c r="CV75" i="67"/>
  <c r="CT78" i="67"/>
  <c r="DD81" i="67"/>
  <c r="E81" i="28"/>
  <c r="K84" i="77"/>
  <c r="DI85" i="67"/>
  <c r="DK92" i="67"/>
  <c r="CN93" i="67"/>
  <c r="K94" i="77"/>
  <c r="CL96" i="67"/>
  <c r="DD99" i="67"/>
  <c r="E99" i="28"/>
  <c r="CN102" i="67"/>
  <c r="CQ103" i="67"/>
  <c r="CO104" i="67"/>
  <c r="CO105" i="67"/>
  <c r="CJ106" i="67"/>
  <c r="DI110" i="67"/>
  <c r="L111" i="30"/>
  <c r="E111" i="28"/>
  <c r="K111" i="28" s="1"/>
  <c r="L113" i="32"/>
  <c r="CJ115" i="67"/>
  <c r="CP18" i="67"/>
  <c r="E18" i="28"/>
  <c r="DH24" i="67"/>
  <c r="CP27" i="67"/>
  <c r="E27" i="28"/>
  <c r="H40" i="76"/>
  <c r="F40" i="30"/>
  <c r="CT51" i="67"/>
  <c r="DE54" i="67"/>
  <c r="H54" i="76"/>
  <c r="F54" i="30"/>
  <c r="DH55" i="67"/>
  <c r="DD57" i="67"/>
  <c r="E57" i="28"/>
  <c r="BY78" i="67"/>
  <c r="DH79" i="67"/>
  <c r="CQ81" i="67"/>
  <c r="H81" i="76"/>
  <c r="F81" i="30"/>
  <c r="CP83" i="67"/>
  <c r="E83" i="28"/>
  <c r="CM84" i="67"/>
  <c r="E85" i="28"/>
  <c r="DF87" i="67"/>
  <c r="CQ96" i="67"/>
  <c r="CT97" i="67"/>
  <c r="H99" i="76"/>
  <c r="F99" i="30"/>
  <c r="CP100" i="67"/>
  <c r="E100" i="28"/>
  <c r="CO102" i="67"/>
  <c r="DE111" i="67"/>
  <c r="H111" i="76"/>
  <c r="F111" i="30"/>
  <c r="M111" i="30" s="1"/>
  <c r="M111" i="32"/>
  <c r="L111" i="28"/>
  <c r="L112" i="32"/>
  <c r="CT9" i="67"/>
  <c r="CK44" i="67"/>
  <c r="E45" i="28"/>
  <c r="CB64" i="67"/>
  <c r="L64" i="156" s="1"/>
  <c r="DE57" i="67"/>
  <c r="H57" i="76"/>
  <c r="F57" i="30"/>
  <c r="DH57" i="67"/>
  <c r="CZ60" i="67"/>
  <c r="BY75" i="67"/>
  <c r="CT66" i="67"/>
  <c r="CD114" i="67"/>
  <c r="K66" i="77"/>
  <c r="BY79" i="67"/>
  <c r="CV69" i="67"/>
  <c r="BY82" i="67"/>
  <c r="K80" i="77"/>
  <c r="DE83" i="67"/>
  <c r="H83" i="76"/>
  <c r="F83" i="30"/>
  <c r="CO84" i="67"/>
  <c r="H85" i="76"/>
  <c r="F85" i="30"/>
  <c r="CT91" i="67"/>
  <c r="DD92" i="67"/>
  <c r="E92" i="28"/>
  <c r="DH95" i="67"/>
  <c r="CR96" i="67"/>
  <c r="CP98" i="67"/>
  <c r="E98" i="28"/>
  <c r="DE100" i="67"/>
  <c r="H100" i="76"/>
  <c r="F100" i="30"/>
  <c r="DE104" i="67"/>
  <c r="CZ105" i="67"/>
  <c r="DD110" i="67"/>
  <c r="L110" i="30"/>
  <c r="E110" i="28"/>
  <c r="K110" i="28" s="1"/>
  <c r="DE3" i="67"/>
  <c r="H3" i="76"/>
  <c r="F3" i="30"/>
  <c r="CP12" i="67"/>
  <c r="E12" i="28"/>
  <c r="DD22" i="67"/>
  <c r="E22" i="28"/>
  <c r="DE27" i="67"/>
  <c r="H27" i="76"/>
  <c r="F27" i="30"/>
  <c r="CT31" i="67"/>
  <c r="E34" i="28"/>
  <c r="DD36" i="67"/>
  <c r="E36" i="28"/>
  <c r="CQ12" i="67"/>
  <c r="H12" i="76"/>
  <c r="F12" i="30"/>
  <c r="H22" i="76"/>
  <c r="F22" i="30"/>
  <c r="CW26" i="67"/>
  <c r="DD32" i="67"/>
  <c r="DH33" i="67"/>
  <c r="H34" i="76"/>
  <c r="F34" i="30"/>
  <c r="CQ36" i="67"/>
  <c r="H36" i="76"/>
  <c r="F36" i="30"/>
  <c r="E41" i="28"/>
  <c r="CJ42" i="67"/>
  <c r="DD43" i="67"/>
  <c r="E43" i="28"/>
  <c r="CO44" i="67"/>
  <c r="H45" i="76"/>
  <c r="F45" i="30"/>
  <c r="DH48" i="67"/>
  <c r="CS49" i="67"/>
  <c r="E50" i="28"/>
  <c r="DC50" i="67"/>
  <c r="CD100" i="67"/>
  <c r="K52" i="77"/>
  <c r="CB68" i="67"/>
  <c r="L68" i="156" s="1"/>
  <c r="DD60" i="67"/>
  <c r="E60" i="28"/>
  <c r="DB60" i="67"/>
  <c r="DH61" i="67"/>
  <c r="DE62" i="67"/>
  <c r="DH63" i="67"/>
  <c r="CD111" i="67"/>
  <c r="K63" i="77"/>
  <c r="DD64" i="67"/>
  <c r="E64" i="28"/>
  <c r="DJ65" i="67"/>
  <c r="CT67" i="67"/>
  <c r="CD115" i="67"/>
  <c r="K67" i="77"/>
  <c r="CP68" i="67"/>
  <c r="E68" i="28"/>
  <c r="CW69" i="67"/>
  <c r="K70" i="77"/>
  <c r="K74" i="77"/>
  <c r="K77" i="77"/>
  <c r="CM80" i="67"/>
  <c r="K88" i="77"/>
  <c r="E89" i="28"/>
  <c r="DE92" i="67"/>
  <c r="H92" i="76"/>
  <c r="F92" i="30"/>
  <c r="DC93" i="67"/>
  <c r="CY94" i="67"/>
  <c r="CT96" i="67"/>
  <c r="CQ98" i="67"/>
  <c r="H98" i="76"/>
  <c r="F98" i="30"/>
  <c r="DE101" i="67"/>
  <c r="CT102" i="67"/>
  <c r="DK105" i="67"/>
  <c r="CQ110" i="67"/>
  <c r="H110" i="76"/>
  <c r="M110" i="32"/>
  <c r="F110" i="30"/>
  <c r="M110" i="30" s="1"/>
  <c r="L110" i="28"/>
  <c r="CT7" i="67"/>
  <c r="CP14" i="67"/>
  <c r="E14" i="28"/>
  <c r="H14" i="76"/>
  <c r="F14" i="30"/>
  <c r="H18" i="76"/>
  <c r="F18" i="30"/>
  <c r="CT29" i="67"/>
  <c r="CU2" i="67"/>
  <c r="DH3" i="67"/>
  <c r="E8" i="28"/>
  <c r="CW13" i="67"/>
  <c r="DD16" i="67"/>
  <c r="E16" i="28"/>
  <c r="CT17" i="67"/>
  <c r="DD20" i="67"/>
  <c r="E20" i="28"/>
  <c r="DE32" i="67"/>
  <c r="DE39" i="67"/>
  <c r="CT40" i="67"/>
  <c r="H41" i="76"/>
  <c r="F41" i="30"/>
  <c r="DE43" i="67"/>
  <c r="H43" i="76"/>
  <c r="F43" i="30"/>
  <c r="E46" i="28"/>
  <c r="CT49" i="67"/>
  <c r="H50" i="76"/>
  <c r="F50" i="30"/>
  <c r="DJ50" i="67"/>
  <c r="CJ52" i="67"/>
  <c r="CP53" i="67"/>
  <c r="E53" i="28"/>
  <c r="DD53" i="67"/>
  <c r="DH54" i="67"/>
  <c r="CD104" i="67"/>
  <c r="K56" i="77"/>
  <c r="CB71" i="67"/>
  <c r="L71" i="156" s="1"/>
  <c r="DE60" i="67"/>
  <c r="H60" i="76"/>
  <c r="F60" i="30"/>
  <c r="DG60" i="67"/>
  <c r="DK62" i="67"/>
  <c r="CQ64" i="67"/>
  <c r="H64" i="76"/>
  <c r="F64" i="30"/>
  <c r="CY66" i="67"/>
  <c r="CL67" i="67"/>
  <c r="CQ68" i="67"/>
  <c r="H68" i="76"/>
  <c r="F68" i="30"/>
  <c r="E71" i="28"/>
  <c r="E72" i="28"/>
  <c r="DD75" i="67"/>
  <c r="E75" i="28"/>
  <c r="CS80" i="67"/>
  <c r="K82" i="77"/>
  <c r="CQ84" i="67"/>
  <c r="K86" i="77"/>
  <c r="DD87" i="67"/>
  <c r="E87" i="28"/>
  <c r="CJ88" i="67"/>
  <c r="H89" i="76"/>
  <c r="F89" i="30"/>
  <c r="CW90" i="67"/>
  <c r="CM107" i="67"/>
  <c r="CT108" i="67"/>
  <c r="CT111" i="67"/>
  <c r="L111" i="32"/>
  <c r="CP113" i="67"/>
  <c r="CQ114" i="67"/>
  <c r="CW115" i="67"/>
  <c r="T95" i="65"/>
  <c r="S90" i="65"/>
  <c r="S74" i="65"/>
  <c r="U68" i="65"/>
  <c r="S19" i="65"/>
  <c r="T105" i="65"/>
  <c r="T8" i="65"/>
  <c r="S24" i="65"/>
  <c r="U18" i="65"/>
  <c r="T13" i="65"/>
  <c r="S8" i="65"/>
  <c r="T110" i="65"/>
  <c r="S105" i="65"/>
  <c r="U99" i="65"/>
  <c r="T94" i="65"/>
  <c r="S89" i="65"/>
  <c r="U83" i="65"/>
  <c r="T78" i="65"/>
  <c r="S73" i="65"/>
  <c r="U67" i="65"/>
  <c r="T30" i="65"/>
  <c r="S114" i="65"/>
  <c r="U24" i="65"/>
  <c r="T24" i="65"/>
  <c r="U23" i="65"/>
  <c r="T18" i="65"/>
  <c r="S13" i="65"/>
  <c r="U7" i="65"/>
  <c r="U104" i="65"/>
  <c r="T99" i="65"/>
  <c r="S94" i="65"/>
  <c r="U88" i="65"/>
  <c r="S30" i="65"/>
  <c r="U113" i="65"/>
  <c r="T89" i="65"/>
  <c r="U28" i="65"/>
  <c r="T23" i="65"/>
  <c r="S18" i="65"/>
  <c r="U12" i="65"/>
  <c r="T7" i="65"/>
  <c r="U93" i="65"/>
  <c r="U29" i="65"/>
  <c r="T113" i="65"/>
  <c r="T100" i="65"/>
  <c r="T114" i="65"/>
  <c r="T29" i="65"/>
  <c r="S113" i="65"/>
  <c r="U94" i="65"/>
  <c r="S28" i="65"/>
  <c r="U22" i="65"/>
  <c r="T17" i="65"/>
  <c r="S12" i="65"/>
  <c r="S109" i="65"/>
  <c r="U103" i="65"/>
  <c r="T98" i="65"/>
  <c r="S93" i="65"/>
  <c r="U87" i="65"/>
  <c r="T82" i="65"/>
  <c r="S77" i="65"/>
  <c r="U71" i="65"/>
  <c r="T66" i="65"/>
  <c r="S61" i="65"/>
  <c r="U55" i="65"/>
  <c r="T50" i="65"/>
  <c r="S45" i="65"/>
  <c r="U39" i="65"/>
  <c r="T34" i="65"/>
  <c r="S29" i="65"/>
  <c r="U112" i="65"/>
  <c r="U27" i="65"/>
  <c r="T22" i="65"/>
  <c r="S17" i="65"/>
  <c r="U11" i="65"/>
  <c r="U108" i="65"/>
  <c r="T103" i="65"/>
  <c r="S98" i="65"/>
  <c r="U92" i="65"/>
  <c r="T87" i="65"/>
  <c r="S82" i="65"/>
  <c r="U76" i="65"/>
  <c r="T71" i="65"/>
  <c r="S66" i="65"/>
  <c r="U60" i="65"/>
  <c r="T55" i="65"/>
  <c r="S50" i="65"/>
  <c r="U44" i="65"/>
  <c r="T39" i="65"/>
  <c r="S34" i="65"/>
  <c r="U117" i="65"/>
  <c r="T112" i="65"/>
  <c r="U13" i="65"/>
  <c r="T27" i="65"/>
  <c r="S22" i="65"/>
  <c r="U16" i="65"/>
  <c r="T11" i="65"/>
  <c r="T108" i="65"/>
  <c r="S103" i="65"/>
  <c r="U97" i="65"/>
  <c r="T92" i="65"/>
  <c r="S87" i="65"/>
  <c r="U81" i="65"/>
  <c r="T76" i="65"/>
  <c r="S71" i="65"/>
  <c r="U65" i="65"/>
  <c r="T60" i="65"/>
  <c r="S55" i="65"/>
  <c r="U49" i="65"/>
  <c r="T44" i="65"/>
  <c r="S39" i="65"/>
  <c r="U33" i="65"/>
  <c r="T117" i="65"/>
  <c r="S112" i="65"/>
  <c r="S14" i="65"/>
  <c r="U107" i="65"/>
  <c r="T102" i="65"/>
  <c r="U8" i="65"/>
  <c r="T19" i="65"/>
  <c r="U89" i="65"/>
  <c r="U90" i="65"/>
  <c r="T85" i="65"/>
  <c r="U74" i="65"/>
  <c r="T25" i="65"/>
  <c r="S20" i="65"/>
  <c r="U14" i="65"/>
  <c r="T9" i="65"/>
  <c r="U111" i="65"/>
  <c r="T90" i="65"/>
  <c r="U31" i="65"/>
  <c r="J56" i="69"/>
  <c r="K56" i="69" s="1"/>
  <c r="L56" i="69" s="1"/>
  <c r="M56" i="69" s="1"/>
  <c r="N56" i="69" s="1"/>
  <c r="O56" i="69" s="1"/>
  <c r="P56" i="69" s="1"/>
  <c r="Q56" i="69" s="1"/>
  <c r="R56" i="69" s="1"/>
  <c r="S56" i="69" s="1"/>
  <c r="T56" i="69" s="1"/>
  <c r="U56" i="69" s="1"/>
  <c r="V56" i="69" s="1"/>
  <c r="W56" i="69" s="1"/>
  <c r="X56" i="69" s="1"/>
  <c r="Y56" i="69" s="1"/>
  <c r="Z56" i="69" s="1"/>
  <c r="AA56" i="69" s="1"/>
  <c r="DK2" i="67"/>
  <c r="CM6" i="67"/>
  <c r="CK14" i="67"/>
  <c r="DD17" i="67"/>
  <c r="DA22" i="67"/>
  <c r="CW23" i="67"/>
  <c r="CM24" i="67"/>
  <c r="DK25" i="67"/>
  <c r="CJ28" i="67"/>
  <c r="DA30" i="67"/>
  <c r="CL35" i="67"/>
  <c r="CW36" i="67"/>
  <c r="CJ46" i="67"/>
  <c r="CX46" i="67"/>
  <c r="CV46" i="67"/>
  <c r="CK48" i="67"/>
  <c r="CO51" i="67"/>
  <c r="CR55" i="67"/>
  <c r="CW63" i="67"/>
  <c r="DK63" i="67"/>
  <c r="DG70" i="67"/>
  <c r="CS70" i="67"/>
  <c r="CT72" i="67"/>
  <c r="DH72" i="67"/>
  <c r="CX81" i="67"/>
  <c r="CJ81" i="67"/>
  <c r="CW88" i="67"/>
  <c r="DK88" i="67"/>
  <c r="CR108" i="67"/>
  <c r="DF108" i="67"/>
  <c r="CV110" i="67"/>
  <c r="DJ110" i="67"/>
  <c r="DJ3" i="67"/>
  <c r="CN6" i="67"/>
  <c r="DH8" i="67"/>
  <c r="DF9" i="67"/>
  <c r="CR11" i="67"/>
  <c r="CZ13" i="67"/>
  <c r="CZ18" i="67"/>
  <c r="DC22" i="67"/>
  <c r="CV27" i="67"/>
  <c r="CK28" i="67"/>
  <c r="DH29" i="67"/>
  <c r="DB30" i="67"/>
  <c r="CU31" i="67"/>
  <c r="CT33" i="67"/>
  <c r="CR34" i="67"/>
  <c r="CX36" i="67"/>
  <c r="DI44" i="67"/>
  <c r="CP51" i="67"/>
  <c r="CU54" i="67"/>
  <c r="DI54" i="67"/>
  <c r="DF57" i="67"/>
  <c r="CO58" i="67"/>
  <c r="DA59" i="67"/>
  <c r="DF60" i="67"/>
  <c r="DA61" i="67"/>
  <c r="CT63" i="67"/>
  <c r="CV85" i="67"/>
  <c r="CM103" i="67"/>
  <c r="DA103" i="67"/>
  <c r="CU106" i="67"/>
  <c r="CQ58" i="67"/>
  <c r="DE58" i="67"/>
  <c r="CN77" i="67"/>
  <c r="DB77" i="67"/>
  <c r="CZ81" i="67"/>
  <c r="CL81" i="67"/>
  <c r="CO86" i="67"/>
  <c r="DC86" i="67"/>
  <c r="DD93" i="67"/>
  <c r="CP93" i="67"/>
  <c r="CK95" i="67"/>
  <c r="CY95" i="67"/>
  <c r="DE10" i="67"/>
  <c r="DB31" i="67"/>
  <c r="DE93" i="67"/>
  <c r="CQ93" i="67"/>
  <c r="CP7" i="67"/>
  <c r="DF10" i="67"/>
  <c r="DC13" i="67"/>
  <c r="DK17" i="67"/>
  <c r="CP20" i="67"/>
  <c r="CJ21" i="67"/>
  <c r="DI22" i="67"/>
  <c r="CN25" i="67"/>
  <c r="DF30" i="67"/>
  <c r="DC31" i="67"/>
  <c r="CY33" i="67"/>
  <c r="CW35" i="67"/>
  <c r="CM43" i="67"/>
  <c r="DA43" i="67"/>
  <c r="CX43" i="67"/>
  <c r="DJ45" i="67"/>
  <c r="CV45" i="67"/>
  <c r="DI50" i="67"/>
  <c r="CK53" i="67"/>
  <c r="CY53" i="67"/>
  <c r="DK56" i="67"/>
  <c r="DA58" i="67"/>
  <c r="DH60" i="67"/>
  <c r="CT60" i="67"/>
  <c r="CM62" i="67"/>
  <c r="DI63" i="67"/>
  <c r="DA65" i="67"/>
  <c r="CP69" i="67"/>
  <c r="DK72" i="67"/>
  <c r="CP77" i="67"/>
  <c r="DD77" i="67"/>
  <c r="CR82" i="67"/>
  <c r="DF82" i="67"/>
  <c r="DH9" i="67"/>
  <c r="CJ67" i="67"/>
  <c r="CX67" i="67"/>
  <c r="DH87" i="67"/>
  <c r="CT87" i="67"/>
  <c r="CN2" i="67"/>
  <c r="CM3" i="67"/>
  <c r="DJ5" i="67"/>
  <c r="CW6" i="67"/>
  <c r="CR7" i="67"/>
  <c r="CP16" i="67"/>
  <c r="CS20" i="67"/>
  <c r="DJ23" i="67"/>
  <c r="CX24" i="67"/>
  <c r="CP25" i="67"/>
  <c r="DD27" i="67"/>
  <c r="CS28" i="67"/>
  <c r="DG30" i="67"/>
  <c r="DI32" i="67"/>
  <c r="DC33" i="67"/>
  <c r="CO33" i="67"/>
  <c r="CZ33" i="67"/>
  <c r="DK39" i="67"/>
  <c r="CY42" i="67"/>
  <c r="DK45" i="67"/>
  <c r="CW45" i="67"/>
  <c r="DI47" i="67"/>
  <c r="CU47" i="67"/>
  <c r="CX51" i="67"/>
  <c r="CL53" i="67"/>
  <c r="CT58" i="67"/>
  <c r="DH58" i="67"/>
  <c r="DI60" i="67"/>
  <c r="CU60" i="67"/>
  <c r="DD65" i="67"/>
  <c r="DD66" i="67"/>
  <c r="CP66" i="67"/>
  <c r="CV74" i="67"/>
  <c r="DD85" i="67"/>
  <c r="CP85" i="67"/>
  <c r="CX91" i="67"/>
  <c r="CJ91" i="67"/>
  <c r="CP91" i="67"/>
  <c r="DH92" i="67"/>
  <c r="DG97" i="67"/>
  <c r="CS97" i="67"/>
  <c r="DE107" i="67"/>
  <c r="CQ107" i="67"/>
  <c r="DJ17" i="67"/>
  <c r="CO2" i="67"/>
  <c r="CN3" i="67"/>
  <c r="DK5" i="67"/>
  <c r="CZ6" i="67"/>
  <c r="CO8" i="67"/>
  <c r="DD11" i="67"/>
  <c r="CU12" i="67"/>
  <c r="CQ15" i="67"/>
  <c r="CQ16" i="67"/>
  <c r="CM17" i="67"/>
  <c r="DJ18" i="67"/>
  <c r="CX19" i="67"/>
  <c r="CU20" i="67"/>
  <c r="CU28" i="67"/>
  <c r="CO29" i="67"/>
  <c r="DJ32" i="67"/>
  <c r="DA34" i="67"/>
  <c r="CO35" i="67"/>
  <c r="DC35" i="67"/>
  <c r="CW41" i="67"/>
  <c r="CN42" i="67"/>
  <c r="DB42" i="67"/>
  <c r="CZ42" i="67"/>
  <c r="DK50" i="67"/>
  <c r="CS51" i="67"/>
  <c r="DG51" i="67"/>
  <c r="CS52" i="67"/>
  <c r="CM53" i="67"/>
  <c r="DA53" i="67"/>
  <c r="DE55" i="67"/>
  <c r="CU58" i="67"/>
  <c r="DI58" i="67"/>
  <c r="CP62" i="67"/>
  <c r="DH67" i="67"/>
  <c r="CS69" i="67"/>
  <c r="DC71" i="67"/>
  <c r="CO71" i="67"/>
  <c r="CK80" i="67"/>
  <c r="CY80" i="67"/>
  <c r="CQ85" i="67"/>
  <c r="DE85" i="67"/>
  <c r="CO112" i="67"/>
  <c r="DC112" i="67"/>
  <c r="CX114" i="67"/>
  <c r="CJ114" i="67"/>
  <c r="CQ82" i="67"/>
  <c r="DE82" i="67"/>
  <c r="CP2" i="67"/>
  <c r="CO3" i="67"/>
  <c r="CL4" i="67"/>
  <c r="CV7" i="67"/>
  <c r="CQ8" i="67"/>
  <c r="CN9" i="67"/>
  <c r="DE11" i="67"/>
  <c r="CV12" i="67"/>
  <c r="CR15" i="67"/>
  <c r="CT16" i="67"/>
  <c r="CY19" i="67"/>
  <c r="CV20" i="67"/>
  <c r="DF27" i="67"/>
  <c r="CP29" i="67"/>
  <c r="DK30" i="67"/>
  <c r="DK32" i="67"/>
  <c r="DA42" i="67"/>
  <c r="CS45" i="67"/>
  <c r="CW47" i="67"/>
  <c r="DK47" i="67"/>
  <c r="CT52" i="67"/>
  <c r="CJ64" i="67"/>
  <c r="DK67" i="67"/>
  <c r="DF70" i="67"/>
  <c r="DD71" i="67"/>
  <c r="CP71" i="67"/>
  <c r="DG84" i="67"/>
  <c r="DF85" i="67"/>
  <c r="CR85" i="67"/>
  <c r="CU97" i="67"/>
  <c r="DI97" i="67"/>
  <c r="CS98" i="67"/>
  <c r="CO101" i="67"/>
  <c r="CX102" i="67"/>
  <c r="DB96" i="67"/>
  <c r="CN96" i="67"/>
  <c r="CK99" i="67"/>
  <c r="CY99" i="67"/>
  <c r="CS47" i="67"/>
  <c r="DG47" i="67"/>
  <c r="CJ84" i="67"/>
  <c r="CX84" i="67"/>
  <c r="CZ92" i="67"/>
  <c r="CL92" i="67"/>
  <c r="CR2" i="67"/>
  <c r="CP3" i="67"/>
  <c r="CL5" i="67"/>
  <c r="CR8" i="67"/>
  <c r="CP9" i="67"/>
  <c r="CU15" i="67"/>
  <c r="CW16" i="67"/>
  <c r="CW20" i="67"/>
  <c r="CU21" i="67"/>
  <c r="DD24" i="67"/>
  <c r="CV25" i="67"/>
  <c r="CR29" i="67"/>
  <c r="CJ30" i="67"/>
  <c r="DE34" i="67"/>
  <c r="CQ34" i="67"/>
  <c r="DH34" i="67"/>
  <c r="DF38" i="67"/>
  <c r="DC41" i="67"/>
  <c r="CJ45" i="67"/>
  <c r="CX45" i="67"/>
  <c r="DF46" i="67"/>
  <c r="CR46" i="67"/>
  <c r="CU52" i="67"/>
  <c r="DC53" i="67"/>
  <c r="CO53" i="67"/>
  <c r="CX62" i="67"/>
  <c r="CJ62" i="67"/>
  <c r="CV64" i="67"/>
  <c r="DJ64" i="67"/>
  <c r="DI70" i="67"/>
  <c r="DE71" i="67"/>
  <c r="CQ71" i="67"/>
  <c r="DD74" i="67"/>
  <c r="CP74" i="67"/>
  <c r="CS75" i="67"/>
  <c r="DG75" i="67"/>
  <c r="DH77" i="67"/>
  <c r="CT77" i="67"/>
  <c r="CT79" i="67"/>
  <c r="DJ82" i="67"/>
  <c r="CV82" i="67"/>
  <c r="CK83" i="67"/>
  <c r="CY83" i="67"/>
  <c r="CO83" i="67"/>
  <c r="DC88" i="67"/>
  <c r="CO88" i="67"/>
  <c r="CJ90" i="67"/>
  <c r="CX90" i="67"/>
  <c r="CJ108" i="67"/>
  <c r="CX108" i="67"/>
  <c r="CK43" i="67"/>
  <c r="CY43" i="67"/>
  <c r="DJ105" i="67"/>
  <c r="CV105" i="67"/>
  <c r="CQ3" i="67"/>
  <c r="CS4" i="67"/>
  <c r="CM5" i="67"/>
  <c r="CJ10" i="67"/>
  <c r="CJ13" i="67"/>
  <c r="CS17" i="67"/>
  <c r="CV21" i="67"/>
  <c r="CN22" i="67"/>
  <c r="CJ26" i="67"/>
  <c r="DK27" i="67"/>
  <c r="CL30" i="67"/>
  <c r="DK33" i="67"/>
  <c r="DI36" i="67"/>
  <c r="CU36" i="67"/>
  <c r="CK37" i="67"/>
  <c r="DE42" i="67"/>
  <c r="CQ42" i="67"/>
  <c r="DH45" i="67"/>
  <c r="CO54" i="67"/>
  <c r="DJ59" i="67"/>
  <c r="CV59" i="67"/>
  <c r="DI68" i="67"/>
  <c r="CU68" i="67"/>
  <c r="CX69" i="67"/>
  <c r="CJ69" i="67"/>
  <c r="DJ70" i="67"/>
  <c r="DE74" i="67"/>
  <c r="CQ74" i="67"/>
  <c r="DK76" i="67"/>
  <c r="CW76" i="67"/>
  <c r="CK78" i="67"/>
  <c r="CU79" i="67"/>
  <c r="CQ83" i="67"/>
  <c r="CW93" i="67"/>
  <c r="DK93" i="67"/>
  <c r="CR99" i="67"/>
  <c r="DF99" i="67"/>
  <c r="CJ100" i="67"/>
  <c r="CK104" i="67"/>
  <c r="DG109" i="67"/>
  <c r="CS109" i="67"/>
  <c r="CT3" i="67"/>
  <c r="DC7" i="67"/>
  <c r="CM10" i="67"/>
  <c r="DC12" i="67"/>
  <c r="CJ18" i="67"/>
  <c r="DF19" i="67"/>
  <c r="DG24" i="67"/>
  <c r="CL26" i="67"/>
  <c r="DJ31" i="67"/>
  <c r="CV31" i="67"/>
  <c r="DG34" i="67"/>
  <c r="CS34" i="67"/>
  <c r="DH41" i="67"/>
  <c r="DI45" i="67"/>
  <c r="CR52" i="67"/>
  <c r="DF52" i="67"/>
  <c r="CP54" i="67"/>
  <c r="DK59" i="67"/>
  <c r="CW59" i="67"/>
  <c r="DC69" i="67"/>
  <c r="CR74" i="67"/>
  <c r="DF74" i="67"/>
  <c r="CU75" i="67"/>
  <c r="DI75" i="67"/>
  <c r="CM78" i="67"/>
  <c r="CT81" i="67"/>
  <c r="DH81" i="67"/>
  <c r="DK86" i="67"/>
  <c r="CW86" i="67"/>
  <c r="DE88" i="67"/>
  <c r="CQ88" i="67"/>
  <c r="DE102" i="67"/>
  <c r="CQ102" i="67"/>
  <c r="DD105" i="67"/>
  <c r="DC25" i="67"/>
  <c r="CJ37" i="67"/>
  <c r="CX37" i="67"/>
  <c r="CX55" i="67"/>
  <c r="CJ55" i="67"/>
  <c r="CZ69" i="67"/>
  <c r="CL69" i="67"/>
  <c r="CJ73" i="67"/>
  <c r="CX73" i="67"/>
  <c r="CS74" i="67"/>
  <c r="DG74" i="67"/>
  <c r="DK103" i="67"/>
  <c r="CW103" i="67"/>
  <c r="DI109" i="67"/>
  <c r="CU109" i="67"/>
  <c r="CR5" i="67"/>
  <c r="CJ56" i="67"/>
  <c r="CX56" i="67"/>
  <c r="DA69" i="67"/>
  <c r="CM69" i="67"/>
  <c r="DE4" i="67"/>
  <c r="DJ6" i="67"/>
  <c r="CJ32" i="67"/>
  <c r="CX32" i="67"/>
  <c r="DF37" i="67"/>
  <c r="DC40" i="67"/>
  <c r="DE41" i="67"/>
  <c r="CQ41" i="67"/>
  <c r="DK46" i="67"/>
  <c r="CW46" i="67"/>
  <c r="CK50" i="67"/>
  <c r="CY50" i="67"/>
  <c r="CO62" i="67"/>
  <c r="DC62" i="67"/>
  <c r="DB69" i="67"/>
  <c r="CN69" i="67"/>
  <c r="DH71" i="67"/>
  <c r="CQ72" i="67"/>
  <c r="DE72" i="67"/>
  <c r="DG87" i="67"/>
  <c r="DF91" i="67"/>
  <c r="CR91" i="67"/>
  <c r="DJ92" i="67"/>
  <c r="CV92" i="67"/>
  <c r="DE105" i="67"/>
  <c r="CQ105" i="67"/>
  <c r="CK6" i="67"/>
  <c r="DA9" i="67"/>
  <c r="CL11" i="67"/>
  <c r="DH20" i="67"/>
  <c r="DH28" i="67"/>
  <c r="DG38" i="67"/>
  <c r="CS38" i="67"/>
  <c r="DD40" i="67"/>
  <c r="DF41" i="67"/>
  <c r="CR41" i="67"/>
  <c r="CJ44" i="67"/>
  <c r="CX44" i="67"/>
  <c r="CK56" i="67"/>
  <c r="CL58" i="67"/>
  <c r="CP61" i="67"/>
  <c r="DD61" i="67"/>
  <c r="CU61" i="67"/>
  <c r="DI67" i="67"/>
  <c r="CU67" i="67"/>
  <c r="DC68" i="67"/>
  <c r="CN75" i="67"/>
  <c r="CS79" i="67"/>
  <c r="DG79" i="67"/>
  <c r="CX89" i="67"/>
  <c r="CJ89" i="67"/>
  <c r="DC98" i="67"/>
  <c r="CO98" i="67"/>
  <c r="CM113" i="67"/>
  <c r="DA113" i="67"/>
  <c r="DG2" i="67"/>
  <c r="CY10" i="67"/>
  <c r="DJ15" i="67"/>
  <c r="DK21" i="67"/>
  <c r="CZ22" i="67"/>
  <c r="CL24" i="67"/>
  <c r="CJ35" i="67"/>
  <c r="CK36" i="67"/>
  <c r="CY36" i="67"/>
  <c r="DH38" i="67"/>
  <c r="CT38" i="67"/>
  <c r="CZ40" i="67"/>
  <c r="CL40" i="67"/>
  <c r="CQ45" i="67"/>
  <c r="DE45" i="67"/>
  <c r="CS46" i="67"/>
  <c r="CW48" i="67"/>
  <c r="DK48" i="67"/>
  <c r="CN50" i="67"/>
  <c r="CM56" i="67"/>
  <c r="DA56" i="67"/>
  <c r="CL56" i="67"/>
  <c r="CJ59" i="67"/>
  <c r="CQ61" i="67"/>
  <c r="DE61" i="67"/>
  <c r="DJ67" i="67"/>
  <c r="CV67" i="67"/>
  <c r="DA76" i="67"/>
  <c r="CM76" i="67"/>
  <c r="CP82" i="67"/>
  <c r="CK89" i="67"/>
  <c r="CY89" i="67"/>
  <c r="CX72" i="67"/>
  <c r="CZ102" i="67"/>
  <c r="CU53" i="67"/>
  <c r="DJ79" i="67"/>
  <c r="DG91" i="67"/>
  <c r="CJ94" i="67"/>
  <c r="CM97" i="67"/>
  <c r="CP104" i="67"/>
  <c r="DA112" i="67"/>
  <c r="DF49" i="67"/>
  <c r="CP57" i="67"/>
  <c r="CM60" i="67"/>
  <c r="DA72" i="67"/>
  <c r="CZ80" i="67"/>
  <c r="CP81" i="67"/>
  <c r="DG82" i="67"/>
  <c r="CX86" i="67"/>
  <c r="DH91" i="67"/>
  <c r="DK95" i="67"/>
  <c r="DA96" i="67"/>
  <c r="CZ104" i="67"/>
  <c r="CK109" i="67"/>
  <c r="CZ111" i="67"/>
  <c r="CX113" i="67"/>
  <c r="DB73" i="67"/>
  <c r="DB80" i="67"/>
  <c r="CZ86" i="67"/>
  <c r="CQ106" i="67"/>
  <c r="CY113" i="67"/>
  <c r="CR114" i="67"/>
  <c r="CP115" i="67"/>
  <c r="DI49" i="67"/>
  <c r="CV66" i="67"/>
  <c r="DC70" i="67"/>
  <c r="DD73" i="67"/>
  <c r="CU76" i="67"/>
  <c r="DF77" i="67"/>
  <c r="DF80" i="67"/>
  <c r="DB84" i="67"/>
  <c r="CV87" i="67"/>
  <c r="DK102" i="67"/>
  <c r="CR106" i="67"/>
  <c r="CR109" i="67"/>
  <c r="DH111" i="67"/>
  <c r="CU114" i="67"/>
  <c r="CQ115" i="67"/>
  <c r="DE36" i="67"/>
  <c r="CZ37" i="67"/>
  <c r="CZ38" i="67"/>
  <c r="DF43" i="67"/>
  <c r="CZ44" i="67"/>
  <c r="CY45" i="67"/>
  <c r="DH62" i="67"/>
  <c r="CW66" i="67"/>
  <c r="CQ79" i="67"/>
  <c r="CW81" i="67"/>
  <c r="CK82" i="67"/>
  <c r="CW87" i="67"/>
  <c r="DB92" i="67"/>
  <c r="CS93" i="67"/>
  <c r="CO95" i="67"/>
  <c r="CV97" i="67"/>
  <c r="DI103" i="67"/>
  <c r="CL108" i="67"/>
  <c r="DE110" i="67"/>
  <c r="DI111" i="67"/>
  <c r="CY114" i="67"/>
  <c r="CS115" i="67"/>
  <c r="DF33" i="67"/>
  <c r="DF36" i="67"/>
  <c r="DA38" i="67"/>
  <c r="CY39" i="67"/>
  <c r="CL61" i="67"/>
  <c r="DI62" i="67"/>
  <c r="DE70" i="67"/>
  <c r="DJ73" i="67"/>
  <c r="CL75" i="67"/>
  <c r="DK77" i="67"/>
  <c r="CR79" i="67"/>
  <c r="CL82" i="67"/>
  <c r="DF83" i="67"/>
  <c r="DD86" i="67"/>
  <c r="CZ87" i="67"/>
  <c r="CT93" i="67"/>
  <c r="CP95" i="67"/>
  <c r="DG96" i="67"/>
  <c r="CW97" i="67"/>
  <c r="CR98" i="67"/>
  <c r="DJ104" i="67"/>
  <c r="CT106" i="67"/>
  <c r="CJ107" i="67"/>
  <c r="CO108" i="67"/>
  <c r="DF110" i="67"/>
  <c r="DK112" i="67"/>
  <c r="DC113" i="67"/>
  <c r="DC109" i="67"/>
  <c r="DK113" i="67"/>
  <c r="CM83" i="67"/>
  <c r="CK86" i="67"/>
  <c r="DG94" i="67"/>
  <c r="DE98" i="67"/>
  <c r="CJ78" i="67"/>
  <c r="CN83" i="67"/>
  <c r="DG114" i="67"/>
  <c r="CN44" i="67"/>
  <c r="DB52" i="67"/>
  <c r="DC55" i="67"/>
  <c r="CX61" i="67"/>
  <c r="DA64" i="67"/>
  <c r="DI65" i="67"/>
  <c r="CP67" i="67"/>
  <c r="CK68" i="67"/>
  <c r="CM71" i="67"/>
  <c r="CL78" i="67"/>
  <c r="CO92" i="67"/>
  <c r="DK94" i="67"/>
  <c r="CJ97" i="67"/>
  <c r="DH98" i="67"/>
  <c r="DA99" i="67"/>
  <c r="CY101" i="67"/>
  <c r="CT103" i="67"/>
  <c r="CO111" i="67"/>
  <c r="DI115" i="67"/>
  <c r="CW8" i="67"/>
  <c r="DK8" i="67"/>
  <c r="DB10" i="67"/>
  <c r="CN10" i="67"/>
  <c r="CV10" i="67"/>
  <c r="CW11" i="67"/>
  <c r="CK20" i="67"/>
  <c r="CY20" i="67"/>
  <c r="CN37" i="67"/>
  <c r="DB37" i="67"/>
  <c r="CJ5" i="67"/>
  <c r="CX5" i="67"/>
  <c r="CW10" i="67"/>
  <c r="CS12" i="67"/>
  <c r="DG12" i="67"/>
  <c r="DJ40" i="67"/>
  <c r="CV40" i="67"/>
  <c r="CS15" i="67"/>
  <c r="CQ2" i="67"/>
  <c r="DF6" i="67"/>
  <c r="CR6" i="67"/>
  <c r="DJ13" i="67"/>
  <c r="CX14" i="67"/>
  <c r="CJ14" i="67"/>
  <c r="CT15" i="67"/>
  <c r="CN20" i="67"/>
  <c r="DB20" i="67"/>
  <c r="DB46" i="67"/>
  <c r="CN46" i="67"/>
  <c r="CM2" i="67"/>
  <c r="DA2" i="67"/>
  <c r="CM4" i="67"/>
  <c r="DC9" i="67"/>
  <c r="CO9" i="67"/>
  <c r="CW9" i="67"/>
  <c r="CV33" i="67"/>
  <c r="DJ33" i="67"/>
  <c r="DI3" i="67"/>
  <c r="CU3" i="67"/>
  <c r="CN4" i="67"/>
  <c r="CT11" i="67"/>
  <c r="DH11" i="67"/>
  <c r="DK12" i="67"/>
  <c r="CR14" i="67"/>
  <c r="CP15" i="67"/>
  <c r="DD15" i="67"/>
  <c r="DF16" i="67"/>
  <c r="CV19" i="67"/>
  <c r="DJ19" i="67"/>
  <c r="CU24" i="67"/>
  <c r="DI24" i="67"/>
  <c r="CL25" i="67"/>
  <c r="CZ25" i="67"/>
  <c r="CR78" i="67"/>
  <c r="DF78" i="67"/>
  <c r="DG3" i="67"/>
  <c r="CK4" i="67"/>
  <c r="CY4" i="67"/>
  <c r="CO4" i="67"/>
  <c r="DD6" i="67"/>
  <c r="CJ7" i="67"/>
  <c r="CS14" i="67"/>
  <c r="DG16" i="67"/>
  <c r="CV24" i="67"/>
  <c r="DJ24" i="67"/>
  <c r="CM25" i="67"/>
  <c r="DA25" i="67"/>
  <c r="CV26" i="67"/>
  <c r="DJ26" i="67"/>
  <c r="CL28" i="67"/>
  <c r="CZ28" i="67"/>
  <c r="DK29" i="67"/>
  <c r="CW29" i="67"/>
  <c r="CK40" i="67"/>
  <c r="CY40" i="67"/>
  <c r="CK7" i="67"/>
  <c r="CU10" i="67"/>
  <c r="DI10" i="67"/>
  <c r="CY13" i="67"/>
  <c r="CK13" i="67"/>
  <c r="CQ18" i="67"/>
  <c r="DE18" i="67"/>
  <c r="DD8" i="67"/>
  <c r="CP8" i="67"/>
  <c r="CW22" i="67"/>
  <c r="DK22" i="67"/>
  <c r="CN23" i="67"/>
  <c r="DB23" i="67"/>
  <c r="DG5" i="67"/>
  <c r="CS5" i="67"/>
  <c r="CZ12" i="67"/>
  <c r="CL12" i="67"/>
  <c r="CT12" i="67"/>
  <c r="CQ14" i="67"/>
  <c r="DE14" i="67"/>
  <c r="CT18" i="67"/>
  <c r="DH18" i="67"/>
  <c r="CO23" i="67"/>
  <c r="DC23" i="67"/>
  <c r="DI27" i="67"/>
  <c r="CU27" i="67"/>
  <c r="CW38" i="67"/>
  <c r="DK38" i="67"/>
  <c r="DH39" i="67"/>
  <c r="CT39" i="67"/>
  <c r="DE5" i="67"/>
  <c r="CV9" i="67"/>
  <c r="DJ9" i="67"/>
  <c r="CL19" i="67"/>
  <c r="CZ19" i="67"/>
  <c r="CP21" i="67"/>
  <c r="DD21" i="67"/>
  <c r="DF25" i="67"/>
  <c r="CR25" i="67"/>
  <c r="CY26" i="67"/>
  <c r="CK26" i="67"/>
  <c r="CL3" i="67"/>
  <c r="CZ3" i="67"/>
  <c r="CQ17" i="67"/>
  <c r="DE17" i="67"/>
  <c r="DH31" i="67"/>
  <c r="DJ2" i="67"/>
  <c r="CV2" i="67"/>
  <c r="DH2" i="67"/>
  <c r="DB8" i="67"/>
  <c r="CR45" i="67"/>
  <c r="DF45" i="67"/>
  <c r="DE7" i="67"/>
  <c r="CQ7" i="67"/>
  <c r="DA11" i="67"/>
  <c r="CM11" i="67"/>
  <c r="CU11" i="67"/>
  <c r="CX12" i="67"/>
  <c r="CR13" i="67"/>
  <c r="DF13" i="67"/>
  <c r="DK15" i="67"/>
  <c r="CS21" i="67"/>
  <c r="DG21" i="67"/>
  <c r="DH4" i="67"/>
  <c r="CT4" i="67"/>
  <c r="DF4" i="67"/>
  <c r="CK5" i="67"/>
  <c r="CV11" i="67"/>
  <c r="CO16" i="67"/>
  <c r="DC16" i="67"/>
  <c r="CT23" i="67"/>
  <c r="DH23" i="67"/>
  <c r="CY30" i="67"/>
  <c r="CK30" i="67"/>
  <c r="DC49" i="67"/>
  <c r="CO49" i="67"/>
  <c r="DD45" i="67"/>
  <c r="CP45" i="67"/>
  <c r="DG48" i="67"/>
  <c r="CM54" i="67"/>
  <c r="DA54" i="67"/>
  <c r="DG22" i="67"/>
  <c r="CS23" i="67"/>
  <c r="DG23" i="67"/>
  <c r="CQ25" i="67"/>
  <c r="DE25" i="67"/>
  <c r="DH26" i="67"/>
  <c r="CY27" i="67"/>
  <c r="DG31" i="67"/>
  <c r="CV36" i="67"/>
  <c r="DA46" i="67"/>
  <c r="CM46" i="67"/>
  <c r="CT89" i="67"/>
  <c r="DH89" i="67"/>
  <c r="DI19" i="67"/>
  <c r="DB21" i="67"/>
  <c r="CY23" i="67"/>
  <c r="DB27" i="67"/>
  <c r="CW28" i="67"/>
  <c r="CJ31" i="67"/>
  <c r="CX31" i="67"/>
  <c r="CM31" i="67"/>
  <c r="CT35" i="67"/>
  <c r="DA37" i="67"/>
  <c r="CU40" i="67"/>
  <c r="DC46" i="67"/>
  <c r="CQ53" i="67"/>
  <c r="DE53" i="67"/>
  <c r="CT55" i="67"/>
  <c r="DC65" i="67"/>
  <c r="CO65" i="67"/>
  <c r="DF66" i="67"/>
  <c r="CR66" i="67"/>
  <c r="DG73" i="67"/>
  <c r="CS73" i="67"/>
  <c r="DG100" i="67"/>
  <c r="CS100" i="67"/>
  <c r="DB17" i="67"/>
  <c r="DD18" i="67"/>
  <c r="CX20" i="67"/>
  <c r="CZ23" i="67"/>
  <c r="CX25" i="67"/>
  <c r="CQ29" i="67"/>
  <c r="CO32" i="67"/>
  <c r="CP34" i="67"/>
  <c r="DD34" i="67"/>
  <c r="CU35" i="67"/>
  <c r="CU37" i="67"/>
  <c r="DI37" i="67"/>
  <c r="CJ38" i="67"/>
  <c r="CO39" i="67"/>
  <c r="CP46" i="67"/>
  <c r="DD46" i="67"/>
  <c r="CQ47" i="67"/>
  <c r="CQ49" i="67"/>
  <c r="DE49" i="67"/>
  <c r="CR53" i="67"/>
  <c r="DF53" i="67"/>
  <c r="CU55" i="67"/>
  <c r="CY57" i="67"/>
  <c r="CK57" i="67"/>
  <c r="CY61" i="67"/>
  <c r="CK61" i="67"/>
  <c r="CT73" i="67"/>
  <c r="DH73" i="67"/>
  <c r="DA85" i="67"/>
  <c r="CM85" i="67"/>
  <c r="CZ2" i="67"/>
  <c r="CY3" i="67"/>
  <c r="CX4" i="67"/>
  <c r="DK7" i="67"/>
  <c r="DJ8" i="67"/>
  <c r="DI9" i="67"/>
  <c r="DH10" i="67"/>
  <c r="DG11" i="67"/>
  <c r="DF12" i="67"/>
  <c r="DE13" i="67"/>
  <c r="DD14" i="67"/>
  <c r="DC15" i="67"/>
  <c r="DB16" i="67"/>
  <c r="DC17" i="67"/>
  <c r="DE21" i="67"/>
  <c r="CQ26" i="67"/>
  <c r="CL32" i="67"/>
  <c r="CZ32" i="67"/>
  <c r="CN33" i="67"/>
  <c r="DB33" i="67"/>
  <c r="CS33" i="67"/>
  <c r="CV35" i="67"/>
  <c r="CV37" i="67"/>
  <c r="DJ37" i="67"/>
  <c r="CL39" i="67"/>
  <c r="CZ39" i="67"/>
  <c r="CK51" i="67"/>
  <c r="CY51" i="67"/>
  <c r="DD63" i="67"/>
  <c r="CP63" i="67"/>
  <c r="DE65" i="67"/>
  <c r="CQ65" i="67"/>
  <c r="DJ68" i="67"/>
  <c r="CU72" i="67"/>
  <c r="DI72" i="67"/>
  <c r="CR26" i="67"/>
  <c r="CP31" i="67"/>
  <c r="DE35" i="67"/>
  <c r="CQ35" i="67"/>
  <c r="CS36" i="67"/>
  <c r="DG36" i="67"/>
  <c r="CS39" i="67"/>
  <c r="CX40" i="67"/>
  <c r="CO42" i="67"/>
  <c r="DC42" i="67"/>
  <c r="DH43" i="67"/>
  <c r="CT43" i="67"/>
  <c r="CL51" i="67"/>
  <c r="CZ51" i="67"/>
  <c r="CW55" i="67"/>
  <c r="DK55" i="67"/>
  <c r="CM57" i="67"/>
  <c r="DA57" i="67"/>
  <c r="CJ57" i="67"/>
  <c r="CX60" i="67"/>
  <c r="CO21" i="67"/>
  <c r="CV22" i="67"/>
  <c r="CT24" i="67"/>
  <c r="CS26" i="67"/>
  <c r="CV28" i="67"/>
  <c r="DJ28" i="67"/>
  <c r="CR35" i="67"/>
  <c r="DF35" i="67"/>
  <c r="CT36" i="67"/>
  <c r="DH36" i="67"/>
  <c r="CJ41" i="67"/>
  <c r="DI43" i="67"/>
  <c r="CU43" i="67"/>
  <c r="DG43" i="67"/>
  <c r="CZ47" i="67"/>
  <c r="CL47" i="67"/>
  <c r="DH64" i="67"/>
  <c r="CT64" i="67"/>
  <c r="CW19" i="67"/>
  <c r="CM27" i="67"/>
  <c r="CQ33" i="67"/>
  <c r="DE33" i="67"/>
  <c r="CQ40" i="67"/>
  <c r="DE40" i="67"/>
  <c r="DA47" i="67"/>
  <c r="CM47" i="67"/>
  <c r="DD88" i="67"/>
  <c r="CP88" i="67"/>
  <c r="CR18" i="67"/>
  <c r="CT22" i="67"/>
  <c r="DH22" i="67"/>
  <c r="CM23" i="67"/>
  <c r="CR24" i="67"/>
  <c r="DF24" i="67"/>
  <c r="CK25" i="67"/>
  <c r="CY29" i="67"/>
  <c r="DF40" i="67"/>
  <c r="CR40" i="67"/>
  <c r="CM41" i="67"/>
  <c r="CW43" i="67"/>
  <c r="DK43" i="67"/>
  <c r="DB47" i="67"/>
  <c r="CN47" i="67"/>
  <c r="DG40" i="67"/>
  <c r="CS40" i="67"/>
  <c r="DC47" i="67"/>
  <c r="CO47" i="67"/>
  <c r="DJ58" i="67"/>
  <c r="CV58" i="67"/>
  <c r="CZ59" i="67"/>
  <c r="CL59" i="67"/>
  <c r="DK74" i="67"/>
  <c r="CW74" i="67"/>
  <c r="CV29" i="67"/>
  <c r="DJ29" i="67"/>
  <c r="DH40" i="67"/>
  <c r="CL41" i="67"/>
  <c r="CZ41" i="67"/>
  <c r="CP50" i="67"/>
  <c r="DD50" i="67"/>
  <c r="DK65" i="67"/>
  <c r="CW65" i="67"/>
  <c r="DF44" i="67"/>
  <c r="CR44" i="67"/>
  <c r="DC48" i="67"/>
  <c r="CO48" i="67"/>
  <c r="CQ50" i="67"/>
  <c r="DE50" i="67"/>
  <c r="CV52" i="67"/>
  <c r="DJ52" i="67"/>
  <c r="CO56" i="67"/>
  <c r="CY62" i="67"/>
  <c r="CK62" i="67"/>
  <c r="DJ42" i="67"/>
  <c r="CV42" i="67"/>
  <c r="DG44" i="67"/>
  <c r="CS44" i="67"/>
  <c r="DD48" i="67"/>
  <c r="CP48" i="67"/>
  <c r="CW52" i="67"/>
  <c r="DK52" i="67"/>
  <c r="CX54" i="67"/>
  <c r="CJ54" i="67"/>
  <c r="CP56" i="67"/>
  <c r="CL66" i="67"/>
  <c r="CZ66" i="67"/>
  <c r="DD80" i="67"/>
  <c r="CP80" i="67"/>
  <c r="DC19" i="67"/>
  <c r="CO28" i="67"/>
  <c r="DF32" i="67"/>
  <c r="DK34" i="67"/>
  <c r="CK35" i="67"/>
  <c r="DI39" i="67"/>
  <c r="DI42" i="67"/>
  <c r="CY79" i="67"/>
  <c r="CK79" i="67"/>
  <c r="CU23" i="67"/>
  <c r="CS25" i="67"/>
  <c r="DE30" i="67"/>
  <c r="CW37" i="67"/>
  <c r="DC38" i="67"/>
  <c r="CP41" i="67"/>
  <c r="DD41" i="67"/>
  <c r="DJ44" i="67"/>
  <c r="DC45" i="67"/>
  <c r="CO45" i="67"/>
  <c r="CU46" i="67"/>
  <c r="CR48" i="67"/>
  <c r="DF48" i="67"/>
  <c r="CR56" i="67"/>
  <c r="DF56" i="67"/>
  <c r="CR90" i="67"/>
  <c r="DF90" i="67"/>
  <c r="DB72" i="67"/>
  <c r="CN72" i="67"/>
  <c r="CO72" i="67"/>
  <c r="DC72" i="67"/>
  <c r="DI87" i="67"/>
  <c r="CU87" i="67"/>
  <c r="CK98" i="67"/>
  <c r="CY98" i="67"/>
  <c r="DA33" i="67"/>
  <c r="DB34" i="67"/>
  <c r="DD35" i="67"/>
  <c r="CN40" i="67"/>
  <c r="CN43" i="67"/>
  <c r="DB43" i="67"/>
  <c r="CN45" i="67"/>
  <c r="CL46" i="67"/>
  <c r="CJ48" i="67"/>
  <c r="CX48" i="67"/>
  <c r="DG55" i="67"/>
  <c r="CP58" i="67"/>
  <c r="DD72" i="67"/>
  <c r="CP72" i="67"/>
  <c r="CX77" i="67"/>
  <c r="CJ77" i="67"/>
  <c r="CM44" i="67"/>
  <c r="DA44" i="67"/>
  <c r="CO52" i="67"/>
  <c r="DB56" i="67"/>
  <c r="CJ68" i="67"/>
  <c r="CX68" i="67"/>
  <c r="CY77" i="67"/>
  <c r="CK77" i="67"/>
  <c r="CL45" i="67"/>
  <c r="CZ45" i="67"/>
  <c r="DH46" i="67"/>
  <c r="CN49" i="67"/>
  <c r="CJ53" i="67"/>
  <c r="CV54" i="67"/>
  <c r="DE59" i="67"/>
  <c r="CQ59" i="67"/>
  <c r="CN59" i="67"/>
  <c r="CN63" i="67"/>
  <c r="DF64" i="67"/>
  <c r="DF72" i="67"/>
  <c r="CR72" i="67"/>
  <c r="CR75" i="67"/>
  <c r="DF75" i="67"/>
  <c r="CO78" i="67"/>
  <c r="DC78" i="67"/>
  <c r="CV107" i="67"/>
  <c r="DJ107" i="67"/>
  <c r="CK46" i="67"/>
  <c r="CY46" i="67"/>
  <c r="CJ50" i="67"/>
  <c r="CW54" i="67"/>
  <c r="CO63" i="67"/>
  <c r="DG64" i="67"/>
  <c r="CQ66" i="67"/>
  <c r="DI69" i="67"/>
  <c r="CK71" i="67"/>
  <c r="DE73" i="67"/>
  <c r="CQ73" i="67"/>
  <c r="CV83" i="67"/>
  <c r="DJ83" i="67"/>
  <c r="CK47" i="67"/>
  <c r="CY47" i="67"/>
  <c r="CS59" i="67"/>
  <c r="DG59" i="67"/>
  <c r="CR73" i="67"/>
  <c r="DF73" i="67"/>
  <c r="DC76" i="67"/>
  <c r="CU78" i="67"/>
  <c r="CZ85" i="67"/>
  <c r="CL85" i="67"/>
  <c r="CQ89" i="67"/>
  <c r="DE89" i="67"/>
  <c r="DC90" i="67"/>
  <c r="CV62" i="67"/>
  <c r="DJ62" i="67"/>
  <c r="CK63" i="67"/>
  <c r="CY63" i="67"/>
  <c r="CW64" i="67"/>
  <c r="DK64" i="67"/>
  <c r="DA66" i="67"/>
  <c r="CM66" i="67"/>
  <c r="CS56" i="67"/>
  <c r="DG56" i="67"/>
  <c r="CL63" i="67"/>
  <c r="CZ63" i="67"/>
  <c r="CS65" i="67"/>
  <c r="DG65" i="67"/>
  <c r="DB66" i="67"/>
  <c r="CN66" i="67"/>
  <c r="DI82" i="67"/>
  <c r="CU82" i="67"/>
  <c r="CU84" i="67"/>
  <c r="DI84" i="67"/>
  <c r="CP96" i="67"/>
  <c r="DD96" i="67"/>
  <c r="DC100" i="67"/>
  <c r="CO100" i="67"/>
  <c r="CM63" i="67"/>
  <c r="DA63" i="67"/>
  <c r="CO66" i="67"/>
  <c r="DC66" i="67"/>
  <c r="CL71" i="67"/>
  <c r="CZ71" i="67"/>
  <c r="CX93" i="67"/>
  <c r="CJ93" i="67"/>
  <c r="CP42" i="67"/>
  <c r="DK51" i="67"/>
  <c r="CK67" i="67"/>
  <c r="CY67" i="67"/>
  <c r="DH68" i="67"/>
  <c r="CT68" i="67"/>
  <c r="CU74" i="67"/>
  <c r="DI74" i="67"/>
  <c r="CZ74" i="67"/>
  <c r="CW82" i="67"/>
  <c r="DK82" i="67"/>
  <c r="DH30" i="67"/>
  <c r="DB36" i="67"/>
  <c r="DH70" i="67"/>
  <c r="CT70" i="67"/>
  <c r="CO81" i="67"/>
  <c r="DC60" i="67"/>
  <c r="CS76" i="67"/>
  <c r="DG76" i="67"/>
  <c r="DC77" i="67"/>
  <c r="CX87" i="67"/>
  <c r="CJ87" i="67"/>
  <c r="DB57" i="67"/>
  <c r="DH59" i="67"/>
  <c r="CN65" i="67"/>
  <c r="CJ75" i="67"/>
  <c r="CX75" i="67"/>
  <c r="CT76" i="67"/>
  <c r="DH76" i="67"/>
  <c r="CU81" i="67"/>
  <c r="DI81" i="67"/>
  <c r="DF88" i="67"/>
  <c r="CR88" i="67"/>
  <c r="DD94" i="67"/>
  <c r="CP94" i="67"/>
  <c r="CU100" i="67"/>
  <c r="DI100" i="67"/>
  <c r="CP102" i="67"/>
  <c r="DD102" i="67"/>
  <c r="DK49" i="67"/>
  <c r="DF50" i="67"/>
  <c r="DA51" i="67"/>
  <c r="DG53" i="67"/>
  <c r="DB54" i="67"/>
  <c r="DH56" i="67"/>
  <c r="DC57" i="67"/>
  <c r="CX58" i="67"/>
  <c r="DI59" i="67"/>
  <c r="CO61" i="67"/>
  <c r="CY75" i="67"/>
  <c r="DB78" i="67"/>
  <c r="DJ81" i="67"/>
  <c r="CV81" i="67"/>
  <c r="DG105" i="67"/>
  <c r="CS105" i="67"/>
  <c r="CX47" i="67"/>
  <c r="DG50" i="67"/>
  <c r="DB51" i="67"/>
  <c r="CP60" i="67"/>
  <c r="CJ63" i="67"/>
  <c r="DF71" i="67"/>
  <c r="CL83" i="67"/>
  <c r="CZ83" i="67"/>
  <c r="CL84" i="67"/>
  <c r="DG85" i="67"/>
  <c r="CS85" i="67"/>
  <c r="DC110" i="67"/>
  <c r="CO110" i="67"/>
  <c r="CQ60" i="67"/>
  <c r="DG71" i="67"/>
  <c r="CM75" i="67"/>
  <c r="DA75" i="67"/>
  <c r="CX80" i="67"/>
  <c r="CU88" i="67"/>
  <c r="DI88" i="67"/>
  <c r="CU105" i="67"/>
  <c r="DI105" i="67"/>
  <c r="CO73" i="67"/>
  <c r="DC73" i="67"/>
  <c r="CN74" i="67"/>
  <c r="DE78" i="67"/>
  <c r="CV80" i="67"/>
  <c r="DJ80" i="67"/>
  <c r="CU101" i="67"/>
  <c r="DI101" i="67"/>
  <c r="DI66" i="67"/>
  <c r="CL72" i="67"/>
  <c r="CZ72" i="67"/>
  <c r="CZ79" i="67"/>
  <c r="DK80" i="67"/>
  <c r="CW80" i="67"/>
  <c r="DB89" i="67"/>
  <c r="CN89" i="67"/>
  <c r="CW101" i="67"/>
  <c r="DK101" i="67"/>
  <c r="CM108" i="67"/>
  <c r="DA108" i="67"/>
  <c r="DC89" i="67"/>
  <c r="CO89" i="67"/>
  <c r="DD89" i="67"/>
  <c r="CP89" i="67"/>
  <c r="DD107" i="67"/>
  <c r="CP107" i="67"/>
  <c r="CP108" i="67"/>
  <c r="DD108" i="67"/>
  <c r="DG107" i="67"/>
  <c r="CK69" i="67"/>
  <c r="CY69" i="67"/>
  <c r="CJ70" i="67"/>
  <c r="CX70" i="67"/>
  <c r="CU71" i="67"/>
  <c r="CK73" i="67"/>
  <c r="CQ76" i="67"/>
  <c r="DE76" i="67"/>
  <c r="CX83" i="67"/>
  <c r="CN85" i="67"/>
  <c r="DB85" i="67"/>
  <c r="CK91" i="67"/>
  <c r="CY91" i="67"/>
  <c r="CY93" i="67"/>
  <c r="CK93" i="67"/>
  <c r="CQ94" i="67"/>
  <c r="DE94" i="67"/>
  <c r="CW99" i="67"/>
  <c r="DK99" i="67"/>
  <c r="CM101" i="67"/>
  <c r="CK115" i="67"/>
  <c r="CY115" i="67"/>
  <c r="CV71" i="67"/>
  <c r="CL73" i="67"/>
  <c r="CW84" i="67"/>
  <c r="DK84" i="67"/>
  <c r="CV89" i="67"/>
  <c r="DJ89" i="67"/>
  <c r="CZ91" i="67"/>
  <c r="CL91" i="67"/>
  <c r="CZ93" i="67"/>
  <c r="CL93" i="67"/>
  <c r="CK103" i="67"/>
  <c r="CY103" i="67"/>
  <c r="CQ86" i="67"/>
  <c r="DE86" i="67"/>
  <c r="CM87" i="67"/>
  <c r="DA87" i="67"/>
  <c r="DA91" i="67"/>
  <c r="CM91" i="67"/>
  <c r="DA93" i="67"/>
  <c r="CM93" i="67"/>
  <c r="CX111" i="67"/>
  <c r="CJ111" i="67"/>
  <c r="CS83" i="67"/>
  <c r="DG83" i="67"/>
  <c r="DF86" i="67"/>
  <c r="CR86" i="67"/>
  <c r="CL90" i="67"/>
  <c r="CZ90" i="67"/>
  <c r="CK92" i="67"/>
  <c r="CY92" i="67"/>
  <c r="CJ95" i="67"/>
  <c r="CX95" i="67"/>
  <c r="DI113" i="67"/>
  <c r="CU113" i="67"/>
  <c r="CT83" i="67"/>
  <c r="DH83" i="67"/>
  <c r="CO87" i="67"/>
  <c r="DC87" i="67"/>
  <c r="DA90" i="67"/>
  <c r="CM90" i="67"/>
  <c r="DI94" i="67"/>
  <c r="CU94" i="67"/>
  <c r="CM100" i="67"/>
  <c r="DA100" i="67"/>
  <c r="CJ71" i="67"/>
  <c r="DB81" i="67"/>
  <c r="CT82" i="67"/>
  <c r="DH82" i="67"/>
  <c r="CK84" i="67"/>
  <c r="CY84" i="67"/>
  <c r="CT86" i="67"/>
  <c r="DH86" i="67"/>
  <c r="CK87" i="67"/>
  <c r="DB90" i="67"/>
  <c r="CN90" i="67"/>
  <c r="DF94" i="67"/>
  <c r="CZ95" i="67"/>
  <c r="CL95" i="67"/>
  <c r="DD98" i="67"/>
  <c r="CO103" i="67"/>
  <c r="DC103" i="67"/>
  <c r="CW79" i="67"/>
  <c r="DK79" i="67"/>
  <c r="DC80" i="67"/>
  <c r="CK85" i="67"/>
  <c r="CY85" i="67"/>
  <c r="CS86" i="67"/>
  <c r="CP90" i="67"/>
  <c r="DD90" i="67"/>
  <c r="CQ80" i="67"/>
  <c r="CR89" i="67"/>
  <c r="DF89" i="67"/>
  <c r="DI92" i="67"/>
  <c r="CU92" i="67"/>
  <c r="DK96" i="67"/>
  <c r="CW96" i="67"/>
  <c r="CM74" i="67"/>
  <c r="CT88" i="67"/>
  <c r="DH88" i="67"/>
  <c r="DB98" i="67"/>
  <c r="CN98" i="67"/>
  <c r="CM98" i="67"/>
  <c r="CX99" i="67"/>
  <c r="CT104" i="67"/>
  <c r="DJ109" i="67"/>
  <c r="CV109" i="67"/>
  <c r="DJ96" i="67"/>
  <c r="DI104" i="67"/>
  <c r="CU104" i="67"/>
  <c r="CL115" i="67"/>
  <c r="CZ115" i="67"/>
  <c r="DF93" i="67"/>
  <c r="CP111" i="67"/>
  <c r="DD111" i="67"/>
  <c r="CT84" i="67"/>
  <c r="DE97" i="67"/>
  <c r="DG99" i="67"/>
  <c r="CY100" i="67"/>
  <c r="DA102" i="67"/>
  <c r="CN88" i="67"/>
  <c r="DB88" i="67"/>
  <c r="DI90" i="67"/>
  <c r="DJ99" i="67"/>
  <c r="CZ100" i="67"/>
  <c r="CN107" i="67"/>
  <c r="DB107" i="67"/>
  <c r="DH99" i="67"/>
  <c r="CT99" i="67"/>
  <c r="CL101" i="67"/>
  <c r="CJ103" i="67"/>
  <c r="CX103" i="67"/>
  <c r="DK104" i="67"/>
  <c r="CO106" i="67"/>
  <c r="DC106" i="67"/>
  <c r="DC107" i="67"/>
  <c r="CO107" i="67"/>
  <c r="DH112" i="67"/>
  <c r="CT112" i="67"/>
  <c r="DB113" i="67"/>
  <c r="CN113" i="67"/>
  <c r="CM89" i="67"/>
  <c r="DA89" i="67"/>
  <c r="CX98" i="67"/>
  <c r="CN100" i="67"/>
  <c r="DB100" i="67"/>
  <c r="CT101" i="67"/>
  <c r="DH101" i="67"/>
  <c r="DF84" i="67"/>
  <c r="CV91" i="67"/>
  <c r="DA95" i="67"/>
  <c r="CL98" i="67"/>
  <c r="DI102" i="67"/>
  <c r="CU102" i="67"/>
  <c r="CS104" i="67"/>
  <c r="CT105" i="67"/>
  <c r="CW106" i="67"/>
  <c r="DK106" i="67"/>
  <c r="DK107" i="67"/>
  <c r="CW107" i="67"/>
  <c r="DA109" i="67"/>
  <c r="CM109" i="67"/>
  <c r="CZ112" i="67"/>
  <c r="CL112" i="67"/>
  <c r="DD114" i="67"/>
  <c r="CP114" i="67"/>
  <c r="CN108" i="67"/>
  <c r="CQ111" i="67"/>
  <c r="CR111" i="67"/>
  <c r="CV113" i="67"/>
  <c r="CP110" i="67"/>
  <c r="CS111" i="67"/>
  <c r="CV114" i="67"/>
  <c r="DJ114" i="67"/>
  <c r="CX92" i="67"/>
  <c r="CQ108" i="67"/>
  <c r="CN109" i="67"/>
  <c r="CW114" i="67"/>
  <c r="CV101" i="67"/>
  <c r="DB104" i="67"/>
  <c r="DA105" i="67"/>
  <c r="CP106" i="67"/>
  <c r="DK108" i="67"/>
  <c r="CW108" i="67"/>
  <c r="CP103" i="67"/>
  <c r="CR112" i="67"/>
  <c r="DF112" i="67"/>
  <c r="CR105" i="67"/>
  <c r="DI108" i="67"/>
  <c r="CL109" i="67"/>
  <c r="CZ109" i="67"/>
  <c r="CN110" i="67"/>
  <c r="DB110" i="67"/>
  <c r="CT113" i="67"/>
  <c r="DH113" i="67"/>
  <c r="DF115" i="67"/>
  <c r="CR115" i="67"/>
  <c r="DA106" i="67"/>
  <c r="CZ107" i="67"/>
  <c r="CY108" i="67"/>
  <c r="CX109" i="67"/>
  <c r="CZ110" i="67"/>
  <c r="DB111" i="67"/>
  <c r="DD112" i="67"/>
  <c r="DH114" i="67"/>
  <c r="DJ115" i="67"/>
  <c r="J108" i="156" l="1"/>
  <c r="I108" i="155"/>
  <c r="J108" i="76"/>
  <c r="I108" i="36"/>
  <c r="P108" i="36" s="1"/>
  <c r="I108" i="32"/>
  <c r="P108" i="32" s="1"/>
  <c r="P129" i="65"/>
  <c r="H127" i="155"/>
  <c r="N127" i="155" s="1"/>
  <c r="G127" i="152"/>
  <c r="P90" i="36"/>
  <c r="I138" i="36"/>
  <c r="P138" i="36" s="1"/>
  <c r="L9" i="74"/>
  <c r="AJ14" i="57"/>
  <c r="P85" i="36"/>
  <c r="I133" i="36"/>
  <c r="P133" i="36" s="1"/>
  <c r="I103" i="155"/>
  <c r="J103" i="156"/>
  <c r="J103" i="76"/>
  <c r="I103" i="36"/>
  <c r="P103" i="36" s="1"/>
  <c r="I103" i="32"/>
  <c r="P103" i="32" s="1"/>
  <c r="I112" i="155"/>
  <c r="J112" i="156"/>
  <c r="J112" i="76"/>
  <c r="I112" i="36"/>
  <c r="P112" i="36" s="1"/>
  <c r="I112" i="32"/>
  <c r="P112" i="32" s="1"/>
  <c r="I120" i="155"/>
  <c r="J120" i="156"/>
  <c r="J120" i="76"/>
  <c r="I120" i="36"/>
  <c r="P120" i="36" s="1"/>
  <c r="I120" i="32"/>
  <c r="P120" i="32" s="1"/>
  <c r="U32" i="57"/>
  <c r="U33" i="57"/>
  <c r="J109" i="156"/>
  <c r="I109" i="155"/>
  <c r="J109" i="76"/>
  <c r="I109" i="36"/>
  <c r="P109" i="36" s="1"/>
  <c r="I109" i="32"/>
  <c r="P109" i="32" s="1"/>
  <c r="K120" i="77"/>
  <c r="P86" i="36"/>
  <c r="I134" i="36"/>
  <c r="P134" i="36" s="1"/>
  <c r="P124" i="65"/>
  <c r="H122" i="155"/>
  <c r="N122" i="155" s="1"/>
  <c r="G122" i="152"/>
  <c r="I135" i="36"/>
  <c r="P135" i="36" s="1"/>
  <c r="P87" i="36"/>
  <c r="I136" i="36"/>
  <c r="P136" i="36" s="1"/>
  <c r="P88" i="36"/>
  <c r="J106" i="156"/>
  <c r="I106" i="155"/>
  <c r="J106" i="76"/>
  <c r="I106" i="32"/>
  <c r="P106" i="32" s="1"/>
  <c r="I106" i="36"/>
  <c r="P106" i="36" s="1"/>
  <c r="P134" i="65"/>
  <c r="H132" i="155"/>
  <c r="N132" i="155" s="1"/>
  <c r="G132" i="152"/>
  <c r="I119" i="155"/>
  <c r="J119" i="156"/>
  <c r="I119" i="36"/>
  <c r="P119" i="36" s="1"/>
  <c r="J119" i="76"/>
  <c r="I119" i="32"/>
  <c r="P119" i="32" s="1"/>
  <c r="L33" i="57"/>
  <c r="L32" i="57"/>
  <c r="P125" i="65"/>
  <c r="H123" i="155"/>
  <c r="N123" i="155" s="1"/>
  <c r="G123" i="152"/>
  <c r="N8" i="57"/>
  <c r="P82" i="36"/>
  <c r="I130" i="36"/>
  <c r="P130" i="36" s="1"/>
  <c r="P81" i="36"/>
  <c r="I129" i="36"/>
  <c r="P129" i="36" s="1"/>
  <c r="I123" i="36"/>
  <c r="P123" i="36" s="1"/>
  <c r="P75" i="36"/>
  <c r="P93" i="36"/>
  <c r="I141" i="36"/>
  <c r="P141" i="36" s="1"/>
  <c r="P77" i="36"/>
  <c r="I125" i="36"/>
  <c r="P125" i="36" s="1"/>
  <c r="I115" i="155"/>
  <c r="J115" i="156"/>
  <c r="I115" i="36"/>
  <c r="P115" i="36" s="1"/>
  <c r="J115" i="76"/>
  <c r="I115" i="32"/>
  <c r="P115" i="32" s="1"/>
  <c r="J114" i="156"/>
  <c r="I114" i="155"/>
  <c r="J114" i="76"/>
  <c r="I114" i="32"/>
  <c r="P114" i="32" s="1"/>
  <c r="I114" i="36"/>
  <c r="P114" i="36" s="1"/>
  <c r="I99" i="155"/>
  <c r="J99" i="156"/>
  <c r="I99" i="36"/>
  <c r="P99" i="36" s="1"/>
  <c r="J99" i="76"/>
  <c r="I99" i="32"/>
  <c r="P99" i="32" s="1"/>
  <c r="I107" i="155"/>
  <c r="J107" i="156"/>
  <c r="J107" i="76"/>
  <c r="I107" i="36"/>
  <c r="P107" i="36" s="1"/>
  <c r="I107" i="32"/>
  <c r="P107" i="32" s="1"/>
  <c r="P127" i="65"/>
  <c r="H125" i="155"/>
  <c r="N125" i="155" s="1"/>
  <c r="G125" i="152"/>
  <c r="P126" i="65"/>
  <c r="H124" i="155"/>
  <c r="N124" i="155" s="1"/>
  <c r="G124" i="152"/>
  <c r="I118" i="155"/>
  <c r="J118" i="156"/>
  <c r="I118" i="36"/>
  <c r="P118" i="36" s="1"/>
  <c r="I118" i="32"/>
  <c r="P118" i="32" s="1"/>
  <c r="J118" i="76"/>
  <c r="I132" i="36"/>
  <c r="P132" i="36" s="1"/>
  <c r="P84" i="36"/>
  <c r="I143" i="36"/>
  <c r="P143" i="36" s="1"/>
  <c r="P95" i="36"/>
  <c r="J100" i="156"/>
  <c r="J100" i="76"/>
  <c r="I100" i="155"/>
  <c r="I100" i="36"/>
  <c r="P100" i="36" s="1"/>
  <c r="I100" i="32"/>
  <c r="P100" i="32" s="1"/>
  <c r="J104" i="156"/>
  <c r="I104" i="155"/>
  <c r="J104" i="76"/>
  <c r="I104" i="36"/>
  <c r="P104" i="36" s="1"/>
  <c r="I104" i="32"/>
  <c r="P104" i="32" s="1"/>
  <c r="P97" i="36"/>
  <c r="I145" i="36"/>
  <c r="P145" i="36" s="1"/>
  <c r="P128" i="65"/>
  <c r="H126" i="155"/>
  <c r="N126" i="155" s="1"/>
  <c r="G126" i="152"/>
  <c r="N13" i="57"/>
  <c r="O56" i="151"/>
  <c r="P96" i="36"/>
  <c r="I144" i="36"/>
  <c r="P144" i="36" s="1"/>
  <c r="P78" i="36"/>
  <c r="I126" i="36"/>
  <c r="P126" i="36" s="1"/>
  <c r="J113" i="156"/>
  <c r="I113" i="155"/>
  <c r="J113" i="76"/>
  <c r="I113" i="36"/>
  <c r="P113" i="36" s="1"/>
  <c r="I113" i="32"/>
  <c r="P113" i="32" s="1"/>
  <c r="J110" i="156"/>
  <c r="I110" i="155"/>
  <c r="J110" i="76"/>
  <c r="I110" i="36"/>
  <c r="P110" i="36" s="1"/>
  <c r="I110" i="32"/>
  <c r="P110" i="32" s="1"/>
  <c r="P130" i="65"/>
  <c r="H128" i="155"/>
  <c r="N128" i="155" s="1"/>
  <c r="G128" i="152"/>
  <c r="P132" i="65"/>
  <c r="H130" i="155"/>
  <c r="N130" i="155" s="1"/>
  <c r="G130" i="152"/>
  <c r="J117" i="156"/>
  <c r="I117" i="155"/>
  <c r="J117" i="76"/>
  <c r="I117" i="36"/>
  <c r="P117" i="36" s="1"/>
  <c r="I117" i="32"/>
  <c r="P117" i="32" s="1"/>
  <c r="W10" i="57"/>
  <c r="I127" i="36"/>
  <c r="P127" i="36" s="1"/>
  <c r="P79" i="36"/>
  <c r="P80" i="36"/>
  <c r="I128" i="36"/>
  <c r="P128" i="36" s="1"/>
  <c r="P135" i="65"/>
  <c r="G133" i="152"/>
  <c r="H133" i="155"/>
  <c r="N133" i="155" s="1"/>
  <c r="W8" i="57"/>
  <c r="P131" i="65"/>
  <c r="H129" i="155"/>
  <c r="N129" i="155" s="1"/>
  <c r="G129" i="152"/>
  <c r="I139" i="36"/>
  <c r="P139" i="36" s="1"/>
  <c r="P91" i="36"/>
  <c r="J98" i="156"/>
  <c r="I98" i="155"/>
  <c r="J98" i="76"/>
  <c r="I98" i="32"/>
  <c r="P98" i="32" s="1"/>
  <c r="I98" i="36"/>
  <c r="P98" i="36" s="1"/>
  <c r="I111" i="155"/>
  <c r="J111" i="156"/>
  <c r="J111" i="76"/>
  <c r="I111" i="36"/>
  <c r="P111" i="36" s="1"/>
  <c r="I111" i="32"/>
  <c r="P111" i="32" s="1"/>
  <c r="J101" i="156"/>
  <c r="I101" i="155"/>
  <c r="J101" i="76"/>
  <c r="I101" i="36"/>
  <c r="P101" i="36" s="1"/>
  <c r="I101" i="32"/>
  <c r="P101" i="32" s="1"/>
  <c r="J102" i="156"/>
  <c r="I102" i="155"/>
  <c r="J102" i="76"/>
  <c r="I102" i="36"/>
  <c r="P102" i="36" s="1"/>
  <c r="I102" i="32"/>
  <c r="P102" i="32" s="1"/>
  <c r="P133" i="65"/>
  <c r="H131" i="155"/>
  <c r="N131" i="155" s="1"/>
  <c r="G131" i="152"/>
  <c r="J116" i="156"/>
  <c r="J116" i="76"/>
  <c r="I116" i="155"/>
  <c r="I116" i="32"/>
  <c r="P116" i="32" s="1"/>
  <c r="I116" i="36"/>
  <c r="P116" i="36" s="1"/>
  <c r="P92" i="36"/>
  <c r="I140" i="36"/>
  <c r="P140" i="36" s="1"/>
  <c r="P74" i="36"/>
  <c r="I122" i="36"/>
  <c r="P122" i="36" s="1"/>
  <c r="AK33" i="57"/>
  <c r="AK32" i="57"/>
  <c r="AL14" i="57"/>
  <c r="P94" i="36"/>
  <c r="I142" i="36"/>
  <c r="P142" i="36" s="1"/>
  <c r="I105" i="155"/>
  <c r="J105" i="156"/>
  <c r="J105" i="76"/>
  <c r="I105" i="36"/>
  <c r="P105" i="36" s="1"/>
  <c r="I105" i="32"/>
  <c r="P105" i="32" s="1"/>
  <c r="J121" i="156"/>
  <c r="I121" i="155"/>
  <c r="J121" i="76"/>
  <c r="I121" i="36"/>
  <c r="P121" i="36" s="1"/>
  <c r="I121" i="32"/>
  <c r="P121" i="32" s="1"/>
  <c r="P76" i="36"/>
  <c r="I124" i="36"/>
  <c r="P124" i="36" s="1"/>
  <c r="P89" i="36"/>
  <c r="I137" i="36"/>
  <c r="P137" i="36" s="1"/>
  <c r="I131" i="36"/>
  <c r="P131" i="36" s="1"/>
  <c r="P83" i="36"/>
  <c r="K32" i="57"/>
  <c r="K33" i="57"/>
  <c r="M33" i="57" s="1"/>
  <c r="M14" i="57"/>
  <c r="K9" i="74"/>
  <c r="AJ13" i="57"/>
  <c r="AL13" i="57" s="1"/>
  <c r="W11" i="57"/>
  <c r="N12" i="57"/>
  <c r="AJ9" i="57"/>
  <c r="AL9" i="57" s="1"/>
  <c r="G9" i="74"/>
  <c r="AJ6" i="57"/>
  <c r="AL6" i="57" s="1"/>
  <c r="D9" i="74"/>
  <c r="F9" i="74"/>
  <c r="AJ8" i="57"/>
  <c r="AL8" i="57" s="1"/>
  <c r="N7" i="57"/>
  <c r="J9" i="74"/>
  <c r="AJ12" i="57"/>
  <c r="AL12" i="57" s="1"/>
  <c r="AM14" i="57" s="1"/>
  <c r="W12" i="57"/>
  <c r="W7" i="57"/>
  <c r="W29" i="57"/>
  <c r="W23" i="57"/>
  <c r="W19" i="57"/>
  <c r="W18" i="57"/>
  <c r="W25" i="57"/>
  <c r="W24" i="57"/>
  <c r="W22" i="57"/>
  <c r="W20" i="57"/>
  <c r="W27" i="57"/>
  <c r="W28" i="57"/>
  <c r="W21" i="57"/>
  <c r="W26" i="57"/>
  <c r="W9" i="57"/>
  <c r="T33" i="57"/>
  <c r="V33" i="57" s="1"/>
  <c r="T32" i="57"/>
  <c r="V14" i="57"/>
  <c r="W14" i="57" s="1"/>
  <c r="I9" i="74"/>
  <c r="AJ11" i="57"/>
  <c r="AL11" i="57" s="1"/>
  <c r="N14" i="57"/>
  <c r="AJ5" i="57"/>
  <c r="C9" i="74"/>
  <c r="E9" i="74"/>
  <c r="AJ7" i="57"/>
  <c r="AL7" i="57" s="1"/>
  <c r="AJ10" i="57"/>
  <c r="H9" i="74"/>
  <c r="W13" i="57"/>
  <c r="AV47" i="17"/>
  <c r="AK47" i="17"/>
  <c r="O72" i="151"/>
  <c r="O55" i="151"/>
  <c r="J34" i="75"/>
  <c r="G34" i="38"/>
  <c r="G34" i="28"/>
  <c r="J68" i="154"/>
  <c r="S68" i="154" s="1"/>
  <c r="J68" i="153"/>
  <c r="S68" i="153" s="1"/>
  <c r="J37" i="75"/>
  <c r="G37" i="38"/>
  <c r="G37" i="28"/>
  <c r="H117" i="154"/>
  <c r="Q117" i="154" s="1"/>
  <c r="H117" i="152"/>
  <c r="N117" i="152" s="1"/>
  <c r="H117" i="153"/>
  <c r="Q117" i="153" s="1"/>
  <c r="H117" i="30"/>
  <c r="O117" i="30" s="1"/>
  <c r="H117" i="34"/>
  <c r="O117" i="34" s="1"/>
  <c r="H117" i="151"/>
  <c r="N117" i="151" s="1"/>
  <c r="O117" i="151" s="1"/>
  <c r="BU87" i="67"/>
  <c r="I103" i="65"/>
  <c r="AJ100" i="67"/>
  <c r="N87" i="152"/>
  <c r="H135" i="152"/>
  <c r="N135" i="152" s="1"/>
  <c r="BP87" i="67"/>
  <c r="J29" i="25"/>
  <c r="T12" i="24"/>
  <c r="V12" i="24" s="1"/>
  <c r="J7" i="25"/>
  <c r="T8" i="25" s="1"/>
  <c r="G51" i="25"/>
  <c r="BM9" i="17"/>
  <c r="C31" i="25"/>
  <c r="BU91" i="67"/>
  <c r="J115" i="75"/>
  <c r="G115" i="38"/>
  <c r="G115" i="28"/>
  <c r="O92" i="151"/>
  <c r="H123" i="152"/>
  <c r="N123" i="152" s="1"/>
  <c r="N75" i="152"/>
  <c r="G89" i="38"/>
  <c r="J89" i="75"/>
  <c r="G89" i="28"/>
  <c r="G81" i="38"/>
  <c r="J81" i="75"/>
  <c r="G81" i="28"/>
  <c r="O73" i="151"/>
  <c r="BO92" i="67"/>
  <c r="G63" i="38"/>
  <c r="J63" i="75"/>
  <c r="G63" i="28"/>
  <c r="BW87" i="67"/>
  <c r="J46" i="75"/>
  <c r="G46" i="38"/>
  <c r="G46" i="28"/>
  <c r="G49" i="38"/>
  <c r="J49" i="75"/>
  <c r="G49" i="28"/>
  <c r="G79" i="38"/>
  <c r="J79" i="75"/>
  <c r="G79" i="28"/>
  <c r="G24" i="38"/>
  <c r="G24" i="28"/>
  <c r="J24" i="75"/>
  <c r="J43" i="75"/>
  <c r="G43" i="38"/>
  <c r="G43" i="28"/>
  <c r="J70" i="75"/>
  <c r="G70" i="38"/>
  <c r="G70" i="28"/>
  <c r="H105" i="154"/>
  <c r="Q105" i="154" s="1"/>
  <c r="H105" i="152"/>
  <c r="N105" i="152" s="1"/>
  <c r="H105" i="153"/>
  <c r="Q105" i="153" s="1"/>
  <c r="H105" i="34"/>
  <c r="H105" i="151"/>
  <c r="N105" i="151" s="1"/>
  <c r="O105" i="151" s="1"/>
  <c r="H105" i="30"/>
  <c r="G65" i="38"/>
  <c r="J65" i="75"/>
  <c r="G65" i="28"/>
  <c r="G87" i="38"/>
  <c r="J87" i="75"/>
  <c r="G87" i="28"/>
  <c r="H113" i="154"/>
  <c r="Q113" i="154" s="1"/>
  <c r="H113" i="153"/>
  <c r="Q113" i="153" s="1"/>
  <c r="H113" i="152"/>
  <c r="N113" i="152" s="1"/>
  <c r="H113" i="151"/>
  <c r="N113" i="151" s="1"/>
  <c r="H113" i="30"/>
  <c r="H113" i="34"/>
  <c r="J63" i="153"/>
  <c r="S63" i="153" s="1"/>
  <c r="J63" i="154"/>
  <c r="S63" i="154" s="1"/>
  <c r="J108" i="75"/>
  <c r="G108" i="38"/>
  <c r="G108" i="28"/>
  <c r="H120" i="153"/>
  <c r="Q120" i="153" s="1"/>
  <c r="H120" i="151"/>
  <c r="N120" i="151" s="1"/>
  <c r="O120" i="151" s="1"/>
  <c r="H120" i="34"/>
  <c r="O120" i="34" s="1"/>
  <c r="H120" i="30"/>
  <c r="O120" i="30" s="1"/>
  <c r="H120" i="152"/>
  <c r="N120" i="152" s="1"/>
  <c r="H120" i="154"/>
  <c r="Q120" i="154" s="1"/>
  <c r="J20" i="75"/>
  <c r="G20" i="38"/>
  <c r="G20" i="28"/>
  <c r="BV94" i="67"/>
  <c r="BQ88" i="67"/>
  <c r="BV93" i="67"/>
  <c r="J67" i="75"/>
  <c r="G67" i="38"/>
  <c r="G67" i="28"/>
  <c r="BR94" i="67"/>
  <c r="BQ94" i="67"/>
  <c r="J66" i="75"/>
  <c r="G66" i="38"/>
  <c r="G66" i="28"/>
  <c r="J31" i="25"/>
  <c r="T7" i="24"/>
  <c r="V7" i="24" s="1"/>
  <c r="E7" i="25"/>
  <c r="K7" i="24"/>
  <c r="E6" i="25"/>
  <c r="C7" i="25"/>
  <c r="T5" i="24"/>
  <c r="V5" i="24" s="1"/>
  <c r="BV91" i="67"/>
  <c r="BO93" i="67"/>
  <c r="BZ77" i="67"/>
  <c r="O67" i="151"/>
  <c r="O74" i="151"/>
  <c r="BN86" i="67"/>
  <c r="BT90" i="67"/>
  <c r="O87" i="151"/>
  <c r="O79" i="151"/>
  <c r="BZ75" i="67"/>
  <c r="G111" i="38"/>
  <c r="J111" i="75"/>
  <c r="G111" i="28"/>
  <c r="H142" i="152"/>
  <c r="N142" i="152" s="1"/>
  <c r="N94" i="152"/>
  <c r="BU96" i="67"/>
  <c r="BO91" i="67"/>
  <c r="Q77" i="154"/>
  <c r="H125" i="154"/>
  <c r="Q125" i="154" s="1"/>
  <c r="BT88" i="67"/>
  <c r="J66" i="154"/>
  <c r="S66" i="154" s="1"/>
  <c r="J66" i="153"/>
  <c r="S66" i="153" s="1"/>
  <c r="BS96" i="67"/>
  <c r="J4" i="75"/>
  <c r="G4" i="38"/>
  <c r="G4" i="28"/>
  <c r="BV86" i="67"/>
  <c r="BW93" i="67"/>
  <c r="I9" i="25"/>
  <c r="S10" i="25" s="1"/>
  <c r="AK11" i="24"/>
  <c r="L7" i="25"/>
  <c r="T14" i="24"/>
  <c r="T25" i="24" s="1"/>
  <c r="F51" i="25"/>
  <c r="BM8" i="17"/>
  <c r="BN8" i="17" s="1"/>
  <c r="BO8" i="17" s="1"/>
  <c r="AJ21" i="57" s="1"/>
  <c r="BN87" i="67"/>
  <c r="H144" i="152"/>
  <c r="N144" i="152" s="1"/>
  <c r="N96" i="152"/>
  <c r="BN94" i="67"/>
  <c r="CA75" i="67"/>
  <c r="BQ91" i="67"/>
  <c r="G33" i="38"/>
  <c r="J33" i="75"/>
  <c r="G33" i="28"/>
  <c r="Q80" i="154"/>
  <c r="H128" i="154"/>
  <c r="Q128" i="154" s="1"/>
  <c r="BT97" i="67"/>
  <c r="J86" i="75"/>
  <c r="G86" i="28"/>
  <c r="G86" i="38"/>
  <c r="J70" i="154"/>
  <c r="S70" i="154" s="1"/>
  <c r="J70" i="153"/>
  <c r="S70" i="153" s="1"/>
  <c r="G64" i="38"/>
  <c r="G64" i="28"/>
  <c r="J64" i="75"/>
  <c r="J60" i="75"/>
  <c r="G60" i="38"/>
  <c r="G60" i="28"/>
  <c r="H111" i="154"/>
  <c r="Q111" i="154" s="1"/>
  <c r="H111" i="152"/>
  <c r="N111" i="152" s="1"/>
  <c r="H111" i="153"/>
  <c r="Q111" i="153" s="1"/>
  <c r="H111" i="30"/>
  <c r="H111" i="34"/>
  <c r="H111" i="151"/>
  <c r="N111" i="151" s="1"/>
  <c r="O111" i="151" s="1"/>
  <c r="J110" i="75"/>
  <c r="G110" i="38"/>
  <c r="G110" i="28"/>
  <c r="J62" i="154"/>
  <c r="S62" i="154" s="1"/>
  <c r="J62" i="153"/>
  <c r="S62" i="153" s="1"/>
  <c r="Q133" i="65"/>
  <c r="M131" i="152"/>
  <c r="H122" i="152"/>
  <c r="N122" i="152" s="1"/>
  <c r="N74" i="152"/>
  <c r="BN90" i="67"/>
  <c r="BO97" i="67"/>
  <c r="H135" i="154"/>
  <c r="Q135" i="154" s="1"/>
  <c r="Q87" i="154"/>
  <c r="BN89" i="67"/>
  <c r="G104" i="38"/>
  <c r="J104" i="75"/>
  <c r="G104" i="28"/>
  <c r="J77" i="75"/>
  <c r="G77" i="38"/>
  <c r="G77" i="28"/>
  <c r="BS94" i="67"/>
  <c r="I7" i="25"/>
  <c r="S8" i="25" s="1"/>
  <c r="T11" i="24"/>
  <c r="V11" i="24" s="1"/>
  <c r="D51" i="25"/>
  <c r="BM6" i="17"/>
  <c r="BN6" i="17" s="1"/>
  <c r="BO6" i="17" s="1"/>
  <c r="AJ19" i="57" s="1"/>
  <c r="J28" i="75"/>
  <c r="G28" i="38"/>
  <c r="G28" i="28"/>
  <c r="Q96" i="154"/>
  <c r="H144" i="154"/>
  <c r="Q144" i="154" s="1"/>
  <c r="BX89" i="67"/>
  <c r="Q75" i="154"/>
  <c r="H123" i="154"/>
  <c r="Q123" i="154" s="1"/>
  <c r="BW96" i="67"/>
  <c r="H142" i="154"/>
  <c r="Q142" i="154" s="1"/>
  <c r="Q94" i="154"/>
  <c r="O84" i="151"/>
  <c r="J78" i="75"/>
  <c r="G78" i="38"/>
  <c r="G78" i="28"/>
  <c r="BQ90" i="67"/>
  <c r="BV95" i="67"/>
  <c r="CA76" i="67"/>
  <c r="N79" i="152"/>
  <c r="H127" i="152"/>
  <c r="N127" i="152" s="1"/>
  <c r="BN97" i="67"/>
  <c r="CA83" i="67"/>
  <c r="BR86" i="67"/>
  <c r="I29" i="25"/>
  <c r="F31" i="25"/>
  <c r="K8" i="24"/>
  <c r="F6" i="25"/>
  <c r="J6" i="25"/>
  <c r="T7" i="25" s="1"/>
  <c r="K12" i="24"/>
  <c r="AK5" i="24"/>
  <c r="AM5" i="24" s="1"/>
  <c r="C9" i="25"/>
  <c r="BP86" i="67"/>
  <c r="G25" i="38"/>
  <c r="J25" i="75"/>
  <c r="G25" i="28"/>
  <c r="BZ79" i="67"/>
  <c r="BP93" i="67"/>
  <c r="J14" i="75"/>
  <c r="G14" i="38"/>
  <c r="G14" i="28"/>
  <c r="BS90" i="67"/>
  <c r="BV88" i="67"/>
  <c r="O76" i="151"/>
  <c r="CA80" i="67"/>
  <c r="J107" i="75"/>
  <c r="G107" i="38"/>
  <c r="G107" i="28"/>
  <c r="G56" i="38"/>
  <c r="G56" i="28"/>
  <c r="J56" i="75"/>
  <c r="J38" i="75"/>
  <c r="G38" i="28"/>
  <c r="G38" i="38"/>
  <c r="J69" i="153"/>
  <c r="S69" i="153" s="1"/>
  <c r="J69" i="154"/>
  <c r="S69" i="154" s="1"/>
  <c r="H103" i="154"/>
  <c r="Q103" i="154" s="1"/>
  <c r="H103" i="151"/>
  <c r="N103" i="151" s="1"/>
  <c r="O103" i="151" s="1"/>
  <c r="H103" i="153"/>
  <c r="Q103" i="153" s="1"/>
  <c r="H103" i="152"/>
  <c r="N103" i="152" s="1"/>
  <c r="H103" i="30"/>
  <c r="H103" i="34"/>
  <c r="H116" i="152"/>
  <c r="N116" i="152" s="1"/>
  <c r="H116" i="154"/>
  <c r="Q116" i="154" s="1"/>
  <c r="H116" i="153"/>
  <c r="Q116" i="153" s="1"/>
  <c r="H116" i="34"/>
  <c r="O116" i="34" s="1"/>
  <c r="H116" i="151"/>
  <c r="N116" i="151" s="1"/>
  <c r="O116" i="151" s="1"/>
  <c r="H116" i="30"/>
  <c r="O116" i="30" s="1"/>
  <c r="BW86" i="67"/>
  <c r="H122" i="154"/>
  <c r="Q122" i="154" s="1"/>
  <c r="Q74" i="154"/>
  <c r="BP89" i="67"/>
  <c r="G32" i="38"/>
  <c r="G32" i="28"/>
  <c r="J32" i="75"/>
  <c r="BQ96" i="67"/>
  <c r="BS87" i="67"/>
  <c r="J58" i="75"/>
  <c r="G58" i="38"/>
  <c r="G58" i="28"/>
  <c r="O60" i="151"/>
  <c r="BX92" i="67"/>
  <c r="BP88" i="67"/>
  <c r="J29" i="75"/>
  <c r="G29" i="38"/>
  <c r="G29" i="28"/>
  <c r="G103" i="38"/>
  <c r="J103" i="75"/>
  <c r="G103" i="28"/>
  <c r="BT93" i="67"/>
  <c r="BS93" i="67"/>
  <c r="H9" i="25"/>
  <c r="AK10" i="24"/>
  <c r="AM10" i="24" s="1"/>
  <c r="E9" i="25"/>
  <c r="AK7" i="24"/>
  <c r="AM7" i="24" s="1"/>
  <c r="BX90" i="67"/>
  <c r="BS91" i="67"/>
  <c r="BW90" i="67"/>
  <c r="BW97" i="67"/>
  <c r="J18" i="75"/>
  <c r="G18" i="38"/>
  <c r="G18" i="28"/>
  <c r="O82" i="151"/>
  <c r="N95" i="152"/>
  <c r="H143" i="152"/>
  <c r="N143" i="152" s="1"/>
  <c r="BV89" i="67"/>
  <c r="J27" i="75"/>
  <c r="G27" i="38"/>
  <c r="G27" i="28"/>
  <c r="G112" i="38"/>
  <c r="G112" i="28"/>
  <c r="J112" i="75"/>
  <c r="BW95" i="67"/>
  <c r="J44" i="75"/>
  <c r="G44" i="38"/>
  <c r="G44" i="28"/>
  <c r="H101" i="154"/>
  <c r="Q101" i="154" s="1"/>
  <c r="H101" i="153"/>
  <c r="Q101" i="153" s="1"/>
  <c r="H101" i="152"/>
  <c r="N101" i="152" s="1"/>
  <c r="H101" i="30"/>
  <c r="H101" i="151"/>
  <c r="N101" i="151" s="1"/>
  <c r="O101" i="151" s="1"/>
  <c r="H101" i="34"/>
  <c r="J50" i="75"/>
  <c r="G50" i="38"/>
  <c r="G50" i="28"/>
  <c r="G73" i="38"/>
  <c r="J73" i="75"/>
  <c r="G73" i="28"/>
  <c r="J22" i="75"/>
  <c r="G22" i="38"/>
  <c r="G22" i="28"/>
  <c r="J114" i="75"/>
  <c r="G114" i="38"/>
  <c r="G114" i="28"/>
  <c r="J75" i="75"/>
  <c r="G75" i="38"/>
  <c r="G75" i="28"/>
  <c r="J92" i="75"/>
  <c r="G92" i="38"/>
  <c r="G92" i="28"/>
  <c r="H98" i="153"/>
  <c r="Q98" i="153" s="1"/>
  <c r="H98" i="154"/>
  <c r="Q98" i="154" s="1"/>
  <c r="H98" i="152"/>
  <c r="N98" i="152" s="1"/>
  <c r="H98" i="30"/>
  <c r="H98" i="34"/>
  <c r="H98" i="151"/>
  <c r="N98" i="151" s="1"/>
  <c r="D141" i="65"/>
  <c r="N141" i="65" s="1"/>
  <c r="H119" i="154"/>
  <c r="Q119" i="154" s="1"/>
  <c r="H119" i="151"/>
  <c r="N119" i="151" s="1"/>
  <c r="O119" i="151" s="1"/>
  <c r="H119" i="152"/>
  <c r="N119" i="152" s="1"/>
  <c r="H119" i="153"/>
  <c r="Q119" i="153" s="1"/>
  <c r="H119" i="30"/>
  <c r="O119" i="30" s="1"/>
  <c r="H119" i="34"/>
  <c r="O119" i="34" s="1"/>
  <c r="BU95" i="67"/>
  <c r="BO90" i="67"/>
  <c r="BX93" i="67"/>
  <c r="CA85" i="67"/>
  <c r="Q79" i="154"/>
  <c r="H127" i="154"/>
  <c r="Q127" i="154" s="1"/>
  <c r="BP96" i="67"/>
  <c r="BZ76" i="67"/>
  <c r="J13" i="75"/>
  <c r="G13" i="38"/>
  <c r="G13" i="28"/>
  <c r="BZ81" i="67"/>
  <c r="I31" i="25"/>
  <c r="AM11" i="24"/>
  <c r="K7" i="25"/>
  <c r="U8" i="25" s="1"/>
  <c r="T13" i="24"/>
  <c r="V13" i="24" s="1"/>
  <c r="BN95" i="67"/>
  <c r="CA79" i="67"/>
  <c r="BX97" i="67"/>
  <c r="BR92" i="67"/>
  <c r="H143" i="154"/>
  <c r="Q143" i="154" s="1"/>
  <c r="Q95" i="154"/>
  <c r="BU89" i="67"/>
  <c r="J62" i="75"/>
  <c r="G62" i="38"/>
  <c r="G62" i="28"/>
  <c r="G17" i="38"/>
  <c r="J17" i="75"/>
  <c r="G17" i="28"/>
  <c r="BV87" i="67"/>
  <c r="H108" i="153"/>
  <c r="Q108" i="153" s="1"/>
  <c r="H108" i="154"/>
  <c r="Q108" i="154" s="1"/>
  <c r="H108" i="152"/>
  <c r="N108" i="152" s="1"/>
  <c r="H108" i="151"/>
  <c r="N108" i="151" s="1"/>
  <c r="O108" i="151" s="1"/>
  <c r="H108" i="34"/>
  <c r="H108" i="30"/>
  <c r="J53" i="75"/>
  <c r="G53" i="38"/>
  <c r="G53" i="28"/>
  <c r="J100" i="75"/>
  <c r="G100" i="38"/>
  <c r="G100" i="28"/>
  <c r="G16" i="38"/>
  <c r="G16" i="28"/>
  <c r="J16" i="75"/>
  <c r="J12" i="75"/>
  <c r="G12" i="38"/>
  <c r="G12" i="28"/>
  <c r="J30" i="75"/>
  <c r="G30" i="38"/>
  <c r="G30" i="28"/>
  <c r="H107" i="154"/>
  <c r="Q107" i="154" s="1"/>
  <c r="H107" i="153"/>
  <c r="Q107" i="153" s="1"/>
  <c r="H107" i="151"/>
  <c r="N107" i="151" s="1"/>
  <c r="O107" i="151" s="1"/>
  <c r="H107" i="152"/>
  <c r="N107" i="152" s="1"/>
  <c r="H107" i="34"/>
  <c r="H107" i="30"/>
  <c r="E142" i="65"/>
  <c r="O142" i="65" s="1"/>
  <c r="O71" i="151"/>
  <c r="G80" i="38"/>
  <c r="J80" i="75"/>
  <c r="G80" i="28"/>
  <c r="BU86" i="67"/>
  <c r="H139" i="152"/>
  <c r="N139" i="152" s="1"/>
  <c r="N91" i="152"/>
  <c r="J45" i="75"/>
  <c r="G45" i="38"/>
  <c r="G45" i="28"/>
  <c r="J93" i="75"/>
  <c r="G93" i="38"/>
  <c r="G93" i="28"/>
  <c r="BU93" i="67"/>
  <c r="BU92" i="67"/>
  <c r="F29" i="25"/>
  <c r="J61" i="75"/>
  <c r="G61" i="38"/>
  <c r="G61" i="28"/>
  <c r="CA77" i="67"/>
  <c r="O65" i="151"/>
  <c r="BV96" i="67"/>
  <c r="BS89" i="67"/>
  <c r="O50" i="151"/>
  <c r="BX94" i="67"/>
  <c r="BN91" i="67"/>
  <c r="G40" i="38"/>
  <c r="G40" i="28"/>
  <c r="J40" i="75"/>
  <c r="J59" i="75"/>
  <c r="G59" i="38"/>
  <c r="G59" i="28"/>
  <c r="G96" i="38"/>
  <c r="G96" i="28"/>
  <c r="J96" i="75"/>
  <c r="J72" i="154"/>
  <c r="S72" i="154" s="1"/>
  <c r="J72" i="153"/>
  <c r="S72" i="153" s="1"/>
  <c r="H102" i="154"/>
  <c r="Q102" i="154" s="1"/>
  <c r="H102" i="153"/>
  <c r="Q102" i="153" s="1"/>
  <c r="H102" i="30"/>
  <c r="H102" i="151"/>
  <c r="N102" i="151" s="1"/>
  <c r="O102" i="151" s="1"/>
  <c r="H102" i="34"/>
  <c r="H102" i="152"/>
  <c r="N102" i="152" s="1"/>
  <c r="Q124" i="65"/>
  <c r="M122" i="152"/>
  <c r="Q135" i="65"/>
  <c r="M133" i="152"/>
  <c r="K117" i="77"/>
  <c r="BQ89" i="67"/>
  <c r="BP97" i="67"/>
  <c r="J35" i="75"/>
  <c r="G35" i="38"/>
  <c r="G35" i="28"/>
  <c r="O68" i="151"/>
  <c r="L9" i="25"/>
  <c r="AK14" i="24"/>
  <c r="H31" i="25"/>
  <c r="F7" i="25"/>
  <c r="T8" i="24"/>
  <c r="V8" i="24" s="1"/>
  <c r="K6" i="25"/>
  <c r="U7" i="25" s="1"/>
  <c r="K13" i="24"/>
  <c r="BP94" i="67"/>
  <c r="BO94" i="67"/>
  <c r="J90" i="75"/>
  <c r="G90" i="38"/>
  <c r="G90" i="28"/>
  <c r="O91" i="151"/>
  <c r="O59" i="151"/>
  <c r="O57" i="151"/>
  <c r="G55" i="38"/>
  <c r="J55" i="75"/>
  <c r="G55" i="28"/>
  <c r="G48" i="38"/>
  <c r="G48" i="28"/>
  <c r="J48" i="75"/>
  <c r="J21" i="75"/>
  <c r="G21" i="38"/>
  <c r="G21" i="28"/>
  <c r="J91" i="75"/>
  <c r="G91" i="38"/>
  <c r="G91" i="28"/>
  <c r="G97" i="38"/>
  <c r="G97" i="28"/>
  <c r="J97" i="75"/>
  <c r="J71" i="153"/>
  <c r="S71" i="153" s="1"/>
  <c r="J71" i="154"/>
  <c r="S71" i="154" s="1"/>
  <c r="H115" i="154"/>
  <c r="Q115" i="154" s="1"/>
  <c r="H115" i="153"/>
  <c r="Q115" i="153" s="1"/>
  <c r="H115" i="34"/>
  <c r="H115" i="152"/>
  <c r="N115" i="152" s="1"/>
  <c r="H115" i="151"/>
  <c r="N115" i="151" s="1"/>
  <c r="O115" i="151" s="1"/>
  <c r="H115" i="30"/>
  <c r="H110" i="154"/>
  <c r="Q110" i="154" s="1"/>
  <c r="H110" i="153"/>
  <c r="Q110" i="153" s="1"/>
  <c r="H110" i="34"/>
  <c r="H110" i="30"/>
  <c r="H110" i="151"/>
  <c r="N110" i="151" s="1"/>
  <c r="O110" i="151" s="1"/>
  <c r="H110" i="152"/>
  <c r="N110" i="152" s="1"/>
  <c r="H109" i="154"/>
  <c r="Q109" i="154" s="1"/>
  <c r="H109" i="153"/>
  <c r="Q109" i="153" s="1"/>
  <c r="H109" i="152"/>
  <c r="N109" i="152" s="1"/>
  <c r="H109" i="30"/>
  <c r="H109" i="151"/>
  <c r="N109" i="151" s="1"/>
  <c r="O109" i="151" s="1"/>
  <c r="H109" i="34"/>
  <c r="G7" i="38"/>
  <c r="J7" i="75"/>
  <c r="G7" i="28"/>
  <c r="G41" i="38"/>
  <c r="J41" i="75"/>
  <c r="G41" i="28"/>
  <c r="J54" i="75"/>
  <c r="G54" i="38"/>
  <c r="G54" i="28"/>
  <c r="Q127" i="65"/>
  <c r="M125" i="152"/>
  <c r="Q125" i="65"/>
  <c r="M123" i="152"/>
  <c r="BR88" i="67"/>
  <c r="BZ78" i="67"/>
  <c r="BS95" i="67"/>
  <c r="BZ83" i="67"/>
  <c r="BR87" i="67"/>
  <c r="BO88" i="67"/>
  <c r="BV92" i="67"/>
  <c r="BO87" i="67"/>
  <c r="L29" i="25"/>
  <c r="U25" i="24"/>
  <c r="U24" i="24"/>
  <c r="H29" i="25"/>
  <c r="J51" i="25"/>
  <c r="BM12" i="17"/>
  <c r="BN12" i="17" s="1"/>
  <c r="BO12" i="17" s="1"/>
  <c r="AJ25" i="57" s="1"/>
  <c r="H145" i="152"/>
  <c r="N145" i="152" s="1"/>
  <c r="N97" i="152"/>
  <c r="BU90" i="67"/>
  <c r="N86" i="152"/>
  <c r="H134" i="152"/>
  <c r="N134" i="152" s="1"/>
  <c r="H131" i="152"/>
  <c r="N131" i="152" s="1"/>
  <c r="N83" i="152"/>
  <c r="BV97" i="67"/>
  <c r="BN93" i="67"/>
  <c r="BX88" i="67"/>
  <c r="BZ84" i="67"/>
  <c r="BN92" i="67"/>
  <c r="BX87" i="67"/>
  <c r="BP90" i="67"/>
  <c r="H112" i="153"/>
  <c r="Q112" i="153" s="1"/>
  <c r="H112" i="151"/>
  <c r="N112" i="151" s="1"/>
  <c r="O112" i="151" s="1"/>
  <c r="H112" i="154"/>
  <c r="Q112" i="154" s="1"/>
  <c r="H112" i="30"/>
  <c r="H112" i="34"/>
  <c r="H112" i="152"/>
  <c r="N112" i="152" s="1"/>
  <c r="Q132" i="65"/>
  <c r="M130" i="152"/>
  <c r="BW94" i="67"/>
  <c r="BR96" i="67"/>
  <c r="G39" i="38"/>
  <c r="J39" i="75"/>
  <c r="G39" i="28"/>
  <c r="H139" i="154"/>
  <c r="Q139" i="154" s="1"/>
  <c r="Q91" i="154"/>
  <c r="BR95" i="67"/>
  <c r="K9" i="25"/>
  <c r="U10" i="25" s="1"/>
  <c r="AK13" i="24"/>
  <c r="AM13" i="24" s="1"/>
  <c r="L6" i="25"/>
  <c r="V7" i="25" s="1"/>
  <c r="K14" i="24"/>
  <c r="D7" i="25"/>
  <c r="T6" i="24"/>
  <c r="V6" i="24" s="1"/>
  <c r="H51" i="25"/>
  <c r="BM10" i="17"/>
  <c r="BN10" i="17" s="1"/>
  <c r="BO10" i="17" s="1"/>
  <c r="AJ23" i="57" s="1"/>
  <c r="E31" i="25"/>
  <c r="Q97" i="154"/>
  <c r="H145" i="154"/>
  <c r="Q145" i="154" s="1"/>
  <c r="BR93" i="67"/>
  <c r="O66" i="151"/>
  <c r="BQ93" i="67"/>
  <c r="H126" i="152"/>
  <c r="N126" i="152" s="1"/>
  <c r="N78" i="152"/>
  <c r="BT91" i="67"/>
  <c r="J98" i="75"/>
  <c r="G98" i="38"/>
  <c r="G98" i="28"/>
  <c r="BW88" i="67"/>
  <c r="Q88" i="154"/>
  <c r="H136" i="154"/>
  <c r="Q136" i="154" s="1"/>
  <c r="H141" i="152"/>
  <c r="N141" i="152" s="1"/>
  <c r="N93" i="152"/>
  <c r="BX86" i="67"/>
  <c r="G71" i="38"/>
  <c r="J71" i="75"/>
  <c r="G71" i="28"/>
  <c r="G88" i="38"/>
  <c r="J88" i="75"/>
  <c r="G88" i="28"/>
  <c r="Q126" i="65"/>
  <c r="M124" i="152"/>
  <c r="J3" i="75"/>
  <c r="G3" i="38"/>
  <c r="G3" i="28"/>
  <c r="J84" i="75"/>
  <c r="G84" i="38"/>
  <c r="G84" i="28"/>
  <c r="J51" i="75"/>
  <c r="G51" i="38"/>
  <c r="G51" i="28"/>
  <c r="G9" i="38"/>
  <c r="J9" i="75"/>
  <c r="G9" i="28"/>
  <c r="G8" i="38"/>
  <c r="J8" i="75"/>
  <c r="G8" i="28"/>
  <c r="H118" i="154"/>
  <c r="Q118" i="154" s="1"/>
  <c r="H118" i="153"/>
  <c r="Q118" i="153" s="1"/>
  <c r="H118" i="30"/>
  <c r="O118" i="30" s="1"/>
  <c r="H118" i="152"/>
  <c r="N118" i="152" s="1"/>
  <c r="H118" i="34"/>
  <c r="O118" i="34" s="1"/>
  <c r="H118" i="151"/>
  <c r="N118" i="151" s="1"/>
  <c r="O118" i="151" s="1"/>
  <c r="BZ74" i="67"/>
  <c r="BZ85" i="67"/>
  <c r="J26" i="75"/>
  <c r="G26" i="38"/>
  <c r="G26" i="28"/>
  <c r="J10" i="75"/>
  <c r="G10" i="38"/>
  <c r="G10" i="28"/>
  <c r="J6" i="75"/>
  <c r="G6" i="28"/>
  <c r="G6" i="38"/>
  <c r="BT86" i="67"/>
  <c r="BQ87" i="67"/>
  <c r="BN96" i="67"/>
  <c r="BQ86" i="67"/>
  <c r="L31" i="25"/>
  <c r="AL25" i="24"/>
  <c r="AL24" i="24"/>
  <c r="AM14" i="24"/>
  <c r="G9" i="25"/>
  <c r="AK9" i="24"/>
  <c r="BN9" i="17"/>
  <c r="BO9" i="17" s="1"/>
  <c r="AJ22" i="57" s="1"/>
  <c r="T9" i="24"/>
  <c r="V9" i="24" s="1"/>
  <c r="G7" i="25"/>
  <c r="K10" i="24"/>
  <c r="H6" i="25"/>
  <c r="K51" i="25"/>
  <c r="BM13" i="17"/>
  <c r="BN13" i="17" s="1"/>
  <c r="BO13" i="17" s="1"/>
  <c r="AB17" i="23"/>
  <c r="I51" i="25"/>
  <c r="BM11" i="17"/>
  <c r="BN11" i="17" s="1"/>
  <c r="BO11" i="17" s="1"/>
  <c r="AJ24" i="57" s="1"/>
  <c r="C51" i="25"/>
  <c r="BM5" i="17"/>
  <c r="BN5" i="17" s="1"/>
  <c r="BO5" i="17" s="1"/>
  <c r="AJ18" i="57" s="1"/>
  <c r="H129" i="152"/>
  <c r="N129" i="152" s="1"/>
  <c r="N81" i="152"/>
  <c r="BP92" i="67"/>
  <c r="BX95" i="67"/>
  <c r="BP91" i="67"/>
  <c r="O90" i="151"/>
  <c r="BU88" i="67"/>
  <c r="BR97" i="67"/>
  <c r="H100" i="152"/>
  <c r="N100" i="152" s="1"/>
  <c r="H100" i="154"/>
  <c r="Q100" i="154" s="1"/>
  <c r="H100" i="153"/>
  <c r="Q100" i="153" s="1"/>
  <c r="H100" i="151"/>
  <c r="N100" i="151" s="1"/>
  <c r="O100" i="151" s="1"/>
  <c r="H100" i="34"/>
  <c r="H100" i="30"/>
  <c r="J83" i="75"/>
  <c r="G83" i="38"/>
  <c r="G83" i="28"/>
  <c r="G105" i="38"/>
  <c r="J105" i="75"/>
  <c r="G105" i="28"/>
  <c r="J36" i="75"/>
  <c r="G36" i="38"/>
  <c r="G36" i="28"/>
  <c r="G109" i="38"/>
  <c r="J109" i="75"/>
  <c r="G109" i="28"/>
  <c r="Q134" i="65"/>
  <c r="M132" i="152"/>
  <c r="Q128" i="65"/>
  <c r="M126" i="152"/>
  <c r="K119" i="77"/>
  <c r="H121" i="154"/>
  <c r="Q121" i="154" s="1"/>
  <c r="H121" i="152"/>
  <c r="N121" i="152" s="1"/>
  <c r="H121" i="34"/>
  <c r="O121" i="34" s="1"/>
  <c r="H121" i="30"/>
  <c r="O121" i="30" s="1"/>
  <c r="H121" i="153"/>
  <c r="Q121" i="153" s="1"/>
  <c r="H121" i="151"/>
  <c r="N121" i="151" s="1"/>
  <c r="O121" i="151" s="1"/>
  <c r="BS88" i="67"/>
  <c r="H140" i="152"/>
  <c r="N140" i="152" s="1"/>
  <c r="N92" i="152"/>
  <c r="BT95" i="67"/>
  <c r="CA81" i="67"/>
  <c r="BT94" i="67"/>
  <c r="BW92" i="67"/>
  <c r="Q84" i="154"/>
  <c r="H132" i="154"/>
  <c r="Q132" i="154" s="1"/>
  <c r="BW91" i="67"/>
  <c r="K29" i="25"/>
  <c r="G29" i="25"/>
  <c r="T10" i="24"/>
  <c r="T24" i="24" s="1"/>
  <c r="H7" i="25"/>
  <c r="K11" i="24"/>
  <c r="I6" i="25"/>
  <c r="S7" i="25" s="1"/>
  <c r="H137" i="152"/>
  <c r="N137" i="152" s="1"/>
  <c r="N89" i="152"/>
  <c r="BT92" i="67"/>
  <c r="CA84" i="67"/>
  <c r="BS92" i="67"/>
  <c r="H134" i="154"/>
  <c r="Q134" i="154" s="1"/>
  <c r="Q86" i="154"/>
  <c r="N88" i="152"/>
  <c r="H136" i="152"/>
  <c r="N136" i="152" s="1"/>
  <c r="BZ82" i="67"/>
  <c r="O64" i="151"/>
  <c r="BZ80" i="67"/>
  <c r="J5" i="75"/>
  <c r="G5" i="38"/>
  <c r="G5" i="28"/>
  <c r="J94" i="75"/>
  <c r="G94" i="28"/>
  <c r="G94" i="38"/>
  <c r="J76" i="75"/>
  <c r="G76" i="38"/>
  <c r="G76" i="28"/>
  <c r="J11" i="75"/>
  <c r="G11" i="38"/>
  <c r="G11" i="28"/>
  <c r="J2" i="75"/>
  <c r="G2" i="38"/>
  <c r="G2" i="28"/>
  <c r="H104" i="153"/>
  <c r="Q104" i="153" s="1"/>
  <c r="H104" i="151"/>
  <c r="N104" i="151" s="1"/>
  <c r="O104" i="151" s="1"/>
  <c r="H104" i="152"/>
  <c r="N104" i="152" s="1"/>
  <c r="H104" i="34"/>
  <c r="H104" i="30"/>
  <c r="H104" i="154"/>
  <c r="Q104" i="154" s="1"/>
  <c r="H106" i="154"/>
  <c r="Q106" i="154" s="1"/>
  <c r="H106" i="153"/>
  <c r="Q106" i="153" s="1"/>
  <c r="H106" i="152"/>
  <c r="N106" i="152" s="1"/>
  <c r="H106" i="151"/>
  <c r="N106" i="151" s="1"/>
  <c r="O106" i="151" s="1"/>
  <c r="H106" i="34"/>
  <c r="H106" i="30"/>
  <c r="J68" i="75"/>
  <c r="G68" i="38"/>
  <c r="G68" i="28"/>
  <c r="G57" i="38"/>
  <c r="J57" i="75"/>
  <c r="G57" i="28"/>
  <c r="J106" i="75"/>
  <c r="G106" i="38"/>
  <c r="G106" i="28"/>
  <c r="Q130" i="65"/>
  <c r="M128" i="152"/>
  <c r="Q129" i="65"/>
  <c r="M127" i="152"/>
  <c r="G95" i="38"/>
  <c r="J95" i="75"/>
  <c r="G95" i="28"/>
  <c r="CA78" i="67"/>
  <c r="Q92" i="154"/>
  <c r="H140" i="154"/>
  <c r="Q140" i="154" s="1"/>
  <c r="BT87" i="67"/>
  <c r="BU94" i="67"/>
  <c r="BO96" i="67"/>
  <c r="N90" i="152"/>
  <c r="H138" i="152"/>
  <c r="N138" i="152" s="1"/>
  <c r="N84" i="152"/>
  <c r="H132" i="152"/>
  <c r="N132" i="152" s="1"/>
  <c r="BP95" i="67"/>
  <c r="K31" i="25"/>
  <c r="F9" i="25"/>
  <c r="AK8" i="24"/>
  <c r="AM8" i="24" s="1"/>
  <c r="BM14" i="17"/>
  <c r="BN14" i="17" s="1"/>
  <c r="L51" i="25"/>
  <c r="D9" i="25"/>
  <c r="AK6" i="24"/>
  <c r="AM6" i="24" s="1"/>
  <c r="D31" i="25"/>
  <c r="J101" i="75"/>
  <c r="G101" i="38"/>
  <c r="G101" i="28"/>
  <c r="H137" i="154"/>
  <c r="Q137" i="154" s="1"/>
  <c r="Q89" i="154"/>
  <c r="H129" i="154"/>
  <c r="Q129" i="154" s="1"/>
  <c r="Q81" i="154"/>
  <c r="G72" i="38"/>
  <c r="G72" i="28"/>
  <c r="J72" i="75"/>
  <c r="BW89" i="67"/>
  <c r="BQ92" i="67"/>
  <c r="G15" i="38"/>
  <c r="J15" i="75"/>
  <c r="G15" i="28"/>
  <c r="BX96" i="67"/>
  <c r="BR91" i="67"/>
  <c r="O52" i="151"/>
  <c r="BR90" i="67"/>
  <c r="BS97" i="67"/>
  <c r="H141" i="154"/>
  <c r="Q141" i="154" s="1"/>
  <c r="Q93" i="154"/>
  <c r="BR89" i="67"/>
  <c r="J99" i="75"/>
  <c r="G99" i="38"/>
  <c r="G99" i="28"/>
  <c r="J74" i="75"/>
  <c r="G74" i="38"/>
  <c r="G74" i="28"/>
  <c r="G47" i="38"/>
  <c r="J47" i="75"/>
  <c r="G47" i="28"/>
  <c r="J64" i="154"/>
  <c r="S64" i="154" s="1"/>
  <c r="J64" i="153"/>
  <c r="S64" i="153" s="1"/>
  <c r="J73" i="154"/>
  <c r="S73" i="154" s="1"/>
  <c r="J73" i="153"/>
  <c r="S73" i="153" s="1"/>
  <c r="J67" i="153"/>
  <c r="S67" i="153" s="1"/>
  <c r="J67" i="154"/>
  <c r="S67" i="154" s="1"/>
  <c r="BQ97" i="67"/>
  <c r="N82" i="152"/>
  <c r="H130" i="152"/>
  <c r="N130" i="152" s="1"/>
  <c r="J42" i="75"/>
  <c r="G42" i="38"/>
  <c r="G42" i="28"/>
  <c r="CA74" i="67"/>
  <c r="H124" i="152"/>
  <c r="N124" i="152" s="1"/>
  <c r="N76" i="152"/>
  <c r="BX91" i="67"/>
  <c r="BN88" i="67"/>
  <c r="J9" i="25"/>
  <c r="T10" i="25" s="1"/>
  <c r="AK12" i="24"/>
  <c r="AM12" i="24" s="1"/>
  <c r="E51" i="25"/>
  <c r="BM7" i="17"/>
  <c r="BN7" i="17" s="1"/>
  <c r="BO7" i="17" s="1"/>
  <c r="AJ20" i="57" s="1"/>
  <c r="AB6" i="23"/>
  <c r="Q83" i="154"/>
  <c r="H131" i="154"/>
  <c r="Q131" i="154" s="1"/>
  <c r="CA82" i="67"/>
  <c r="O98" i="151"/>
  <c r="O113" i="151"/>
  <c r="N85" i="152"/>
  <c r="H133" i="152"/>
  <c r="N133" i="152" s="1"/>
  <c r="H125" i="152"/>
  <c r="N125" i="152" s="1"/>
  <c r="N77" i="152"/>
  <c r="G23" i="38"/>
  <c r="J23" i="75"/>
  <c r="G23" i="28"/>
  <c r="J85" i="75"/>
  <c r="G85" i="38"/>
  <c r="G85" i="28"/>
  <c r="J82" i="75"/>
  <c r="G82" i="38"/>
  <c r="G82" i="28"/>
  <c r="G31" i="38"/>
  <c r="J31" i="75"/>
  <c r="G31" i="28"/>
  <c r="H114" i="153"/>
  <c r="Q114" i="153" s="1"/>
  <c r="H114" i="154"/>
  <c r="Q114" i="154" s="1"/>
  <c r="H114" i="152"/>
  <c r="N114" i="152" s="1"/>
  <c r="H114" i="151"/>
  <c r="N114" i="151" s="1"/>
  <c r="O114" i="151" s="1"/>
  <c r="H114" i="30"/>
  <c r="H114" i="34"/>
  <c r="J65" i="154"/>
  <c r="S65" i="154" s="1"/>
  <c r="J65" i="153"/>
  <c r="S65" i="153" s="1"/>
  <c r="H99" i="154"/>
  <c r="Q99" i="154" s="1"/>
  <c r="H99" i="153"/>
  <c r="Q99" i="153" s="1"/>
  <c r="H99" i="151"/>
  <c r="N99" i="151" s="1"/>
  <c r="O99" i="151" s="1"/>
  <c r="H99" i="34"/>
  <c r="H99" i="152"/>
  <c r="N99" i="152" s="1"/>
  <c r="H99" i="30"/>
  <c r="J19" i="75"/>
  <c r="G19" i="38"/>
  <c r="G19" i="28"/>
  <c r="J102" i="75"/>
  <c r="G102" i="38"/>
  <c r="G102" i="28"/>
  <c r="Q131" i="65"/>
  <c r="M129" i="152"/>
  <c r="J69" i="75"/>
  <c r="G69" i="38"/>
  <c r="G69" i="28"/>
  <c r="Q82" i="154"/>
  <c r="H130" i="154"/>
  <c r="Q130" i="154" s="1"/>
  <c r="BO89" i="67"/>
  <c r="BS86" i="67"/>
  <c r="BQ95" i="67"/>
  <c r="H138" i="154"/>
  <c r="Q138" i="154" s="1"/>
  <c r="Q90" i="154"/>
  <c r="Q76" i="154"/>
  <c r="H124" i="154"/>
  <c r="Q124" i="154" s="1"/>
  <c r="BO95" i="67"/>
  <c r="L28" i="25"/>
  <c r="L24" i="24"/>
  <c r="L25" i="24"/>
  <c r="G31" i="25"/>
  <c r="AM9" i="24"/>
  <c r="K6" i="24"/>
  <c r="D6" i="25"/>
  <c r="C6" i="25"/>
  <c r="K5" i="24"/>
  <c r="D29" i="25"/>
  <c r="BO86" i="67"/>
  <c r="J52" i="75"/>
  <c r="G52" i="38"/>
  <c r="G52" i="28"/>
  <c r="H126" i="154"/>
  <c r="Q126" i="154" s="1"/>
  <c r="Q78" i="154"/>
  <c r="BV90" i="67"/>
  <c r="G113" i="38"/>
  <c r="G113" i="28"/>
  <c r="J113" i="75"/>
  <c r="BU97" i="67"/>
  <c r="H128" i="152"/>
  <c r="N128" i="152" s="1"/>
  <c r="N80" i="152"/>
  <c r="BT89" i="67"/>
  <c r="Q85" i="154"/>
  <c r="H133" i="154"/>
  <c r="Q133" i="154" s="1"/>
  <c r="BT96" i="67"/>
  <c r="S11" i="67"/>
  <c r="X7" i="67"/>
  <c r="X3" i="67"/>
  <c r="X10" i="67"/>
  <c r="S6" i="67"/>
  <c r="S10" i="67"/>
  <c r="X6" i="67"/>
  <c r="X13" i="67"/>
  <c r="X9" i="67"/>
  <c r="S5" i="67"/>
  <c r="S13" i="67"/>
  <c r="S9" i="67"/>
  <c r="X5" i="67"/>
  <c r="D5" i="153" s="1"/>
  <c r="X12" i="67"/>
  <c r="X8" i="67"/>
  <c r="S4" i="67"/>
  <c r="S12" i="67"/>
  <c r="S8" i="67"/>
  <c r="X4" i="67"/>
  <c r="X11" i="67"/>
  <c r="S7" i="67"/>
  <c r="S3" i="67"/>
  <c r="D10" i="151"/>
  <c r="P10" i="151" s="1"/>
  <c r="Q10" i="151" s="1"/>
  <c r="D7" i="152"/>
  <c r="D6" i="151"/>
  <c r="P6" i="151" s="1"/>
  <c r="Q6" i="151" s="1"/>
  <c r="D6" i="152"/>
  <c r="X2" i="67"/>
  <c r="AV5" i="17"/>
  <c r="S2" i="67"/>
  <c r="AK5" i="17"/>
  <c r="K116" i="77"/>
  <c r="EU104" i="4"/>
  <c r="EV104" i="4"/>
  <c r="EV115" i="4"/>
  <c r="EU115" i="4"/>
  <c r="EV111" i="4"/>
  <c r="EU111" i="4"/>
  <c r="EU100" i="4"/>
  <c r="EV100" i="4"/>
  <c r="EU114" i="4"/>
  <c r="EV114" i="4"/>
  <c r="EU101" i="4"/>
  <c r="EV101" i="4"/>
  <c r="EU108" i="4"/>
  <c r="EV108" i="4"/>
  <c r="EU98" i="4"/>
  <c r="EV98" i="4"/>
  <c r="EU113" i="4"/>
  <c r="EV113" i="4"/>
  <c r="EU110" i="4"/>
  <c r="EV110" i="4"/>
  <c r="EV105" i="4"/>
  <c r="EU105" i="4"/>
  <c r="EV102" i="4"/>
  <c r="EU102" i="4"/>
  <c r="EV109" i="4"/>
  <c r="EU109" i="4"/>
  <c r="EU106" i="4"/>
  <c r="EV106" i="4"/>
  <c r="EV103" i="4"/>
  <c r="EU103" i="4"/>
  <c r="EU99" i="4"/>
  <c r="EV99" i="4"/>
  <c r="EV112" i="4"/>
  <c r="EU112" i="4"/>
  <c r="EV107" i="4"/>
  <c r="EU107" i="4"/>
  <c r="EV121" i="4"/>
  <c r="EU121" i="4"/>
  <c r="EU120" i="4"/>
  <c r="EV120" i="4"/>
  <c r="EU119" i="4"/>
  <c r="EV119" i="4"/>
  <c r="EU118" i="4"/>
  <c r="EV118" i="4"/>
  <c r="EU117" i="4"/>
  <c r="EV117" i="4"/>
  <c r="EV116" i="4"/>
  <c r="EU116" i="4"/>
  <c r="C41" i="72"/>
  <c r="I42" i="72"/>
  <c r="D138" i="65"/>
  <c r="N138" i="65" s="1"/>
  <c r="G146" i="65"/>
  <c r="D136" i="65"/>
  <c r="N136" i="65" s="1"/>
  <c r="D145" i="65"/>
  <c r="N145" i="65" s="1"/>
  <c r="G137" i="65"/>
  <c r="D137" i="65"/>
  <c r="N137" i="65" s="1"/>
  <c r="G144" i="65"/>
  <c r="E144" i="65"/>
  <c r="O144" i="65" s="1"/>
  <c r="E143" i="65"/>
  <c r="O143" i="65" s="1"/>
  <c r="E147" i="65"/>
  <c r="O147" i="65" s="1"/>
  <c r="E139" i="65"/>
  <c r="O139" i="65" s="1"/>
  <c r="C10" i="25"/>
  <c r="C8" i="74"/>
  <c r="C8" i="25"/>
  <c r="F147" i="65"/>
  <c r="E146" i="65"/>
  <c r="O146" i="65" s="1"/>
  <c r="F136" i="65"/>
  <c r="F137" i="65"/>
  <c r="F141" i="65"/>
  <c r="G139" i="65"/>
  <c r="G136" i="65"/>
  <c r="D146" i="65"/>
  <c r="N146" i="65" s="1"/>
  <c r="D144" i="65"/>
  <c r="N144" i="65" s="1"/>
  <c r="F138" i="65"/>
  <c r="G145" i="65"/>
  <c r="G138" i="65"/>
  <c r="F146" i="65"/>
  <c r="F145" i="65"/>
  <c r="G140" i="65"/>
  <c r="E140" i="65"/>
  <c r="O140" i="65" s="1"/>
  <c r="G141" i="65"/>
  <c r="D142" i="65"/>
  <c r="N142" i="65" s="1"/>
  <c r="E141" i="65"/>
  <c r="O141" i="65" s="1"/>
  <c r="E136" i="65"/>
  <c r="O136" i="65" s="1"/>
  <c r="G147" i="65"/>
  <c r="F144" i="65"/>
  <c r="F139" i="65"/>
  <c r="D147" i="65"/>
  <c r="N147" i="65" s="1"/>
  <c r="E137" i="65"/>
  <c r="O137" i="65" s="1"/>
  <c r="D143" i="65"/>
  <c r="N143" i="65" s="1"/>
  <c r="E138" i="65"/>
  <c r="O138" i="65" s="1"/>
  <c r="F142" i="65"/>
  <c r="G142" i="65"/>
  <c r="F140" i="65"/>
  <c r="G143" i="65"/>
  <c r="F143" i="65"/>
  <c r="D139" i="65"/>
  <c r="N139" i="65" s="1"/>
  <c r="D140" i="65"/>
  <c r="N140" i="65" s="1"/>
  <c r="CB80" i="67"/>
  <c r="L80" i="156" s="1"/>
  <c r="BY94" i="67"/>
  <c r="K101" i="77"/>
  <c r="K109" i="77"/>
  <c r="CB75" i="67"/>
  <c r="L75" i="156" s="1"/>
  <c r="K102" i="77"/>
  <c r="BY95" i="67"/>
  <c r="K105" i="77"/>
  <c r="CB85" i="67"/>
  <c r="L85" i="156" s="1"/>
  <c r="BY91" i="67"/>
  <c r="K108" i="77"/>
  <c r="CB84" i="67"/>
  <c r="L84" i="156" s="1"/>
  <c r="BY87" i="67"/>
  <c r="BY90" i="67"/>
  <c r="K110" i="77"/>
  <c r="CB78" i="67"/>
  <c r="L78" i="156" s="1"/>
  <c r="K104" i="77"/>
  <c r="CB81" i="67"/>
  <c r="L81" i="156" s="1"/>
  <c r="CB76" i="67"/>
  <c r="L76" i="156" s="1"/>
  <c r="K103" i="77"/>
  <c r="CB79" i="67"/>
  <c r="L79" i="156" s="1"/>
  <c r="BY92" i="67"/>
  <c r="K115" i="77"/>
  <c r="K113" i="77"/>
  <c r="CB74" i="67"/>
  <c r="L74" i="156" s="1"/>
  <c r="BY86" i="67"/>
  <c r="BY97" i="67"/>
  <c r="CB83" i="67"/>
  <c r="L83" i="156" s="1"/>
  <c r="BY89" i="67"/>
  <c r="K106" i="77"/>
  <c r="K111" i="77"/>
  <c r="CB77" i="67"/>
  <c r="L77" i="156" s="1"/>
  <c r="BY88" i="67"/>
  <c r="K100" i="77"/>
  <c r="K107" i="77"/>
  <c r="CB82" i="67"/>
  <c r="L82" i="156" s="1"/>
  <c r="K99" i="77"/>
  <c r="K114" i="77"/>
  <c r="BY93" i="67"/>
  <c r="K98" i="77"/>
  <c r="BY96" i="67"/>
  <c r="K112" i="77"/>
  <c r="L38" i="148"/>
  <c r="L39" i="148"/>
  <c r="L40" i="148"/>
  <c r="L41" i="148"/>
  <c r="L42" i="148"/>
  <c r="L43" i="148"/>
  <c r="L44" i="148"/>
  <c r="L45" i="148"/>
  <c r="L46" i="148"/>
  <c r="K60" i="148"/>
  <c r="K58" i="148"/>
  <c r="K57" i="148"/>
  <c r="K56" i="148"/>
  <c r="K55" i="148"/>
  <c r="K54" i="148"/>
  <c r="K53" i="148"/>
  <c r="K52" i="148"/>
  <c r="K51" i="148"/>
  <c r="K49" i="148"/>
  <c r="K48" i="148"/>
  <c r="K47" i="148"/>
  <c r="K46" i="148"/>
  <c r="K45" i="148"/>
  <c r="K44" i="148"/>
  <c r="K43" i="148"/>
  <c r="K42" i="148"/>
  <c r="K41" i="148"/>
  <c r="K39" i="148"/>
  <c r="K38" i="148"/>
  <c r="K37" i="148"/>
  <c r="K36" i="148"/>
  <c r="K35" i="148"/>
  <c r="K34" i="148"/>
  <c r="K33" i="148"/>
  <c r="K32" i="148"/>
  <c r="K31" i="148"/>
  <c r="K30" i="148"/>
  <c r="K28" i="148"/>
  <c r="K27" i="148"/>
  <c r="K26" i="148"/>
  <c r="K25" i="148"/>
  <c r="K24" i="148"/>
  <c r="K23" i="148"/>
  <c r="K22" i="148"/>
  <c r="K21" i="148"/>
  <c r="K20" i="148"/>
  <c r="K19" i="148"/>
  <c r="K18" i="148"/>
  <c r="K16" i="148"/>
  <c r="K15" i="148"/>
  <c r="K14" i="148"/>
  <c r="K13" i="148"/>
  <c r="K12" i="148"/>
  <c r="K11" i="148"/>
  <c r="K10" i="148"/>
  <c r="K9" i="148"/>
  <c r="K8" i="148"/>
  <c r="K7" i="148"/>
  <c r="K6" i="148"/>
  <c r="O12" i="148"/>
  <c r="N12" i="148"/>
  <c r="M12" i="148"/>
  <c r="O11" i="148"/>
  <c r="N11" i="148"/>
  <c r="M11" i="148"/>
  <c r="O10" i="148"/>
  <c r="N10" i="148"/>
  <c r="M10" i="148"/>
  <c r="O9" i="148"/>
  <c r="N9" i="148"/>
  <c r="M9" i="148"/>
  <c r="O8" i="148"/>
  <c r="N8" i="148"/>
  <c r="M8" i="148"/>
  <c r="O7" i="148"/>
  <c r="N7" i="148"/>
  <c r="M7" i="148"/>
  <c r="X24" i="23"/>
  <c r="X25" i="23"/>
  <c r="X27" i="23"/>
  <c r="AF27" i="23"/>
  <c r="D25" i="23"/>
  <c r="W2" i="25"/>
  <c r="X2" i="25"/>
  <c r="V2" i="25"/>
  <c r="R5" i="25"/>
  <c r="R4" i="25"/>
  <c r="P146" i="65" l="1"/>
  <c r="H144" i="155"/>
  <c r="N144" i="155" s="1"/>
  <c r="G144" i="152"/>
  <c r="P141" i="65"/>
  <c r="H139" i="155"/>
  <c r="N139" i="155" s="1"/>
  <c r="G139" i="152"/>
  <c r="P137" i="65"/>
  <c r="H135" i="155"/>
  <c r="N135" i="155" s="1"/>
  <c r="G135" i="152"/>
  <c r="P143" i="65"/>
  <c r="H141" i="155"/>
  <c r="N141" i="155" s="1"/>
  <c r="G141" i="152"/>
  <c r="P138" i="65"/>
  <c r="H136" i="155"/>
  <c r="N136" i="155" s="1"/>
  <c r="G136" i="152"/>
  <c r="P139" i="65"/>
  <c r="H137" i="155"/>
  <c r="N137" i="155" s="1"/>
  <c r="G137" i="152"/>
  <c r="P136" i="65"/>
  <c r="H134" i="155"/>
  <c r="N134" i="155" s="1"/>
  <c r="G134" i="152"/>
  <c r="M134" i="152" s="1"/>
  <c r="V32" i="57"/>
  <c r="M32" i="57"/>
  <c r="P145" i="65"/>
  <c r="H143" i="155"/>
  <c r="N143" i="155" s="1"/>
  <c r="G143" i="152"/>
  <c r="P144" i="65"/>
  <c r="H142" i="155"/>
  <c r="N142" i="155" s="1"/>
  <c r="G142" i="152"/>
  <c r="P140" i="65"/>
  <c r="H138" i="155"/>
  <c r="N138" i="155" s="1"/>
  <c r="G138" i="152"/>
  <c r="P142" i="65"/>
  <c r="H140" i="155"/>
  <c r="N140" i="155" s="1"/>
  <c r="G140" i="152"/>
  <c r="P147" i="65"/>
  <c r="H145" i="155"/>
  <c r="N145" i="155" s="1"/>
  <c r="G145" i="152"/>
  <c r="AJ32" i="57"/>
  <c r="AL32" i="57" s="1"/>
  <c r="AL10" i="57"/>
  <c r="AM12" i="57" s="1"/>
  <c r="DS6" i="4"/>
  <c r="AJ33" i="57"/>
  <c r="AL33" i="57" s="1"/>
  <c r="AL5" i="57"/>
  <c r="AM8" i="57"/>
  <c r="AM9" i="57"/>
  <c r="AM13" i="57"/>
  <c r="V18" i="57"/>
  <c r="V19" i="57" s="1"/>
  <c r="V20" i="57" s="1"/>
  <c r="V21" i="57" s="1"/>
  <c r="V22" i="57" s="1"/>
  <c r="V23" i="57" s="1"/>
  <c r="V24" i="57" s="1"/>
  <c r="V25" i="57" s="1"/>
  <c r="V26" i="57" s="1"/>
  <c r="V27" i="57" s="1"/>
  <c r="V28" i="57" s="1"/>
  <c r="V29" i="57" s="1"/>
  <c r="AK18" i="24"/>
  <c r="AJ26" i="57"/>
  <c r="D3" i="152"/>
  <c r="DS10" i="4"/>
  <c r="AM11" i="57"/>
  <c r="V10" i="25"/>
  <c r="V8" i="25"/>
  <c r="D8" i="156"/>
  <c r="D9" i="156"/>
  <c r="D12" i="155"/>
  <c r="D4" i="155"/>
  <c r="D13" i="156"/>
  <c r="D6" i="156"/>
  <c r="D11" i="155"/>
  <c r="D3" i="155"/>
  <c r="D12" i="156"/>
  <c r="D10" i="155"/>
  <c r="D2" i="155"/>
  <c r="D7" i="155"/>
  <c r="D5" i="156"/>
  <c r="D6" i="155"/>
  <c r="N41" i="148"/>
  <c r="D2" i="156"/>
  <c r="D11" i="156"/>
  <c r="D9" i="155"/>
  <c r="D10" i="156"/>
  <c r="AO47" i="17"/>
  <c r="AL47" i="17"/>
  <c r="D4" i="152"/>
  <c r="D4" i="156"/>
  <c r="D13" i="155"/>
  <c r="D3" i="156"/>
  <c r="AZ47" i="17"/>
  <c r="AW47" i="17"/>
  <c r="D6" i="154"/>
  <c r="D8" i="155"/>
  <c r="D5" i="155"/>
  <c r="D7" i="156"/>
  <c r="DS3" i="4"/>
  <c r="D6" i="153"/>
  <c r="DS7" i="4"/>
  <c r="D7" i="151"/>
  <c r="P7" i="151" s="1"/>
  <c r="Q7" i="151" s="1"/>
  <c r="V25" i="24"/>
  <c r="D8" i="154"/>
  <c r="D13" i="153"/>
  <c r="D9" i="151"/>
  <c r="P9" i="151" s="1"/>
  <c r="Q9" i="151" s="1"/>
  <c r="D4" i="153"/>
  <c r="DS4" i="4"/>
  <c r="D11" i="152"/>
  <c r="D4" i="151"/>
  <c r="P4" i="151" s="1"/>
  <c r="Q4" i="151" s="1"/>
  <c r="D11" i="153"/>
  <c r="D5" i="154"/>
  <c r="D12" i="154"/>
  <c r="D7" i="153"/>
  <c r="D4" i="154"/>
  <c r="DS8" i="4"/>
  <c r="DS13" i="4"/>
  <c r="V14" i="24"/>
  <c r="W14" i="24" s="1"/>
  <c r="DS11" i="4"/>
  <c r="D11" i="151"/>
  <c r="P11" i="151" s="1"/>
  <c r="Q11" i="151" s="1"/>
  <c r="D3" i="151"/>
  <c r="P3" i="151" s="1"/>
  <c r="Q3" i="151" s="1"/>
  <c r="D11" i="154"/>
  <c r="D8" i="151"/>
  <c r="P8" i="151" s="1"/>
  <c r="Q8" i="151" s="1"/>
  <c r="AN9" i="24"/>
  <c r="D8" i="153"/>
  <c r="D13" i="151"/>
  <c r="P13" i="151" s="1"/>
  <c r="Q13" i="151" s="1"/>
  <c r="D9" i="152"/>
  <c r="D13" i="152"/>
  <c r="DS9" i="4"/>
  <c r="D13" i="154"/>
  <c r="D9" i="153"/>
  <c r="D9" i="154"/>
  <c r="D10" i="152"/>
  <c r="AN7" i="24"/>
  <c r="BN15" i="17"/>
  <c r="BO14" i="17"/>
  <c r="AJ27" i="57" s="1"/>
  <c r="AN12" i="24"/>
  <c r="AN13" i="24"/>
  <c r="AN14" i="24"/>
  <c r="Q136" i="65"/>
  <c r="BT99" i="67"/>
  <c r="BW104" i="67"/>
  <c r="BR109" i="67"/>
  <c r="BV109" i="67"/>
  <c r="CA91" i="67"/>
  <c r="BS103" i="67"/>
  <c r="BV105" i="67"/>
  <c r="BV102" i="67"/>
  <c r="BX108" i="67"/>
  <c r="BT104" i="67"/>
  <c r="J76" i="153"/>
  <c r="S76" i="153" s="1"/>
  <c r="J76" i="154"/>
  <c r="S76" i="154" s="1"/>
  <c r="Q139" i="65"/>
  <c r="M137" i="152"/>
  <c r="Q137" i="65"/>
  <c r="M135" i="152"/>
  <c r="D7" i="154"/>
  <c r="BT108" i="67"/>
  <c r="BS98" i="67"/>
  <c r="BZ90" i="67"/>
  <c r="BP109" i="67"/>
  <c r="BN103" i="67"/>
  <c r="BP108" i="67"/>
  <c r="BW98" i="67"/>
  <c r="BP105" i="67"/>
  <c r="BW108" i="67"/>
  <c r="BQ103" i="67"/>
  <c r="BS108" i="67"/>
  <c r="BN107" i="67"/>
  <c r="BO101" i="67"/>
  <c r="BT106" i="67"/>
  <c r="BQ98" i="67"/>
  <c r="BO99" i="67"/>
  <c r="BR100" i="67"/>
  <c r="AN10" i="24"/>
  <c r="AN11" i="24"/>
  <c r="BX106" i="67"/>
  <c r="BS99" i="67"/>
  <c r="BO109" i="67"/>
  <c r="CA87" i="67"/>
  <c r="BZ89" i="67"/>
  <c r="BQ100" i="67"/>
  <c r="BP99" i="67"/>
  <c r="CA89" i="67"/>
  <c r="BV101" i="67"/>
  <c r="BX102" i="67"/>
  <c r="CA92" i="67"/>
  <c r="CA88" i="67"/>
  <c r="BU103" i="67"/>
  <c r="D10" i="154"/>
  <c r="J81" i="153"/>
  <c r="S81" i="153" s="1"/>
  <c r="J81" i="154"/>
  <c r="S81" i="154" s="1"/>
  <c r="Q146" i="65"/>
  <c r="M144" i="152"/>
  <c r="D10" i="153"/>
  <c r="BX98" i="67"/>
  <c r="BR108" i="67"/>
  <c r="BX99" i="67"/>
  <c r="BQ101" i="67"/>
  <c r="BS106" i="67"/>
  <c r="BZ94" i="67"/>
  <c r="BR101" i="67"/>
  <c r="BP107" i="67"/>
  <c r="CA90" i="67"/>
  <c r="CA93" i="67"/>
  <c r="BP103" i="67"/>
  <c r="BN108" i="67"/>
  <c r="BT103" i="67"/>
  <c r="BV104" i="67"/>
  <c r="BU101" i="67"/>
  <c r="BW107" i="67"/>
  <c r="BQ108" i="67"/>
  <c r="BV100" i="67"/>
  <c r="BZ91" i="67"/>
  <c r="BN102" i="67"/>
  <c r="BN106" i="67"/>
  <c r="BO105" i="67"/>
  <c r="BV106" i="67"/>
  <c r="J84" i="153"/>
  <c r="S84" i="153" s="1"/>
  <c r="J84" i="154"/>
  <c r="S84" i="154" s="1"/>
  <c r="CA86" i="67"/>
  <c r="BU100" i="67"/>
  <c r="BP102" i="67"/>
  <c r="J74" i="154"/>
  <c r="S74" i="154" s="1"/>
  <c r="J74" i="153"/>
  <c r="S74" i="153" s="1"/>
  <c r="J85" i="153"/>
  <c r="S85" i="153" s="1"/>
  <c r="J85" i="154"/>
  <c r="S85" i="154" s="1"/>
  <c r="J80" i="153"/>
  <c r="S80" i="153" s="1"/>
  <c r="J80" i="154"/>
  <c r="S80" i="154" s="1"/>
  <c r="Q141" i="65"/>
  <c r="M139" i="152"/>
  <c r="D8" i="152"/>
  <c r="BT101" i="67"/>
  <c r="BW106" i="67"/>
  <c r="BN104" i="67"/>
  <c r="AK25" i="24"/>
  <c r="AM25" i="24" s="1"/>
  <c r="AK24" i="24"/>
  <c r="AM24" i="24" s="1"/>
  <c r="BV107" i="67"/>
  <c r="BX101" i="67"/>
  <c r="BT100" i="67"/>
  <c r="BZ87" i="67"/>
  <c r="BQ106" i="67"/>
  <c r="J82" i="154"/>
  <c r="S82" i="154" s="1"/>
  <c r="J82" i="153"/>
  <c r="S82" i="153" s="1"/>
  <c r="BV103" i="67"/>
  <c r="J78" i="154"/>
  <c r="S78" i="154" s="1"/>
  <c r="J78" i="153"/>
  <c r="S78" i="153" s="1"/>
  <c r="BO98" i="67"/>
  <c r="BQ104" i="67"/>
  <c r="AN8" i="24"/>
  <c r="W9" i="24"/>
  <c r="BQ99" i="67"/>
  <c r="BS101" i="67"/>
  <c r="BQ102" i="67"/>
  <c r="BT109" i="67"/>
  <c r="BW105" i="67"/>
  <c r="BW99" i="67"/>
  <c r="BO107" i="67"/>
  <c r="BS109" i="67"/>
  <c r="BZ97" i="67"/>
  <c r="BQ105" i="67"/>
  <c r="BO100" i="67"/>
  <c r="BZ93" i="67"/>
  <c r="BX105" i="67"/>
  <c r="BP100" i="67"/>
  <c r="BS102" i="67"/>
  <c r="BR98" i="67"/>
  <c r="BR106" i="67"/>
  <c r="I104" i="65"/>
  <c r="AJ101" i="67"/>
  <c r="W18" i="67"/>
  <c r="R26" i="67"/>
  <c r="W34" i="67"/>
  <c r="R42" i="67"/>
  <c r="W50" i="67"/>
  <c r="W54" i="67"/>
  <c r="R58" i="67"/>
  <c r="R62" i="67"/>
  <c r="W66" i="67"/>
  <c r="R18" i="67"/>
  <c r="W26" i="67"/>
  <c r="R34" i="67"/>
  <c r="W42" i="67"/>
  <c r="R50" i="67"/>
  <c r="R54" i="67"/>
  <c r="W58" i="67"/>
  <c r="W62" i="67"/>
  <c r="R66" i="67"/>
  <c r="R73" i="67"/>
  <c r="W19" i="67"/>
  <c r="R27" i="67"/>
  <c r="W35" i="67"/>
  <c r="R43" i="67"/>
  <c r="W70" i="67"/>
  <c r="W73" i="67"/>
  <c r="R19" i="67"/>
  <c r="W27" i="67"/>
  <c r="R35" i="67"/>
  <c r="W43" i="67"/>
  <c r="R70" i="67"/>
  <c r="W20" i="67"/>
  <c r="R28" i="67"/>
  <c r="W36" i="67"/>
  <c r="R44" i="67"/>
  <c r="W51" i="67"/>
  <c r="W55" i="67"/>
  <c r="R59" i="67"/>
  <c r="R63" i="67"/>
  <c r="W67" i="67"/>
  <c r="R20" i="67"/>
  <c r="W28" i="67"/>
  <c r="R36" i="67"/>
  <c r="W44" i="67"/>
  <c r="R51" i="67"/>
  <c r="R55" i="67"/>
  <c r="W59" i="67"/>
  <c r="W63" i="67"/>
  <c r="R67" i="67"/>
  <c r="W21" i="67"/>
  <c r="R29" i="67"/>
  <c r="W37" i="67"/>
  <c r="R45" i="67"/>
  <c r="R21" i="67"/>
  <c r="W29" i="67"/>
  <c r="R37" i="67"/>
  <c r="W45" i="67"/>
  <c r="W71" i="67"/>
  <c r="R14" i="67"/>
  <c r="W22" i="67"/>
  <c r="R30" i="67"/>
  <c r="W38" i="67"/>
  <c r="R46" i="67"/>
  <c r="W52" i="67"/>
  <c r="R56" i="67"/>
  <c r="R60" i="67"/>
  <c r="W64" i="67"/>
  <c r="W68" i="67"/>
  <c r="R71" i="67"/>
  <c r="W14" i="67"/>
  <c r="R22" i="67"/>
  <c r="W30" i="67"/>
  <c r="R38" i="67"/>
  <c r="W46" i="67"/>
  <c r="R52" i="67"/>
  <c r="W56" i="67"/>
  <c r="W60" i="67"/>
  <c r="R64" i="67"/>
  <c r="R68" i="67"/>
  <c r="R15" i="67"/>
  <c r="W23" i="67"/>
  <c r="R31" i="67"/>
  <c r="W39" i="67"/>
  <c r="R47" i="67"/>
  <c r="W15" i="67"/>
  <c r="R23" i="67"/>
  <c r="W31" i="67"/>
  <c r="R39" i="67"/>
  <c r="W47" i="67"/>
  <c r="W16" i="67"/>
  <c r="R24" i="67"/>
  <c r="W32" i="67"/>
  <c r="R40" i="67"/>
  <c r="W48" i="67"/>
  <c r="W53" i="67"/>
  <c r="R57" i="67"/>
  <c r="R61" i="67"/>
  <c r="W65" i="67"/>
  <c r="R72" i="67"/>
  <c r="R16" i="67"/>
  <c r="W40" i="67"/>
  <c r="R53" i="67"/>
  <c r="W61" i="67"/>
  <c r="W69" i="67"/>
  <c r="W72" i="67"/>
  <c r="W24" i="67"/>
  <c r="R32" i="67"/>
  <c r="R48" i="67"/>
  <c r="W57" i="67"/>
  <c r="R65" i="67"/>
  <c r="W17" i="67"/>
  <c r="R25" i="67"/>
  <c r="W33" i="67"/>
  <c r="R41" i="67"/>
  <c r="W49" i="67"/>
  <c r="R69" i="67"/>
  <c r="R17" i="67"/>
  <c r="W25" i="67"/>
  <c r="R33" i="67"/>
  <c r="W41" i="67"/>
  <c r="R49" i="67"/>
  <c r="Q140" i="65"/>
  <c r="M138" i="152"/>
  <c r="BU109" i="67"/>
  <c r="W13" i="24"/>
  <c r="BZ96" i="67"/>
  <c r="BV108" i="67"/>
  <c r="BU104" i="67"/>
  <c r="BO103" i="67"/>
  <c r="BT102" i="67"/>
  <c r="J83" i="153"/>
  <c r="S83" i="153" s="1"/>
  <c r="J83" i="154"/>
  <c r="S83" i="154" s="1"/>
  <c r="J77" i="153"/>
  <c r="S77" i="153" s="1"/>
  <c r="J77" i="154"/>
  <c r="S77" i="154" s="1"/>
  <c r="D5" i="152"/>
  <c r="DS5" i="4"/>
  <c r="D12" i="152"/>
  <c r="Q138" i="65"/>
  <c r="M136" i="152"/>
  <c r="D5" i="151"/>
  <c r="P5" i="151" s="1"/>
  <c r="Q5" i="151" s="1"/>
  <c r="DS12" i="4"/>
  <c r="W8" i="24"/>
  <c r="BR102" i="67"/>
  <c r="BW101" i="67"/>
  <c r="BO108" i="67"/>
  <c r="BP104" i="67"/>
  <c r="BT98" i="67"/>
  <c r="BW100" i="67"/>
  <c r="BR99" i="67"/>
  <c r="BV99" i="67"/>
  <c r="BR104" i="67"/>
  <c r="BX104" i="67"/>
  <c r="BN99" i="67"/>
  <c r="BV98" i="67"/>
  <c r="BT107" i="67"/>
  <c r="BX107" i="67"/>
  <c r="BS104" i="67"/>
  <c r="BW103" i="67"/>
  <c r="BS100" i="67"/>
  <c r="BZ86" i="67"/>
  <c r="BR105" i="67"/>
  <c r="BR107" i="67"/>
  <c r="BX100" i="67"/>
  <c r="BO106" i="67"/>
  <c r="BW109" i="67"/>
  <c r="BS105" i="67"/>
  <c r="BP98" i="67"/>
  <c r="CA95" i="67"/>
  <c r="BU108" i="67"/>
  <c r="CA97" i="67"/>
  <c r="BQ107" i="67"/>
  <c r="AM18" i="24"/>
  <c r="AM19" i="24" s="1"/>
  <c r="AM20" i="24" s="1"/>
  <c r="AM21" i="24" s="1"/>
  <c r="V10" i="24"/>
  <c r="W10" i="24" s="1"/>
  <c r="BZ95" i="67"/>
  <c r="BX109" i="67"/>
  <c r="BO102" i="67"/>
  <c r="BP101" i="67"/>
  <c r="BN98" i="67"/>
  <c r="BU99" i="67"/>
  <c r="Q143" i="65"/>
  <c r="M141" i="152"/>
  <c r="D12" i="151"/>
  <c r="P12" i="151" s="1"/>
  <c r="Q12" i="151" s="1"/>
  <c r="BN100" i="67"/>
  <c r="J79" i="153"/>
  <c r="S79" i="153" s="1"/>
  <c r="J79" i="154"/>
  <c r="S79" i="154" s="1"/>
  <c r="J75" i="153"/>
  <c r="S75" i="153" s="1"/>
  <c r="J75" i="154"/>
  <c r="S75" i="154" s="1"/>
  <c r="Q142" i="65"/>
  <c r="M140" i="152"/>
  <c r="D3" i="153"/>
  <c r="D12" i="153"/>
  <c r="BX103" i="67"/>
  <c r="BQ109" i="67"/>
  <c r="BR103" i="67"/>
  <c r="BU106" i="67"/>
  <c r="CA96" i="67"/>
  <c r="BN105" i="67"/>
  <c r="V24" i="24"/>
  <c r="BP106" i="67"/>
  <c r="BU98" i="67"/>
  <c r="BW102" i="67"/>
  <c r="BN109" i="67"/>
  <c r="BN101" i="67"/>
  <c r="BO104" i="67"/>
  <c r="BU102" i="67"/>
  <c r="Q145" i="65"/>
  <c r="M143" i="152"/>
  <c r="D3" i="154"/>
  <c r="Q147" i="65"/>
  <c r="M145" i="152"/>
  <c r="Q144" i="65"/>
  <c r="M142" i="152"/>
  <c r="CA94" i="67"/>
  <c r="BZ92" i="67"/>
  <c r="BS107" i="67"/>
  <c r="BU105" i="67"/>
  <c r="BZ88" i="67"/>
  <c r="BU107" i="67"/>
  <c r="BT105" i="67"/>
  <c r="W7" i="24"/>
  <c r="AO5" i="17"/>
  <c r="AL5" i="17"/>
  <c r="D2" i="151"/>
  <c r="P2" i="151" s="1"/>
  <c r="Q2" i="151" s="1"/>
  <c r="DS2" i="4"/>
  <c r="D2" i="152"/>
  <c r="AZ5" i="17"/>
  <c r="AW5" i="17"/>
  <c r="D2" i="153"/>
  <c r="D2" i="154"/>
  <c r="C43" i="72"/>
  <c r="I41" i="72"/>
  <c r="I43" i="72" s="1"/>
  <c r="M37" i="148"/>
  <c r="N37" i="148"/>
  <c r="O37" i="148"/>
  <c r="BY109" i="67"/>
  <c r="CB96" i="67"/>
  <c r="L96" i="156" s="1"/>
  <c r="CB94" i="67"/>
  <c r="L94" i="156" s="1"/>
  <c r="CB89" i="67"/>
  <c r="L89" i="156" s="1"/>
  <c r="BY98" i="67"/>
  <c r="BY106" i="67"/>
  <c r="BY105" i="67"/>
  <c r="BY104" i="67"/>
  <c r="CB93" i="67"/>
  <c r="L93" i="156" s="1"/>
  <c r="BY102" i="67"/>
  <c r="CB95" i="67"/>
  <c r="L95" i="156" s="1"/>
  <c r="BY107" i="67"/>
  <c r="BY108" i="67"/>
  <c r="CB88" i="67"/>
  <c r="L88" i="156" s="1"/>
  <c r="CB90" i="67"/>
  <c r="L90" i="156" s="1"/>
  <c r="BY101" i="67"/>
  <c r="BY99" i="67"/>
  <c r="CB97" i="67"/>
  <c r="L97" i="156" s="1"/>
  <c r="CB92" i="67"/>
  <c r="L92" i="156" s="1"/>
  <c r="BY100" i="67"/>
  <c r="CB91" i="67"/>
  <c r="L91" i="156" s="1"/>
  <c r="CB87" i="67"/>
  <c r="L87" i="156" s="1"/>
  <c r="CB86" i="67"/>
  <c r="L86" i="156" s="1"/>
  <c r="BY103" i="67"/>
  <c r="D24" i="23"/>
  <c r="D28" i="23"/>
  <c r="D27" i="23"/>
  <c r="M114" i="38"/>
  <c r="M114" i="28"/>
  <c r="M112" i="38"/>
  <c r="M112" i="28"/>
  <c r="M110" i="38"/>
  <c r="M110" i="28"/>
  <c r="H28" i="23"/>
  <c r="O115" i="30"/>
  <c r="O110" i="30"/>
  <c r="O113" i="30"/>
  <c r="O112" i="30"/>
  <c r="M115" i="38"/>
  <c r="M115" i="28"/>
  <c r="AF24" i="23"/>
  <c r="M113" i="38"/>
  <c r="M113" i="28"/>
  <c r="O114" i="30"/>
  <c r="X26" i="23"/>
  <c r="L26" i="23"/>
  <c r="L25" i="23"/>
  <c r="AF28" i="23"/>
  <c r="M111" i="38"/>
  <c r="M111" i="28"/>
  <c r="L24" i="23"/>
  <c r="D26" i="23"/>
  <c r="O111" i="30"/>
  <c r="AF26" i="23"/>
  <c r="AF25" i="23"/>
  <c r="L28" i="23"/>
  <c r="L27" i="23"/>
  <c r="X28" i="23"/>
  <c r="N40" i="148"/>
  <c r="I39" i="67" s="1"/>
  <c r="M39" i="148"/>
  <c r="E33" i="67" s="1"/>
  <c r="U12" i="148"/>
  <c r="U9" i="148"/>
  <c r="O42" i="148"/>
  <c r="M65" i="67" s="1"/>
  <c r="O40" i="148"/>
  <c r="M40" i="67" s="1"/>
  <c r="N39" i="148"/>
  <c r="I32" i="67" s="1"/>
  <c r="N42" i="148"/>
  <c r="I67" i="67" s="1"/>
  <c r="U10" i="148"/>
  <c r="M40" i="148"/>
  <c r="E40" i="67" s="1"/>
  <c r="U7" i="148"/>
  <c r="U11" i="148"/>
  <c r="N38" i="148"/>
  <c r="I16" i="67" s="1"/>
  <c r="I55" i="67"/>
  <c r="O39" i="148"/>
  <c r="M26" i="67" s="1"/>
  <c r="O41" i="148"/>
  <c r="M53" i="67" s="1"/>
  <c r="M41" i="148"/>
  <c r="E59" i="67" s="1"/>
  <c r="M38" i="148"/>
  <c r="E24" i="67" s="1"/>
  <c r="U8" i="148"/>
  <c r="K61" i="148"/>
  <c r="O38" i="148"/>
  <c r="M17" i="67" s="1"/>
  <c r="M42" i="148"/>
  <c r="E72" i="67" s="1"/>
  <c r="AM10" i="57" l="1"/>
  <c r="AM7" i="57"/>
  <c r="AL18" i="57"/>
  <c r="AK51" i="17"/>
  <c r="AO51" i="17" s="1"/>
  <c r="AK49" i="17"/>
  <c r="AV52" i="17"/>
  <c r="AV50" i="17"/>
  <c r="AV49" i="17"/>
  <c r="AN19" i="24"/>
  <c r="AK48" i="17"/>
  <c r="AK52" i="17"/>
  <c r="AK50" i="17"/>
  <c r="AV48" i="17"/>
  <c r="AV51" i="17"/>
  <c r="W12" i="24"/>
  <c r="W21" i="24"/>
  <c r="AN18" i="24"/>
  <c r="W11" i="24"/>
  <c r="BO110" i="67"/>
  <c r="BQ120" i="67"/>
  <c r="CA102" i="67"/>
  <c r="BX110" i="67"/>
  <c r="BX114" i="67"/>
  <c r="BN115" i="67"/>
  <c r="BR121" i="67"/>
  <c r="BX119" i="67"/>
  <c r="S44" i="67"/>
  <c r="BY119" i="67"/>
  <c r="BV120" i="67"/>
  <c r="S41" i="67"/>
  <c r="X65" i="67"/>
  <c r="S31" i="67"/>
  <c r="X21" i="67"/>
  <c r="X36" i="67"/>
  <c r="AV10" i="17"/>
  <c r="X62" i="67"/>
  <c r="X18" i="67"/>
  <c r="BO112" i="67"/>
  <c r="BT112" i="67"/>
  <c r="BS111" i="67"/>
  <c r="BU119" i="67"/>
  <c r="X23" i="67"/>
  <c r="BZ100" i="67"/>
  <c r="X63" i="67"/>
  <c r="BX113" i="67"/>
  <c r="BR113" i="67"/>
  <c r="BQ121" i="67"/>
  <c r="S72" i="67"/>
  <c r="X39" i="67"/>
  <c r="BU110" i="67"/>
  <c r="BX115" i="67"/>
  <c r="BQ119" i="67"/>
  <c r="BX112" i="67"/>
  <c r="BT110" i="67"/>
  <c r="X33" i="67"/>
  <c r="S67" i="67"/>
  <c r="BW116" i="67"/>
  <c r="J94" i="154"/>
  <c r="S94" i="154" s="1"/>
  <c r="J94" i="153"/>
  <c r="S94" i="153" s="1"/>
  <c r="S57" i="67"/>
  <c r="X52" i="67"/>
  <c r="BQ117" i="67"/>
  <c r="S46" i="67"/>
  <c r="BZ109" i="67"/>
  <c r="BO118" i="67"/>
  <c r="S61" i="67"/>
  <c r="S28" i="67"/>
  <c r="BW117" i="67"/>
  <c r="BN119" i="67"/>
  <c r="J95" i="153"/>
  <c r="S95" i="153" s="1"/>
  <c r="J95" i="154"/>
  <c r="S95" i="154" s="1"/>
  <c r="S15" i="67"/>
  <c r="X20" i="67"/>
  <c r="BU111" i="67"/>
  <c r="BV110" i="67"/>
  <c r="X17" i="67"/>
  <c r="X59" i="67"/>
  <c r="X42" i="67"/>
  <c r="X49" i="67"/>
  <c r="AK7" i="17"/>
  <c r="S26" i="67"/>
  <c r="X58" i="67"/>
  <c r="BW119" i="67"/>
  <c r="BP119" i="67"/>
  <c r="BP121" i="67"/>
  <c r="J92" i="153"/>
  <c r="S92" i="153" s="1"/>
  <c r="J92" i="154"/>
  <c r="S92" i="154" s="1"/>
  <c r="BZ108" i="67"/>
  <c r="S54" i="67"/>
  <c r="BP118" i="67"/>
  <c r="BR119" i="67"/>
  <c r="S68" i="67"/>
  <c r="X48" i="67"/>
  <c r="J96" i="153"/>
  <c r="S96" i="153" s="1"/>
  <c r="J96" i="154"/>
  <c r="S96" i="154" s="1"/>
  <c r="S29" i="67"/>
  <c r="BW114" i="67"/>
  <c r="BW112" i="67"/>
  <c r="X64" i="67"/>
  <c r="S56" i="67"/>
  <c r="S25" i="67"/>
  <c r="I105" i="65"/>
  <c r="AJ102" i="67"/>
  <c r="X53" i="67"/>
  <c r="BS120" i="67"/>
  <c r="S64" i="67"/>
  <c r="S70" i="67"/>
  <c r="BT121" i="67"/>
  <c r="BU113" i="67"/>
  <c r="BZ102" i="67"/>
  <c r="BX120" i="67"/>
  <c r="BT111" i="67"/>
  <c r="S55" i="67"/>
  <c r="BV119" i="67"/>
  <c r="BN110" i="67"/>
  <c r="BN111" i="67"/>
  <c r="BU121" i="67"/>
  <c r="X60" i="67"/>
  <c r="S34" i="67"/>
  <c r="BQ114" i="67"/>
  <c r="BO117" i="67"/>
  <c r="BV116" i="67"/>
  <c r="BZ106" i="67"/>
  <c r="BQ115" i="67"/>
  <c r="BS119" i="67"/>
  <c r="X32" i="67"/>
  <c r="CA107" i="67"/>
  <c r="S32" i="67"/>
  <c r="S18" i="67"/>
  <c r="AL18" i="24"/>
  <c r="BN118" i="67"/>
  <c r="BS118" i="67"/>
  <c r="BV117" i="67"/>
  <c r="X46" i="67"/>
  <c r="X66" i="67"/>
  <c r="BO111" i="67"/>
  <c r="BO116" i="67"/>
  <c r="BP110" i="67"/>
  <c r="BS112" i="67"/>
  <c r="BR114" i="67"/>
  <c r="X72" i="67"/>
  <c r="X45" i="67"/>
  <c r="X70" i="67"/>
  <c r="BN114" i="67"/>
  <c r="BN120" i="67"/>
  <c r="BQ113" i="67"/>
  <c r="BP117" i="67"/>
  <c r="BS115" i="67"/>
  <c r="J90" i="154"/>
  <c r="S90" i="154" s="1"/>
  <c r="J90" i="153"/>
  <c r="S90" i="153" s="1"/>
  <c r="X69" i="67"/>
  <c r="X30" i="67"/>
  <c r="S43" i="67"/>
  <c r="AN21" i="24"/>
  <c r="CA106" i="67"/>
  <c r="BN113" i="67"/>
  <c r="BU118" i="67"/>
  <c r="BX121" i="67"/>
  <c r="BS117" i="67"/>
  <c r="BW115" i="67"/>
  <c r="BV111" i="67"/>
  <c r="S33" i="67"/>
  <c r="X61" i="67"/>
  <c r="X31" i="67"/>
  <c r="S22" i="67"/>
  <c r="X29" i="67"/>
  <c r="S63" i="67"/>
  <c r="X35" i="67"/>
  <c r="X54" i="67"/>
  <c r="W19" i="24"/>
  <c r="BZ103" i="67"/>
  <c r="BP115" i="67"/>
  <c r="BX111" i="67"/>
  <c r="CA100" i="67"/>
  <c r="BW110" i="67"/>
  <c r="CA103" i="67"/>
  <c r="AN20" i="24"/>
  <c r="S66" i="67"/>
  <c r="J89" i="154"/>
  <c r="S89" i="154" s="1"/>
  <c r="J89" i="153"/>
  <c r="S89" i="153" s="1"/>
  <c r="BT116" i="67"/>
  <c r="BX118" i="67"/>
  <c r="CA109" i="67"/>
  <c r="AK9" i="17"/>
  <c r="S50" i="67"/>
  <c r="BV118" i="67"/>
  <c r="CA101" i="67"/>
  <c r="J97" i="154"/>
  <c r="S97" i="154" s="1"/>
  <c r="J97" i="153"/>
  <c r="S97" i="153" s="1"/>
  <c r="BU120" i="67"/>
  <c r="X57" i="67"/>
  <c r="S35" i="67"/>
  <c r="BV115" i="67"/>
  <c r="BS110" i="67"/>
  <c r="BY121" i="67"/>
  <c r="BN117" i="67"/>
  <c r="S48" i="67"/>
  <c r="X26" i="67"/>
  <c r="AV7" i="17"/>
  <c r="BP113" i="67"/>
  <c r="BZ98" i="67"/>
  <c r="BW113" i="67"/>
  <c r="S52" i="67"/>
  <c r="S36" i="67"/>
  <c r="BW120" i="67"/>
  <c r="X24" i="67"/>
  <c r="X71" i="67"/>
  <c r="X73" i="67"/>
  <c r="BS114" i="67"/>
  <c r="BO119" i="67"/>
  <c r="BN116" i="67"/>
  <c r="BQ112" i="67"/>
  <c r="CA108" i="67"/>
  <c r="BR116" i="67"/>
  <c r="X47" i="67"/>
  <c r="S38" i="67"/>
  <c r="AK8" i="17"/>
  <c r="S20" i="67"/>
  <c r="S62" i="67"/>
  <c r="AK10" i="17"/>
  <c r="BQ111" i="67"/>
  <c r="BU115" i="67"/>
  <c r="BY117" i="67"/>
  <c r="BT114" i="67"/>
  <c r="S39" i="67"/>
  <c r="X67" i="67"/>
  <c r="S58" i="67"/>
  <c r="BP112" i="67"/>
  <c r="BW111" i="67"/>
  <c r="BW118" i="67"/>
  <c r="BP114" i="67"/>
  <c r="BZ101" i="67"/>
  <c r="BQ110" i="67"/>
  <c r="J87" i="153"/>
  <c r="S87" i="153" s="1"/>
  <c r="J87" i="154"/>
  <c r="S87" i="154" s="1"/>
  <c r="J88" i="153"/>
  <c r="S88" i="153" s="1"/>
  <c r="J88" i="154"/>
  <c r="S88" i="154" s="1"/>
  <c r="BY118" i="67"/>
  <c r="BO115" i="67"/>
  <c r="X25" i="67"/>
  <c r="S53" i="67"/>
  <c r="S23" i="67"/>
  <c r="X14" i="67"/>
  <c r="AV6" i="17"/>
  <c r="S21" i="67"/>
  <c r="S27" i="67"/>
  <c r="X50" i="67"/>
  <c r="AV9" i="17"/>
  <c r="BX117" i="67"/>
  <c r="W20" i="24"/>
  <c r="BQ118" i="67"/>
  <c r="BT113" i="67"/>
  <c r="BU112" i="67"/>
  <c r="CA99" i="67"/>
  <c r="BT118" i="67"/>
  <c r="BT119" i="67"/>
  <c r="BV113" i="67"/>
  <c r="BU117" i="67"/>
  <c r="S65" i="67"/>
  <c r="X38" i="67"/>
  <c r="AV8" i="17"/>
  <c r="BR118" i="67"/>
  <c r="BU114" i="67"/>
  <c r="BR117" i="67"/>
  <c r="S40" i="67"/>
  <c r="S51" i="67"/>
  <c r="J93" i="153"/>
  <c r="S93" i="153" s="1"/>
  <c r="J93" i="154"/>
  <c r="S93" i="154" s="1"/>
  <c r="X56" i="67"/>
  <c r="X44" i="67"/>
  <c r="X27" i="67"/>
  <c r="BR110" i="67"/>
  <c r="BP111" i="67"/>
  <c r="BR112" i="67"/>
  <c r="S24" i="67"/>
  <c r="S14" i="67"/>
  <c r="AK6" i="17"/>
  <c r="BS113" i="67"/>
  <c r="BT115" i="67"/>
  <c r="BY116" i="67"/>
  <c r="X16" i="67"/>
  <c r="X28" i="67"/>
  <c r="BZ104" i="67"/>
  <c r="BO114" i="67"/>
  <c r="S49" i="67"/>
  <c r="J86" i="154"/>
  <c r="S86" i="154" s="1"/>
  <c r="J86" i="153"/>
  <c r="S86" i="153" s="1"/>
  <c r="X41" i="67"/>
  <c r="S37" i="67"/>
  <c r="BN121" i="67"/>
  <c r="BR115" i="67"/>
  <c r="BZ107" i="67"/>
  <c r="BW121" i="67"/>
  <c r="BS116" i="67"/>
  <c r="BR111" i="67"/>
  <c r="S17" i="67"/>
  <c r="X40" i="67"/>
  <c r="X15" i="67"/>
  <c r="S71" i="67"/>
  <c r="S45" i="67"/>
  <c r="X55" i="67"/>
  <c r="X19" i="67"/>
  <c r="S42" i="67"/>
  <c r="V18" i="24"/>
  <c r="V19" i="24" s="1"/>
  <c r="V20" i="24" s="1"/>
  <c r="V21" i="24" s="1"/>
  <c r="BQ116" i="67"/>
  <c r="BV112" i="67"/>
  <c r="CA105" i="67"/>
  <c r="BR120" i="67"/>
  <c r="CA104" i="67"/>
  <c r="BP120" i="67"/>
  <c r="BV121" i="67"/>
  <c r="AK19" i="24"/>
  <c r="AL19" i="24" s="1"/>
  <c r="M31" i="25" s="1"/>
  <c r="M9" i="25"/>
  <c r="BP116" i="67"/>
  <c r="X43" i="67"/>
  <c r="BO120" i="67"/>
  <c r="S30" i="67"/>
  <c r="BV114" i="67"/>
  <c r="X22" i="67"/>
  <c r="BS121" i="67"/>
  <c r="BX116" i="67"/>
  <c r="S19" i="67"/>
  <c r="BT120" i="67"/>
  <c r="J91" i="153"/>
  <c r="S91" i="153" s="1"/>
  <c r="J91" i="154"/>
  <c r="S91" i="154" s="1"/>
  <c r="BY120" i="67"/>
  <c r="BT117" i="67"/>
  <c r="BN112" i="67"/>
  <c r="BU116" i="67"/>
  <c r="S69" i="67"/>
  <c r="S16" i="67"/>
  <c r="S47" i="67"/>
  <c r="X68" i="67"/>
  <c r="X37" i="67"/>
  <c r="X51" i="67"/>
  <c r="S73" i="67"/>
  <c r="X34" i="67"/>
  <c r="BZ105" i="67"/>
  <c r="W18" i="24"/>
  <c r="BZ99" i="67"/>
  <c r="CA98" i="67"/>
  <c r="BO121" i="67"/>
  <c r="BO113" i="67"/>
  <c r="BN16" i="17"/>
  <c r="K5" i="72"/>
  <c r="K6" i="72"/>
  <c r="K7" i="72"/>
  <c r="M70" i="67"/>
  <c r="M63" i="67"/>
  <c r="M72" i="67"/>
  <c r="M73" i="67"/>
  <c r="M62" i="67"/>
  <c r="E62" i="67"/>
  <c r="M52" i="67"/>
  <c r="M39" i="67"/>
  <c r="M38" i="67"/>
  <c r="M71" i="67"/>
  <c r="M51" i="67"/>
  <c r="M57" i="67"/>
  <c r="M69" i="67"/>
  <c r="I60" i="67"/>
  <c r="M68" i="67"/>
  <c r="I54" i="67"/>
  <c r="M64" i="67"/>
  <c r="I53" i="67"/>
  <c r="M45" i="67"/>
  <c r="M42" i="67"/>
  <c r="I63" i="67"/>
  <c r="I44" i="67"/>
  <c r="I70" i="67"/>
  <c r="I64" i="67"/>
  <c r="E71" i="67"/>
  <c r="E65" i="67"/>
  <c r="E56" i="67"/>
  <c r="E44" i="67"/>
  <c r="E34" i="67"/>
  <c r="M16" i="67"/>
  <c r="I17" i="67"/>
  <c r="I43" i="67"/>
  <c r="E43" i="67"/>
  <c r="I30" i="67"/>
  <c r="M15" i="67"/>
  <c r="E70" i="67"/>
  <c r="M50" i="67"/>
  <c r="I52" i="67"/>
  <c r="I42" i="67"/>
  <c r="E42" i="67"/>
  <c r="I29" i="67"/>
  <c r="E32" i="67"/>
  <c r="M14" i="67"/>
  <c r="E69" i="67"/>
  <c r="M61" i="67"/>
  <c r="I51" i="67"/>
  <c r="M49" i="67"/>
  <c r="I41" i="67"/>
  <c r="E41" i="67"/>
  <c r="I28" i="67"/>
  <c r="E31" i="67"/>
  <c r="M25" i="67"/>
  <c r="E23" i="67"/>
  <c r="E68" i="67"/>
  <c r="M60" i="67"/>
  <c r="I50" i="67"/>
  <c r="M48" i="67"/>
  <c r="I40" i="67"/>
  <c r="I31" i="67"/>
  <c r="E30" i="67"/>
  <c r="M24" i="67"/>
  <c r="E22" i="67"/>
  <c r="I62" i="67"/>
  <c r="E67" i="67"/>
  <c r="M59" i="67"/>
  <c r="E55" i="67"/>
  <c r="M47" i="67"/>
  <c r="M37" i="67"/>
  <c r="I27" i="67"/>
  <c r="E29" i="67"/>
  <c r="E21" i="67"/>
  <c r="J39" i="67"/>
  <c r="J16" i="67"/>
  <c r="I73" i="67"/>
  <c r="E66" i="67"/>
  <c r="M58" i="67"/>
  <c r="E54" i="67"/>
  <c r="M46" i="67"/>
  <c r="I38" i="67"/>
  <c r="M36" i="67"/>
  <c r="I26" i="67"/>
  <c r="E28" i="67"/>
  <c r="I14" i="67"/>
  <c r="E20" i="67"/>
  <c r="E53" i="67"/>
  <c r="I49" i="67"/>
  <c r="M35" i="67"/>
  <c r="I37" i="67"/>
  <c r="E27" i="67"/>
  <c r="I25" i="67"/>
  <c r="E19" i="67"/>
  <c r="I72" i="67"/>
  <c r="E64" i="67"/>
  <c r="M56" i="67"/>
  <c r="E52" i="67"/>
  <c r="M44" i="67"/>
  <c r="I48" i="67"/>
  <c r="M34" i="67"/>
  <c r="I36" i="67"/>
  <c r="E26" i="67"/>
  <c r="I24" i="67"/>
  <c r="E18" i="67"/>
  <c r="I71" i="67"/>
  <c r="E63" i="67"/>
  <c r="I61" i="67"/>
  <c r="E51" i="67"/>
  <c r="M43" i="67"/>
  <c r="E39" i="67"/>
  <c r="M33" i="67"/>
  <c r="I35" i="67"/>
  <c r="M23" i="67"/>
  <c r="I15" i="67"/>
  <c r="E17" i="67"/>
  <c r="E38" i="67"/>
  <c r="M32" i="67"/>
  <c r="I34" i="67"/>
  <c r="M22" i="67"/>
  <c r="I23" i="67"/>
  <c r="E16" i="67"/>
  <c r="I69" i="67"/>
  <c r="E73" i="67"/>
  <c r="I59" i="67"/>
  <c r="E61" i="67"/>
  <c r="M41" i="67"/>
  <c r="E49" i="67"/>
  <c r="M31" i="67"/>
  <c r="I33" i="67"/>
  <c r="M21" i="67"/>
  <c r="I22" i="67"/>
  <c r="E15" i="67"/>
  <c r="I68" i="67"/>
  <c r="I58" i="67"/>
  <c r="E60" i="67"/>
  <c r="E48" i="67"/>
  <c r="M30" i="67"/>
  <c r="M20" i="67"/>
  <c r="I21" i="67"/>
  <c r="E14" i="67"/>
  <c r="M67" i="67"/>
  <c r="M55" i="67"/>
  <c r="I57" i="67"/>
  <c r="I46" i="67"/>
  <c r="E47" i="67"/>
  <c r="M29" i="67"/>
  <c r="E37" i="67"/>
  <c r="M19" i="67"/>
  <c r="I20" i="67"/>
  <c r="E25" i="67"/>
  <c r="M66" i="67"/>
  <c r="I66" i="67"/>
  <c r="M54" i="67"/>
  <c r="I56" i="67"/>
  <c r="E58" i="67"/>
  <c r="I47" i="67"/>
  <c r="E46" i="67"/>
  <c r="M28" i="67"/>
  <c r="E36" i="67"/>
  <c r="M18" i="67"/>
  <c r="I19" i="67"/>
  <c r="E50" i="67"/>
  <c r="I65" i="67"/>
  <c r="E57" i="67"/>
  <c r="I45" i="67"/>
  <c r="E45" i="67"/>
  <c r="M27" i="67"/>
  <c r="E35" i="67"/>
  <c r="I18" i="67"/>
  <c r="M8" i="67"/>
  <c r="M9" i="67"/>
  <c r="M10" i="67"/>
  <c r="M2" i="67"/>
  <c r="M11" i="67"/>
  <c r="M12" i="67"/>
  <c r="M13" i="67"/>
  <c r="M3" i="67"/>
  <c r="M4" i="67"/>
  <c r="M5" i="67"/>
  <c r="M6" i="67"/>
  <c r="M7" i="67"/>
  <c r="I3" i="67"/>
  <c r="I4" i="67"/>
  <c r="I5" i="67"/>
  <c r="I6" i="67"/>
  <c r="I7" i="67"/>
  <c r="I8" i="67"/>
  <c r="I9" i="67"/>
  <c r="I10" i="67"/>
  <c r="I2" i="67"/>
  <c r="I11" i="67"/>
  <c r="I12" i="67"/>
  <c r="I13" i="67"/>
  <c r="E8" i="67"/>
  <c r="E9" i="67"/>
  <c r="E10" i="67"/>
  <c r="E2" i="67"/>
  <c r="E11" i="67"/>
  <c r="E12" i="67"/>
  <c r="E13" i="67"/>
  <c r="E3" i="67"/>
  <c r="E4" i="67"/>
  <c r="E5" i="67"/>
  <c r="E6" i="67"/>
  <c r="E7" i="67"/>
  <c r="CB102" i="67"/>
  <c r="L102" i="156" s="1"/>
  <c r="CB106" i="67"/>
  <c r="L106" i="156" s="1"/>
  <c r="CB98" i="67"/>
  <c r="L98" i="156" s="1"/>
  <c r="CB109" i="67"/>
  <c r="L109" i="156" s="1"/>
  <c r="CB105" i="67"/>
  <c r="L105" i="156" s="1"/>
  <c r="BY110" i="67"/>
  <c r="BY112" i="67"/>
  <c r="BY111" i="67"/>
  <c r="CB107" i="67"/>
  <c r="L107" i="156" s="1"/>
  <c r="CB100" i="67"/>
  <c r="L100" i="156" s="1"/>
  <c r="CB108" i="67"/>
  <c r="L108" i="156" s="1"/>
  <c r="CB99" i="67"/>
  <c r="L99" i="156" s="1"/>
  <c r="BY113" i="67"/>
  <c r="CB101" i="67"/>
  <c r="L101" i="156" s="1"/>
  <c r="BY115" i="67"/>
  <c r="CB104" i="67"/>
  <c r="L104" i="156" s="1"/>
  <c r="BY114" i="67"/>
  <c r="CB103" i="67"/>
  <c r="L103" i="156" s="1"/>
  <c r="H26" i="23"/>
  <c r="H27" i="23"/>
  <c r="H25" i="23"/>
  <c r="H24" i="23"/>
  <c r="F24" i="67"/>
  <c r="F59" i="67"/>
  <c r="N40" i="67"/>
  <c r="F33" i="67"/>
  <c r="J67" i="67"/>
  <c r="J55" i="67"/>
  <c r="J32" i="67"/>
  <c r="N17" i="67"/>
  <c r="F72" i="67"/>
  <c r="N53" i="67"/>
  <c r="F40" i="67"/>
  <c r="N65" i="67"/>
  <c r="K62" i="148"/>
  <c r="D68" i="156" l="1"/>
  <c r="D30" i="155"/>
  <c r="D55" i="156"/>
  <c r="D49" i="155"/>
  <c r="D56" i="156"/>
  <c r="D72" i="156"/>
  <c r="D48" i="156"/>
  <c r="D59" i="156"/>
  <c r="D52" i="156"/>
  <c r="D47" i="155"/>
  <c r="D45" i="155"/>
  <c r="D36" i="155"/>
  <c r="D68" i="155"/>
  <c r="D17" i="156"/>
  <c r="D57" i="155"/>
  <c r="D63" i="156"/>
  <c r="D16" i="155"/>
  <c r="D43" i="156"/>
  <c r="D71" i="155"/>
  <c r="D62" i="155"/>
  <c r="D52" i="155"/>
  <c r="D70" i="155"/>
  <c r="D44" i="155"/>
  <c r="D69" i="155"/>
  <c r="D15" i="156"/>
  <c r="D28" i="156"/>
  <c r="D51" i="155"/>
  <c r="D20" i="155"/>
  <c r="D64" i="155"/>
  <c r="D23" i="156"/>
  <c r="D40" i="156"/>
  <c r="D16" i="156"/>
  <c r="D40" i="155"/>
  <c r="D50" i="155"/>
  <c r="D54" i="156"/>
  <c r="D43" i="155"/>
  <c r="D54" i="155"/>
  <c r="D20" i="156"/>
  <c r="D17" i="155"/>
  <c r="D38" i="155"/>
  <c r="D35" i="156"/>
  <c r="D30" i="156"/>
  <c r="D53" i="156"/>
  <c r="D15" i="155"/>
  <c r="D67" i="155"/>
  <c r="D50" i="156"/>
  <c r="D47" i="156"/>
  <c r="D63" i="155"/>
  <c r="D69" i="156"/>
  <c r="D66" i="156"/>
  <c r="D34" i="155"/>
  <c r="D33" i="156"/>
  <c r="D27" i="155"/>
  <c r="D26" i="156"/>
  <c r="D29" i="156"/>
  <c r="D46" i="156"/>
  <c r="D60" i="156"/>
  <c r="D21" i="155"/>
  <c r="D48" i="155"/>
  <c r="D22" i="155"/>
  <c r="D25" i="155"/>
  <c r="D18" i="156"/>
  <c r="D14" i="155"/>
  <c r="P14" i="155" s="1"/>
  <c r="D38" i="156"/>
  <c r="D31" i="156"/>
  <c r="D56" i="155"/>
  <c r="D62" i="156"/>
  <c r="AL51" i="17"/>
  <c r="D24" i="155"/>
  <c r="D65" i="155"/>
  <c r="D14" i="156"/>
  <c r="D58" i="155"/>
  <c r="D61" i="156"/>
  <c r="D64" i="156"/>
  <c r="D28" i="155"/>
  <c r="D19" i="155"/>
  <c r="D23" i="155"/>
  <c r="D67" i="156"/>
  <c r="D66" i="155"/>
  <c r="D33" i="155"/>
  <c r="D58" i="156"/>
  <c r="D61" i="155"/>
  <c r="D36" i="156"/>
  <c r="D34" i="156"/>
  <c r="D37" i="155"/>
  <c r="D53" i="155"/>
  <c r="D39" i="155"/>
  <c r="D18" i="155"/>
  <c r="D55" i="155"/>
  <c r="D26" i="155"/>
  <c r="D39" i="156"/>
  <c r="D21" i="156"/>
  <c r="D73" i="155"/>
  <c r="D41" i="156"/>
  <c r="D25" i="156"/>
  <c r="D73" i="156"/>
  <c r="D35" i="155"/>
  <c r="D32" i="155"/>
  <c r="D29" i="155"/>
  <c r="D72" i="155"/>
  <c r="D31" i="155"/>
  <c r="D51" i="156"/>
  <c r="D22" i="156"/>
  <c r="D42" i="155"/>
  <c r="D27" i="156"/>
  <c r="D71" i="156"/>
  <c r="D57" i="156"/>
  <c r="D70" i="156"/>
  <c r="D49" i="156"/>
  <c r="D46" i="155"/>
  <c r="D65" i="156"/>
  <c r="AL19" i="57"/>
  <c r="AK18" i="57"/>
  <c r="C31" i="74" s="1"/>
  <c r="D37" i="156"/>
  <c r="D19" i="156"/>
  <c r="D44" i="156"/>
  <c r="D24" i="156"/>
  <c r="D45" i="156"/>
  <c r="D32" i="156"/>
  <c r="D42" i="156"/>
  <c r="D41" i="155"/>
  <c r="AM24" i="57"/>
  <c r="AM23" i="57"/>
  <c r="AM20" i="57"/>
  <c r="AM27" i="57"/>
  <c r="AM19" i="57"/>
  <c r="AM25" i="57"/>
  <c r="AM18" i="57"/>
  <c r="AM28" i="57"/>
  <c r="AM26" i="57"/>
  <c r="AM22" i="57"/>
  <c r="AM29" i="57"/>
  <c r="AM21" i="57"/>
  <c r="AZ51" i="17"/>
  <c r="AW51" i="17"/>
  <c r="AZ48" i="17"/>
  <c r="AW48" i="17"/>
  <c r="AO50" i="17"/>
  <c r="AL50" i="17"/>
  <c r="AO52" i="17"/>
  <c r="AL52" i="17"/>
  <c r="AL48" i="17"/>
  <c r="AO48" i="17"/>
  <c r="AZ49" i="17"/>
  <c r="AW49" i="17"/>
  <c r="N71" i="67"/>
  <c r="AZ50" i="17"/>
  <c r="AW50" i="17"/>
  <c r="AZ52" i="17"/>
  <c r="AW52" i="17"/>
  <c r="AO49" i="17"/>
  <c r="AL49" i="17"/>
  <c r="N62" i="67"/>
  <c r="N63" i="67"/>
  <c r="F55" i="67"/>
  <c r="N64" i="67"/>
  <c r="J63" i="67"/>
  <c r="N45" i="67"/>
  <c r="J53" i="67"/>
  <c r="N72" i="67"/>
  <c r="N25" i="67"/>
  <c r="N70" i="67"/>
  <c r="J22" i="67"/>
  <c r="J48" i="67"/>
  <c r="F17" i="67"/>
  <c r="N52" i="67"/>
  <c r="CB120" i="67"/>
  <c r="L120" i="156" s="1"/>
  <c r="L132" i="156" s="1"/>
  <c r="J108" i="153"/>
  <c r="S108" i="153" s="1"/>
  <c r="J108" i="154"/>
  <c r="S108" i="154" s="1"/>
  <c r="F43" i="67"/>
  <c r="D45" i="151"/>
  <c r="P45" i="151" s="1"/>
  <c r="Q45" i="151" s="1"/>
  <c r="DS45" i="4"/>
  <c r="D45" i="152"/>
  <c r="BZ119" i="67"/>
  <c r="D24" i="151"/>
  <c r="P24" i="151" s="1"/>
  <c r="Q24" i="151" s="1"/>
  <c r="DS24" i="4"/>
  <c r="D24" i="152"/>
  <c r="D39" i="151"/>
  <c r="P39" i="151" s="1"/>
  <c r="Q39" i="151" s="1"/>
  <c r="DS39" i="4"/>
  <c r="D39" i="152"/>
  <c r="D73" i="154"/>
  <c r="D73" i="153"/>
  <c r="D57" i="154"/>
  <c r="D57" i="153"/>
  <c r="CA112" i="67"/>
  <c r="D61" i="152"/>
  <c r="D61" i="151"/>
  <c r="P61" i="151" s="1"/>
  <c r="Q61" i="151" s="1"/>
  <c r="DS61" i="4"/>
  <c r="J100" i="153"/>
  <c r="S100" i="153" s="1"/>
  <c r="J100" i="154"/>
  <c r="S100" i="154" s="1"/>
  <c r="J98" i="154"/>
  <c r="S98" i="154" s="1"/>
  <c r="J98" i="153"/>
  <c r="S98" i="153" s="1"/>
  <c r="D30" i="151"/>
  <c r="P30" i="151" s="1"/>
  <c r="Q30" i="151" s="1"/>
  <c r="D30" i="152"/>
  <c r="DS30" i="4"/>
  <c r="BZ116" i="67"/>
  <c r="D51" i="151"/>
  <c r="P51" i="151" s="1"/>
  <c r="Q51" i="151" s="1"/>
  <c r="DS51" i="4"/>
  <c r="D51" i="152"/>
  <c r="AZ7" i="17"/>
  <c r="AW7" i="17"/>
  <c r="D22" i="151"/>
  <c r="P22" i="151" s="1"/>
  <c r="Q22" i="151" s="1"/>
  <c r="D22" i="152"/>
  <c r="DS22" i="4"/>
  <c r="D64" i="153"/>
  <c r="D64" i="154"/>
  <c r="D58" i="154"/>
  <c r="D58" i="153"/>
  <c r="D39" i="153"/>
  <c r="D39" i="154"/>
  <c r="D21" i="153"/>
  <c r="D21" i="154"/>
  <c r="CA117" i="67"/>
  <c r="D28" i="153"/>
  <c r="D28" i="154"/>
  <c r="D40" i="151"/>
  <c r="P40" i="151" s="1"/>
  <c r="Q40" i="151" s="1"/>
  <c r="DS40" i="4"/>
  <c r="D40" i="152"/>
  <c r="AZ9" i="17"/>
  <c r="AW9" i="17"/>
  <c r="D31" i="153"/>
  <c r="D31" i="154"/>
  <c r="D70" i="152"/>
  <c r="DS70" i="4"/>
  <c r="D70" i="151"/>
  <c r="P70" i="151" s="1"/>
  <c r="Q70" i="151" s="1"/>
  <c r="AL7" i="17"/>
  <c r="AO7" i="17"/>
  <c r="D67" i="151"/>
  <c r="P67" i="151" s="1"/>
  <c r="Q67" i="151" s="1"/>
  <c r="DS67" i="4"/>
  <c r="D67" i="152"/>
  <c r="DS47" i="4"/>
  <c r="D47" i="151"/>
  <c r="P47" i="151" s="1"/>
  <c r="Q47" i="151" s="1"/>
  <c r="D47" i="152"/>
  <c r="D15" i="153"/>
  <c r="D15" i="154"/>
  <c r="D50" i="153"/>
  <c r="D50" i="154"/>
  <c r="D25" i="153"/>
  <c r="D25" i="154"/>
  <c r="D24" i="153"/>
  <c r="D24" i="154"/>
  <c r="D64" i="151"/>
  <c r="P64" i="151" s="1"/>
  <c r="Q64" i="151" s="1"/>
  <c r="DS64" i="4"/>
  <c r="D64" i="152"/>
  <c r="D54" i="151"/>
  <c r="P54" i="151" s="1"/>
  <c r="Q54" i="151" s="1"/>
  <c r="DS54" i="4"/>
  <c r="D54" i="152"/>
  <c r="DS15" i="4"/>
  <c r="D15" i="151"/>
  <c r="P15" i="151" s="1"/>
  <c r="Q15" i="151" s="1"/>
  <c r="D15" i="152"/>
  <c r="BZ121" i="67"/>
  <c r="D31" i="152"/>
  <c r="D31" i="151"/>
  <c r="P31" i="151" s="1"/>
  <c r="Q31" i="151" s="1"/>
  <c r="DS31" i="4"/>
  <c r="D16" i="154"/>
  <c r="D16" i="153"/>
  <c r="D49" i="153"/>
  <c r="D49" i="154"/>
  <c r="D33" i="153"/>
  <c r="D33" i="154"/>
  <c r="D71" i="151"/>
  <c r="P71" i="151" s="1"/>
  <c r="Q71" i="151" s="1"/>
  <c r="DS71" i="4"/>
  <c r="D71" i="152"/>
  <c r="BZ118" i="67"/>
  <c r="CB119" i="67"/>
  <c r="L119" i="156" s="1"/>
  <c r="L131" i="156" s="1"/>
  <c r="J107" i="153"/>
  <c r="S107" i="153" s="1"/>
  <c r="J107" i="154"/>
  <c r="S107" i="154" s="1"/>
  <c r="F18" i="67"/>
  <c r="D48" i="151"/>
  <c r="P48" i="151" s="1"/>
  <c r="Q48" i="151" s="1"/>
  <c r="D48" i="152"/>
  <c r="DS48" i="4"/>
  <c r="D61" i="153"/>
  <c r="D61" i="154"/>
  <c r="CA118" i="67"/>
  <c r="F23" i="67"/>
  <c r="D16" i="152"/>
  <c r="D16" i="151"/>
  <c r="P16" i="151" s="1"/>
  <c r="Q16" i="151" s="1"/>
  <c r="DS16" i="4"/>
  <c r="D40" i="153"/>
  <c r="D40" i="154"/>
  <c r="D37" i="152"/>
  <c r="D37" i="151"/>
  <c r="P37" i="151" s="1"/>
  <c r="Q37" i="151" s="1"/>
  <c r="DS37" i="4"/>
  <c r="CA120" i="67"/>
  <c r="BZ115" i="67"/>
  <c r="D18" i="151"/>
  <c r="P18" i="151" s="1"/>
  <c r="Q18" i="151" s="1"/>
  <c r="D18" i="152"/>
  <c r="DS18" i="4"/>
  <c r="D55" i="152"/>
  <c r="D55" i="151"/>
  <c r="P55" i="151" s="1"/>
  <c r="Q55" i="151" s="1"/>
  <c r="DS55" i="4"/>
  <c r="BZ120" i="67"/>
  <c r="DS46" i="4"/>
  <c r="D46" i="151"/>
  <c r="P46" i="151" s="1"/>
  <c r="Q46" i="151" s="1"/>
  <c r="D46" i="152"/>
  <c r="DS19" i="4"/>
  <c r="D19" i="151"/>
  <c r="P19" i="151" s="1"/>
  <c r="Q19" i="151" s="1"/>
  <c r="D19" i="152"/>
  <c r="D17" i="151"/>
  <c r="P17" i="151" s="1"/>
  <c r="Q17" i="151" s="1"/>
  <c r="DS17" i="4"/>
  <c r="D17" i="152"/>
  <c r="D27" i="151"/>
  <c r="P27" i="151" s="1"/>
  <c r="Q27" i="151" s="1"/>
  <c r="DS27" i="4"/>
  <c r="D27" i="152"/>
  <c r="D33" i="151"/>
  <c r="P33" i="151" s="1"/>
  <c r="Q33" i="151" s="1"/>
  <c r="DS33" i="4"/>
  <c r="D33" i="152"/>
  <c r="D29" i="152"/>
  <c r="D29" i="151"/>
  <c r="P29" i="151" s="1"/>
  <c r="Q29" i="151" s="1"/>
  <c r="DS29" i="4"/>
  <c r="D65" i="153"/>
  <c r="D65" i="154"/>
  <c r="D20" i="153"/>
  <c r="D20" i="154"/>
  <c r="CB116" i="67"/>
  <c r="L116" i="156" s="1"/>
  <c r="L128" i="156" s="1"/>
  <c r="J104" i="153"/>
  <c r="S104" i="153" s="1"/>
  <c r="J104" i="154"/>
  <c r="S104" i="154" s="1"/>
  <c r="BZ111" i="67"/>
  <c r="J101" i="153"/>
  <c r="S101" i="153" s="1"/>
  <c r="J101" i="154"/>
  <c r="S101" i="154" s="1"/>
  <c r="BZ117" i="67"/>
  <c r="D69" i="151"/>
  <c r="P69" i="151" s="1"/>
  <c r="Q69" i="151" s="1"/>
  <c r="DS69" i="4"/>
  <c r="D69" i="152"/>
  <c r="D41" i="154"/>
  <c r="D41" i="153"/>
  <c r="D27" i="153"/>
  <c r="D27" i="154"/>
  <c r="D36" i="151"/>
  <c r="P36" i="151" s="1"/>
  <c r="Q36" i="151" s="1"/>
  <c r="D36" i="152"/>
  <c r="DS36" i="4"/>
  <c r="CA113" i="67"/>
  <c r="D54" i="153"/>
  <c r="D54" i="154"/>
  <c r="D43" i="151"/>
  <c r="P43" i="151" s="1"/>
  <c r="Q43" i="151" s="1"/>
  <c r="D43" i="152"/>
  <c r="DS43" i="4"/>
  <c r="DS32" i="4"/>
  <c r="D32" i="152"/>
  <c r="D32" i="151"/>
  <c r="P32" i="151" s="1"/>
  <c r="Q32" i="151" s="1"/>
  <c r="D42" i="153"/>
  <c r="D42" i="154"/>
  <c r="DS34" i="4"/>
  <c r="D34" i="151"/>
  <c r="P34" i="151" s="1"/>
  <c r="Q34" i="151" s="1"/>
  <c r="D34" i="152"/>
  <c r="D53" i="153"/>
  <c r="D53" i="154"/>
  <c r="D41" i="151"/>
  <c r="P41" i="151" s="1"/>
  <c r="Q41" i="151" s="1"/>
  <c r="DS41" i="4"/>
  <c r="D41" i="152"/>
  <c r="D47" i="153"/>
  <c r="D47" i="154"/>
  <c r="D34" i="153"/>
  <c r="D34" i="154"/>
  <c r="AZ8" i="17"/>
  <c r="AW8" i="17"/>
  <c r="D62" i="151"/>
  <c r="P62" i="151" s="1"/>
  <c r="Q62" i="151" s="1"/>
  <c r="DS62" i="4"/>
  <c r="D62" i="152"/>
  <c r="D30" i="153"/>
  <c r="D30" i="154"/>
  <c r="D70" i="154"/>
  <c r="D70" i="153"/>
  <c r="D66" i="153"/>
  <c r="D66" i="154"/>
  <c r="CA119" i="67"/>
  <c r="D59" i="153"/>
  <c r="D59" i="154"/>
  <c r="D52" i="153"/>
  <c r="D52" i="154"/>
  <c r="D63" i="154"/>
  <c r="D63" i="153"/>
  <c r="D18" i="154"/>
  <c r="D18" i="153"/>
  <c r="D19" i="154"/>
  <c r="D19" i="153"/>
  <c r="D38" i="153"/>
  <c r="D38" i="154"/>
  <c r="D21" i="151"/>
  <c r="P21" i="151" s="1"/>
  <c r="Q21" i="151" s="1"/>
  <c r="DS21" i="4"/>
  <c r="D21" i="152"/>
  <c r="D50" i="151"/>
  <c r="P50" i="151" s="1"/>
  <c r="Q50" i="151" s="1"/>
  <c r="DS50" i="4"/>
  <c r="D50" i="152"/>
  <c r="I106" i="65"/>
  <c r="AJ103" i="67"/>
  <c r="D17" i="154"/>
  <c r="D17" i="153"/>
  <c r="D62" i="153"/>
  <c r="D62" i="154"/>
  <c r="CA114" i="67"/>
  <c r="D44" i="153"/>
  <c r="D44" i="154"/>
  <c r="CA111" i="67"/>
  <c r="D49" i="151"/>
  <c r="P49" i="151" s="1"/>
  <c r="Q49" i="151" s="1"/>
  <c r="D49" i="152"/>
  <c r="DS49" i="4"/>
  <c r="D56" i="153"/>
  <c r="D56" i="154"/>
  <c r="AZ6" i="17"/>
  <c r="AW6" i="17"/>
  <c r="D58" i="151"/>
  <c r="P58" i="151" s="1"/>
  <c r="Q58" i="151" s="1"/>
  <c r="DS58" i="4"/>
  <c r="D58" i="152"/>
  <c r="AO9" i="17"/>
  <c r="CA115" i="67"/>
  <c r="D69" i="154"/>
  <c r="D69" i="153"/>
  <c r="D32" i="153"/>
  <c r="D32" i="154"/>
  <c r="D60" i="153"/>
  <c r="D60" i="154"/>
  <c r="D48" i="153"/>
  <c r="D48" i="154"/>
  <c r="D57" i="152"/>
  <c r="D57" i="151"/>
  <c r="P57" i="151" s="1"/>
  <c r="Q57" i="151" s="1"/>
  <c r="DS57" i="4"/>
  <c r="AZ10" i="17"/>
  <c r="AW10" i="17"/>
  <c r="D42" i="151"/>
  <c r="P42" i="151" s="1"/>
  <c r="Q42" i="151" s="1"/>
  <c r="DS42" i="4"/>
  <c r="D42" i="152"/>
  <c r="D22" i="153"/>
  <c r="D22" i="154"/>
  <c r="D14" i="151"/>
  <c r="P14" i="151" s="1"/>
  <c r="Q14" i="151" s="1"/>
  <c r="DS14" i="4"/>
  <c r="D14" i="152"/>
  <c r="D14" i="153"/>
  <c r="D14" i="154"/>
  <c r="D20" i="151"/>
  <c r="P20" i="151" s="1"/>
  <c r="Q20" i="151" s="1"/>
  <c r="DS20" i="4"/>
  <c r="D20" i="152"/>
  <c r="D63" i="151"/>
  <c r="P63" i="151" s="1"/>
  <c r="Q63" i="151" s="1"/>
  <c r="DS63" i="4"/>
  <c r="D63" i="152"/>
  <c r="D45" i="154"/>
  <c r="D45" i="153"/>
  <c r="D46" i="153"/>
  <c r="D46" i="154"/>
  <c r="BZ114" i="67"/>
  <c r="D25" i="151"/>
  <c r="P25" i="151" s="1"/>
  <c r="Q25" i="151" s="1"/>
  <c r="DS25" i="4"/>
  <c r="D25" i="152"/>
  <c r="BZ112" i="67"/>
  <c r="BZ113" i="67"/>
  <c r="D71" i="153"/>
  <c r="D71" i="154"/>
  <c r="DS26" i="4"/>
  <c r="D26" i="151"/>
  <c r="P26" i="151" s="1"/>
  <c r="Q26" i="151" s="1"/>
  <c r="D26" i="152"/>
  <c r="J102" i="154"/>
  <c r="S102" i="154" s="1"/>
  <c r="J102" i="153"/>
  <c r="S102" i="153" s="1"/>
  <c r="D43" i="153"/>
  <c r="D43" i="154"/>
  <c r="D52" i="151"/>
  <c r="P52" i="151" s="1"/>
  <c r="Q52" i="151" s="1"/>
  <c r="DS52" i="4"/>
  <c r="D52" i="152"/>
  <c r="D66" i="151"/>
  <c r="P66" i="151" s="1"/>
  <c r="Q66" i="151" s="1"/>
  <c r="DS66" i="4"/>
  <c r="D66" i="152"/>
  <c r="N73" i="67"/>
  <c r="ET73" i="4" s="1"/>
  <c r="AL6" i="17"/>
  <c r="AO6" i="17"/>
  <c r="F41" i="67"/>
  <c r="ER41" i="4" s="1"/>
  <c r="J103" i="153"/>
  <c r="S103" i="153" s="1"/>
  <c r="J103" i="154"/>
  <c r="S103" i="154" s="1"/>
  <c r="J99" i="153"/>
  <c r="S99" i="153" s="1"/>
  <c r="J99" i="154"/>
  <c r="S99" i="154" s="1"/>
  <c r="CB117" i="67"/>
  <c r="L117" i="156" s="1"/>
  <c r="L129" i="156" s="1"/>
  <c r="J105" i="154"/>
  <c r="S105" i="154" s="1"/>
  <c r="J105" i="153"/>
  <c r="S105" i="153" s="1"/>
  <c r="F70" i="67"/>
  <c r="J70" i="67"/>
  <c r="DQ70" i="4" s="1"/>
  <c r="F65" i="67"/>
  <c r="D51" i="153"/>
  <c r="D51" i="154"/>
  <c r="D55" i="154"/>
  <c r="D55" i="153"/>
  <c r="D65" i="151"/>
  <c r="P65" i="151" s="1"/>
  <c r="Q65" i="151" s="1"/>
  <c r="DS65" i="4"/>
  <c r="D65" i="152"/>
  <c r="D67" i="153"/>
  <c r="D67" i="154"/>
  <c r="AO8" i="17"/>
  <c r="AL8" i="17"/>
  <c r="BZ110" i="67"/>
  <c r="D29" i="153"/>
  <c r="D29" i="154"/>
  <c r="D68" i="152"/>
  <c r="D68" i="151"/>
  <c r="P68" i="151" s="1"/>
  <c r="Q68" i="151" s="1"/>
  <c r="DS68" i="4"/>
  <c r="D28" i="151"/>
  <c r="P28" i="151" s="1"/>
  <c r="Q28" i="151" s="1"/>
  <c r="DS28" i="4"/>
  <c r="D28" i="152"/>
  <c r="D36" i="153"/>
  <c r="D36" i="154"/>
  <c r="D68" i="153"/>
  <c r="D68" i="154"/>
  <c r="D53" i="151"/>
  <c r="P53" i="151" s="1"/>
  <c r="Q53" i="151" s="1"/>
  <c r="DS53" i="4"/>
  <c r="D53" i="152"/>
  <c r="D26" i="154"/>
  <c r="D26" i="153"/>
  <c r="DS72" i="4"/>
  <c r="D72" i="152"/>
  <c r="D72" i="151"/>
  <c r="P72" i="151" s="1"/>
  <c r="Q72" i="151" s="1"/>
  <c r="CB118" i="67"/>
  <c r="L118" i="156" s="1"/>
  <c r="L130" i="156" s="1"/>
  <c r="J106" i="154"/>
  <c r="S106" i="154" s="1"/>
  <c r="J106" i="153"/>
  <c r="S106" i="153" s="1"/>
  <c r="CA110" i="67"/>
  <c r="AL10" i="17"/>
  <c r="AO10" i="17"/>
  <c r="D73" i="151"/>
  <c r="P73" i="151" s="1"/>
  <c r="Q73" i="151" s="1"/>
  <c r="DS73" i="4"/>
  <c r="D73" i="152"/>
  <c r="D35" i="153"/>
  <c r="D35" i="154"/>
  <c r="CB121" i="67"/>
  <c r="L121" i="156" s="1"/>
  <c r="L133" i="156" s="1"/>
  <c r="J109" i="153"/>
  <c r="S109" i="153" s="1"/>
  <c r="J109" i="154"/>
  <c r="S109" i="154" s="1"/>
  <c r="D37" i="153"/>
  <c r="D37" i="154"/>
  <c r="CA116" i="67"/>
  <c r="D23" i="151"/>
  <c r="P23" i="151" s="1"/>
  <c r="Q23" i="151" s="1"/>
  <c r="DS23" i="4"/>
  <c r="D23" i="152"/>
  <c r="DS38" i="4"/>
  <c r="D38" i="151"/>
  <c r="P38" i="151" s="1"/>
  <c r="Q38" i="151" s="1"/>
  <c r="D38" i="152"/>
  <c r="D35" i="151"/>
  <c r="P35" i="151" s="1"/>
  <c r="Q35" i="151" s="1"/>
  <c r="DS35" i="4"/>
  <c r="D35" i="152"/>
  <c r="CA121" i="67"/>
  <c r="D72" i="153"/>
  <c r="D72" i="154"/>
  <c r="D56" i="152"/>
  <c r="D56" i="151"/>
  <c r="P56" i="151" s="1"/>
  <c r="Q56" i="151" s="1"/>
  <c r="DS56" i="4"/>
  <c r="D23" i="154"/>
  <c r="D23" i="153"/>
  <c r="D44" i="151"/>
  <c r="P44" i="151" s="1"/>
  <c r="Q44" i="151" s="1"/>
  <c r="DS44" i="4"/>
  <c r="D44" i="152"/>
  <c r="F11" i="67"/>
  <c r="J2" i="67"/>
  <c r="J3" i="67"/>
  <c r="N11" i="67"/>
  <c r="F45" i="67"/>
  <c r="N28" i="67"/>
  <c r="F25" i="67"/>
  <c r="N55" i="67"/>
  <c r="F60" i="67"/>
  <c r="F49" i="67"/>
  <c r="N22" i="67"/>
  <c r="N33" i="67"/>
  <c r="D33" i="77" s="1"/>
  <c r="J24" i="67"/>
  <c r="F64" i="67"/>
  <c r="F53" i="67"/>
  <c r="F54" i="67"/>
  <c r="J27" i="67"/>
  <c r="N24" i="67"/>
  <c r="N61" i="67"/>
  <c r="N50" i="67"/>
  <c r="F34" i="67"/>
  <c r="N69" i="67"/>
  <c r="J10" i="67"/>
  <c r="N7" i="67"/>
  <c r="N2" i="67"/>
  <c r="J45" i="67"/>
  <c r="F46" i="67"/>
  <c r="J20" i="67"/>
  <c r="D20" i="76" s="1"/>
  <c r="N67" i="67"/>
  <c r="D67" i="36" s="1"/>
  <c r="J58" i="67"/>
  <c r="N41" i="67"/>
  <c r="J34" i="67"/>
  <c r="F39" i="67"/>
  <c r="J72" i="67"/>
  <c r="F20" i="67"/>
  <c r="N58" i="67"/>
  <c r="N37" i="67"/>
  <c r="F30" i="67"/>
  <c r="D30" i="75" s="1"/>
  <c r="F69" i="67"/>
  <c r="F44" i="67"/>
  <c r="N42" i="67"/>
  <c r="N57" i="67"/>
  <c r="F10" i="67"/>
  <c r="N6" i="67"/>
  <c r="N10" i="67"/>
  <c r="F57" i="67"/>
  <c r="J47" i="67"/>
  <c r="N19" i="67"/>
  <c r="J68" i="67"/>
  <c r="F61" i="67"/>
  <c r="N32" i="67"/>
  <c r="N43" i="67"/>
  <c r="J36" i="67"/>
  <c r="F19" i="67"/>
  <c r="F66" i="67"/>
  <c r="N47" i="67"/>
  <c r="J31" i="67"/>
  <c r="F31" i="67"/>
  <c r="N14" i="67"/>
  <c r="N15" i="67"/>
  <c r="F56" i="67"/>
  <c r="N51" i="67"/>
  <c r="J8" i="67"/>
  <c r="N5" i="67"/>
  <c r="N9" i="67"/>
  <c r="J65" i="67"/>
  <c r="F58" i="67"/>
  <c r="F37" i="67"/>
  <c r="F15" i="67"/>
  <c r="J59" i="67"/>
  <c r="DQ59" i="4" s="1"/>
  <c r="F51" i="67"/>
  <c r="N34" i="67"/>
  <c r="J25" i="67"/>
  <c r="F28" i="67"/>
  <c r="J73" i="67"/>
  <c r="J40" i="67"/>
  <c r="J28" i="67"/>
  <c r="F32" i="67"/>
  <c r="J30" i="67"/>
  <c r="J9" i="67"/>
  <c r="F4" i="67"/>
  <c r="F8" i="67"/>
  <c r="J7" i="67"/>
  <c r="N4" i="67"/>
  <c r="N8" i="67"/>
  <c r="J56" i="67"/>
  <c r="DQ56" i="4" s="1"/>
  <c r="N29" i="67"/>
  <c r="J21" i="67"/>
  <c r="F73" i="67"/>
  <c r="J61" i="67"/>
  <c r="F27" i="67"/>
  <c r="DQ16" i="4"/>
  <c r="N59" i="67"/>
  <c r="N48" i="67"/>
  <c r="J29" i="67"/>
  <c r="F71" i="67"/>
  <c r="N38" i="67"/>
  <c r="F6" i="67"/>
  <c r="F3" i="67"/>
  <c r="J13" i="67"/>
  <c r="J6" i="67"/>
  <c r="N3" i="67"/>
  <c r="J18" i="67"/>
  <c r="J19" i="67"/>
  <c r="N54" i="67"/>
  <c r="F47" i="67"/>
  <c r="N20" i="67"/>
  <c r="N21" i="67"/>
  <c r="J69" i="67"/>
  <c r="J15" i="67"/>
  <c r="F63" i="67"/>
  <c r="N44" i="67"/>
  <c r="J37" i="67"/>
  <c r="N36" i="67"/>
  <c r="D39" i="34"/>
  <c r="F67" i="67"/>
  <c r="J50" i="67"/>
  <c r="J41" i="67"/>
  <c r="F42" i="67"/>
  <c r="J43" i="67"/>
  <c r="J64" i="67"/>
  <c r="J54" i="67"/>
  <c r="N39" i="67"/>
  <c r="F7" i="67"/>
  <c r="F9" i="67"/>
  <c r="F13" i="67"/>
  <c r="J12" i="67"/>
  <c r="J5" i="67"/>
  <c r="N13" i="67"/>
  <c r="F35" i="67"/>
  <c r="N18" i="67"/>
  <c r="J66" i="67"/>
  <c r="J46" i="67"/>
  <c r="N30" i="67"/>
  <c r="J33" i="67"/>
  <c r="F16" i="67"/>
  <c r="N23" i="67"/>
  <c r="J71" i="67"/>
  <c r="F52" i="67"/>
  <c r="ER52" i="4" s="1"/>
  <c r="N35" i="67"/>
  <c r="F21" i="67"/>
  <c r="N60" i="67"/>
  <c r="N49" i="67"/>
  <c r="J42" i="67"/>
  <c r="J17" i="67"/>
  <c r="N68" i="67"/>
  <c r="F5" i="67"/>
  <c r="F12" i="67"/>
  <c r="J11" i="67"/>
  <c r="J4" i="67"/>
  <c r="N12" i="67"/>
  <c r="N27" i="67"/>
  <c r="F36" i="67"/>
  <c r="N66" i="67"/>
  <c r="J57" i="67"/>
  <c r="F48" i="67"/>
  <c r="N31" i="67"/>
  <c r="J23" i="67"/>
  <c r="J35" i="67"/>
  <c r="N56" i="67"/>
  <c r="J49" i="67"/>
  <c r="N46" i="67"/>
  <c r="F29" i="67"/>
  <c r="F22" i="67"/>
  <c r="F68" i="67"/>
  <c r="J51" i="67"/>
  <c r="J52" i="67"/>
  <c r="N16" i="67"/>
  <c r="J44" i="67"/>
  <c r="J60" i="67"/>
  <c r="D10" i="75"/>
  <c r="D65" i="75"/>
  <c r="D16" i="30"/>
  <c r="D16" i="34"/>
  <c r="D16" i="76"/>
  <c r="ES16" i="4"/>
  <c r="D25" i="75"/>
  <c r="D39" i="76"/>
  <c r="DQ39" i="4"/>
  <c r="ES39" i="4"/>
  <c r="D25" i="28"/>
  <c r="D39" i="30"/>
  <c r="P121" i="34"/>
  <c r="P121" i="30"/>
  <c r="P120" i="34"/>
  <c r="P120" i="30"/>
  <c r="P118" i="34"/>
  <c r="P118" i="30"/>
  <c r="P117" i="30"/>
  <c r="P117" i="34"/>
  <c r="P116" i="34"/>
  <c r="P116" i="30"/>
  <c r="P119" i="30"/>
  <c r="P119" i="34"/>
  <c r="J26" i="67"/>
  <c r="DR25" i="4"/>
  <c r="ET25" i="4"/>
  <c r="D25" i="77"/>
  <c r="D25" i="36"/>
  <c r="D25" i="32"/>
  <c r="CB112" i="67"/>
  <c r="L112" i="156" s="1"/>
  <c r="L124" i="156" s="1"/>
  <c r="Z5" i="17"/>
  <c r="F38" i="67"/>
  <c r="D71" i="77"/>
  <c r="ET71" i="4"/>
  <c r="DR71" i="4"/>
  <c r="D71" i="36"/>
  <c r="D71" i="32"/>
  <c r="F2" i="67"/>
  <c r="D5" i="17"/>
  <c r="D24" i="30"/>
  <c r="ES53" i="4"/>
  <c r="DQ53" i="4"/>
  <c r="D53" i="76"/>
  <c r="D53" i="34"/>
  <c r="D53" i="30"/>
  <c r="F50" i="67"/>
  <c r="ES22" i="4"/>
  <c r="DQ22" i="4"/>
  <c r="J62" i="67"/>
  <c r="CB111" i="67"/>
  <c r="L111" i="156" s="1"/>
  <c r="L123" i="156" s="1"/>
  <c r="ET28" i="4"/>
  <c r="ET72" i="4"/>
  <c r="D72" i="77"/>
  <c r="DR72" i="4"/>
  <c r="D72" i="36"/>
  <c r="D72" i="32"/>
  <c r="D60" i="28"/>
  <c r="ER72" i="4"/>
  <c r="DP72" i="4"/>
  <c r="D72" i="75"/>
  <c r="D72" i="38"/>
  <c r="D72" i="28"/>
  <c r="ET40" i="4"/>
  <c r="D40" i="77"/>
  <c r="DR40" i="4"/>
  <c r="D40" i="36"/>
  <c r="D40" i="32"/>
  <c r="J38" i="67"/>
  <c r="ER55" i="4"/>
  <c r="DP55" i="4"/>
  <c r="D55" i="75"/>
  <c r="D55" i="38"/>
  <c r="D55" i="28"/>
  <c r="DP17" i="4"/>
  <c r="ER17" i="4"/>
  <c r="D17" i="75"/>
  <c r="D17" i="38"/>
  <c r="D17" i="28"/>
  <c r="ER59" i="4"/>
  <c r="DP59" i="4"/>
  <c r="D59" i="75"/>
  <c r="D59" i="38"/>
  <c r="D59" i="28"/>
  <c r="ER43" i="4"/>
  <c r="DP43" i="4"/>
  <c r="D43" i="75"/>
  <c r="D43" i="38"/>
  <c r="D43" i="28"/>
  <c r="D59" i="30"/>
  <c r="CB115" i="67"/>
  <c r="L115" i="156" s="1"/>
  <c r="L127" i="156" s="1"/>
  <c r="CB113" i="67"/>
  <c r="L113" i="156" s="1"/>
  <c r="L125" i="156" s="1"/>
  <c r="CB110" i="67"/>
  <c r="L110" i="156" s="1"/>
  <c r="L122" i="156" s="1"/>
  <c r="DQ48" i="4"/>
  <c r="ES48" i="4"/>
  <c r="D48" i="76"/>
  <c r="D48" i="34"/>
  <c r="D48" i="30"/>
  <c r="DR64" i="4"/>
  <c r="ET64" i="4"/>
  <c r="D64" i="77"/>
  <c r="D64" i="36"/>
  <c r="D64" i="32"/>
  <c r="D53" i="77"/>
  <c r="ET53" i="4"/>
  <c r="DR53" i="4"/>
  <c r="D53" i="36"/>
  <c r="D53" i="32"/>
  <c r="O5" i="17"/>
  <c r="D63" i="30"/>
  <c r="DQ67" i="4"/>
  <c r="ES67" i="4"/>
  <c r="D67" i="76"/>
  <c r="D67" i="34"/>
  <c r="D67" i="30"/>
  <c r="DP18" i="4"/>
  <c r="D18" i="75"/>
  <c r="D18" i="38"/>
  <c r="D18" i="28"/>
  <c r="F14" i="67"/>
  <c r="D64" i="28"/>
  <c r="D65" i="77"/>
  <c r="DR65" i="4"/>
  <c r="ET65" i="4"/>
  <c r="D65" i="36"/>
  <c r="D65" i="32"/>
  <c r="D29" i="77"/>
  <c r="ET11" i="4"/>
  <c r="D19" i="77"/>
  <c r="DR62" i="4"/>
  <c r="D62" i="77"/>
  <c r="ET62" i="4"/>
  <c r="D62" i="36"/>
  <c r="D62" i="32"/>
  <c r="DR73" i="4"/>
  <c r="D73" i="77"/>
  <c r="D3" i="30"/>
  <c r="D60" i="77"/>
  <c r="F26" i="67"/>
  <c r="ER70" i="4"/>
  <c r="D70" i="75"/>
  <c r="D70" i="28"/>
  <c r="ES70" i="4"/>
  <c r="D70" i="76"/>
  <c r="D70" i="34"/>
  <c r="D70" i="30"/>
  <c r="ES55" i="4"/>
  <c r="DQ55" i="4"/>
  <c r="D55" i="76"/>
  <c r="D55" i="34"/>
  <c r="D55" i="30"/>
  <c r="ER40" i="4"/>
  <c r="DP40" i="4"/>
  <c r="D40" i="75"/>
  <c r="D40" i="38"/>
  <c r="D40" i="28"/>
  <c r="ER20" i="4"/>
  <c r="DR63" i="4"/>
  <c r="ET63" i="4"/>
  <c r="D63" i="77"/>
  <c r="D63" i="36"/>
  <c r="D63" i="32"/>
  <c r="D9" i="76"/>
  <c r="D17" i="77"/>
  <c r="DR17" i="4"/>
  <c r="ET17" i="4"/>
  <c r="D17" i="36"/>
  <c r="D17" i="32"/>
  <c r="D70" i="77"/>
  <c r="ET70" i="4"/>
  <c r="DR70" i="4"/>
  <c r="D70" i="36"/>
  <c r="D70" i="32"/>
  <c r="F62" i="67"/>
  <c r="J14" i="67"/>
  <c r="DR23" i="4"/>
  <c r="D66" i="28"/>
  <c r="ER24" i="4"/>
  <c r="DP24" i="4"/>
  <c r="D24" i="75"/>
  <c r="D24" i="38"/>
  <c r="D24" i="28"/>
  <c r="D45" i="77"/>
  <c r="ET45" i="4"/>
  <c r="DR45" i="4"/>
  <c r="D45" i="36"/>
  <c r="D45" i="32"/>
  <c r="N26" i="67"/>
  <c r="ET52" i="4"/>
  <c r="DR52" i="4"/>
  <c r="D52" i="77"/>
  <c r="D52" i="36"/>
  <c r="D52" i="32"/>
  <c r="DQ32" i="4"/>
  <c r="ES32" i="4"/>
  <c r="D32" i="76"/>
  <c r="D32" i="34"/>
  <c r="D32" i="30"/>
  <c r="DP33" i="4"/>
  <c r="ER33" i="4"/>
  <c r="D33" i="75"/>
  <c r="D33" i="38"/>
  <c r="D33" i="28"/>
  <c r="CB114" i="67"/>
  <c r="L114" i="156" s="1"/>
  <c r="L126" i="156" s="1"/>
  <c r="K63" i="148"/>
  <c r="L135" i="156" l="1"/>
  <c r="U135" i="156" s="1"/>
  <c r="U123" i="156"/>
  <c r="U126" i="156"/>
  <c r="L138" i="156"/>
  <c r="U138" i="156" s="1"/>
  <c r="L142" i="156"/>
  <c r="U142" i="156" s="1"/>
  <c r="U130" i="156"/>
  <c r="U128" i="156"/>
  <c r="L140" i="156"/>
  <c r="U140" i="156" s="1"/>
  <c r="U125" i="156"/>
  <c r="L137" i="156"/>
  <c r="U137" i="156" s="1"/>
  <c r="U131" i="156"/>
  <c r="L143" i="156"/>
  <c r="U143" i="156" s="1"/>
  <c r="L139" i="156"/>
  <c r="U139" i="156" s="1"/>
  <c r="U127" i="156"/>
  <c r="L144" i="156"/>
  <c r="U144" i="156" s="1"/>
  <c r="U132" i="156"/>
  <c r="L136" i="156"/>
  <c r="U136" i="156" s="1"/>
  <c r="U124" i="156"/>
  <c r="U122" i="156"/>
  <c r="L134" i="156"/>
  <c r="U134" i="156" s="1"/>
  <c r="L145" i="156"/>
  <c r="U145" i="156" s="1"/>
  <c r="U133" i="156"/>
  <c r="L141" i="156"/>
  <c r="U141" i="156" s="1"/>
  <c r="U129" i="156"/>
  <c r="D41" i="28"/>
  <c r="AL20" i="57"/>
  <c r="AK19" i="57"/>
  <c r="D31" i="74" s="1"/>
  <c r="DQ6" i="4"/>
  <c r="ER2" i="4"/>
  <c r="ER10" i="4"/>
  <c r="ER65" i="4"/>
  <c r="D49" i="75"/>
  <c r="D5" i="30"/>
  <c r="D9" i="77"/>
  <c r="D73" i="36"/>
  <c r="DP4" i="4"/>
  <c r="D10" i="76"/>
  <c r="D22" i="77"/>
  <c r="DR28" i="4"/>
  <c r="D2" i="77"/>
  <c r="DR32" i="4"/>
  <c r="D58" i="77"/>
  <c r="D14" i="36"/>
  <c r="D56" i="34"/>
  <c r="DR60" i="4"/>
  <c r="DR50" i="4"/>
  <c r="D22" i="76"/>
  <c r="D22" i="32"/>
  <c r="D33" i="32"/>
  <c r="ES3" i="4"/>
  <c r="DR11" i="4"/>
  <c r="DP20" i="4"/>
  <c r="D20" i="30"/>
  <c r="D63" i="76"/>
  <c r="DQ63" i="4"/>
  <c r="ES63" i="4"/>
  <c r="DQ40" i="4"/>
  <c r="ET51" i="4"/>
  <c r="D63" i="34"/>
  <c r="D32" i="77"/>
  <c r="D58" i="36"/>
  <c r="ER30" i="4"/>
  <c r="D22" i="30"/>
  <c r="D41" i="75"/>
  <c r="ES20" i="4"/>
  <c r="ES41" i="4"/>
  <c r="D60" i="32"/>
  <c r="D22" i="34"/>
  <c r="D8" i="30"/>
  <c r="D25" i="30"/>
  <c r="D32" i="28"/>
  <c r="D18" i="30"/>
  <c r="D41" i="32"/>
  <c r="D64" i="75"/>
  <c r="D32" i="75"/>
  <c r="D47" i="30"/>
  <c r="ER69" i="4"/>
  <c r="DP19" i="4"/>
  <c r="D69" i="32"/>
  <c r="D41" i="36"/>
  <c r="ER19" i="4"/>
  <c r="D64" i="38"/>
  <c r="D69" i="36"/>
  <c r="ER64" i="4"/>
  <c r="ET41" i="4"/>
  <c r="D48" i="77"/>
  <c r="DP64" i="4"/>
  <c r="D30" i="34"/>
  <c r="D41" i="77"/>
  <c r="DP32" i="4"/>
  <c r="D51" i="32"/>
  <c r="D47" i="76"/>
  <c r="DR41" i="4"/>
  <c r="D51" i="77"/>
  <c r="ES47" i="4"/>
  <c r="DR36" i="4"/>
  <c r="ET3" i="4"/>
  <c r="D29" i="34"/>
  <c r="D69" i="75"/>
  <c r="DQ29" i="4"/>
  <c r="D57" i="28"/>
  <c r="DR29" i="4"/>
  <c r="D10" i="30"/>
  <c r="D2" i="32"/>
  <c r="D57" i="75"/>
  <c r="ET29" i="4"/>
  <c r="DQ10" i="4"/>
  <c r="D30" i="38"/>
  <c r="ES58" i="4"/>
  <c r="D20" i="32"/>
  <c r="D30" i="77"/>
  <c r="D41" i="38"/>
  <c r="D25" i="38"/>
  <c r="DQ58" i="4"/>
  <c r="D28" i="32"/>
  <c r="DP30" i="4"/>
  <c r="D28" i="36"/>
  <c r="D39" i="38"/>
  <c r="ET4" i="4"/>
  <c r="D58" i="75"/>
  <c r="D37" i="32"/>
  <c r="DQ69" i="4"/>
  <c r="D15" i="38"/>
  <c r="D69" i="30"/>
  <c r="D39" i="36"/>
  <c r="DP48" i="4"/>
  <c r="ES69" i="4"/>
  <c r="D9" i="32"/>
  <c r="D51" i="36"/>
  <c r="ES31" i="4"/>
  <c r="D50" i="34"/>
  <c r="D30" i="30"/>
  <c r="ET13" i="4"/>
  <c r="D2" i="36"/>
  <c r="D10" i="77"/>
  <c r="D3" i="36"/>
  <c r="D49" i="76"/>
  <c r="D27" i="30"/>
  <c r="D37" i="38"/>
  <c r="DQ36" i="4"/>
  <c r="D32" i="32"/>
  <c r="DR9" i="4"/>
  <c r="DR8" i="4"/>
  <c r="D32" i="36"/>
  <c r="DR12" i="4"/>
  <c r="ES44" i="4"/>
  <c r="DR43" i="4"/>
  <c r="D6" i="32"/>
  <c r="DR59" i="4"/>
  <c r="D10" i="36"/>
  <c r="D18" i="32"/>
  <c r="D73" i="76"/>
  <c r="D56" i="75"/>
  <c r="DP5" i="4"/>
  <c r="D8" i="32"/>
  <c r="DQ50" i="4"/>
  <c r="ER73" i="4"/>
  <c r="D49" i="36"/>
  <c r="D42" i="36"/>
  <c r="DQ13" i="4"/>
  <c r="D12" i="75"/>
  <c r="DQ57" i="4"/>
  <c r="D21" i="38"/>
  <c r="DQ18" i="4"/>
  <c r="D23" i="32"/>
  <c r="DP70" i="4"/>
  <c r="DP73" i="4"/>
  <c r="D7" i="75"/>
  <c r="D31" i="36"/>
  <c r="D37" i="34"/>
  <c r="D4" i="28"/>
  <c r="D8" i="28"/>
  <c r="DP71" i="4"/>
  <c r="D73" i="30"/>
  <c r="D73" i="32"/>
  <c r="ET22" i="4"/>
  <c r="D39" i="28"/>
  <c r="D24" i="76"/>
  <c r="D4" i="36"/>
  <c r="DQ73" i="4"/>
  <c r="D25" i="76"/>
  <c r="ET9" i="4"/>
  <c r="ET23" i="4"/>
  <c r="D55" i="77"/>
  <c r="D29" i="32"/>
  <c r="D37" i="76"/>
  <c r="DQ25" i="4"/>
  <c r="D13" i="77"/>
  <c r="ER67" i="4"/>
  <c r="D68" i="30"/>
  <c r="DQ37" i="4"/>
  <c r="DQ66" i="4"/>
  <c r="D68" i="34"/>
  <c r="ES37" i="4"/>
  <c r="DQ68" i="4"/>
  <c r="D64" i="30"/>
  <c r="DR56" i="4"/>
  <c r="D64" i="34"/>
  <c r="D70" i="38"/>
  <c r="D64" i="76"/>
  <c r="DQ47" i="4"/>
  <c r="D7" i="38"/>
  <c r="D4" i="38"/>
  <c r="D57" i="34"/>
  <c r="D30" i="76"/>
  <c r="D36" i="28"/>
  <c r="D10" i="34"/>
  <c r="ET2" i="4"/>
  <c r="DP25" i="4"/>
  <c r="D17" i="30"/>
  <c r="D42" i="38"/>
  <c r="D27" i="34"/>
  <c r="DR42" i="4"/>
  <c r="D17" i="34"/>
  <c r="D39" i="77"/>
  <c r="D8" i="34"/>
  <c r="D51" i="75"/>
  <c r="D11" i="28"/>
  <c r="ES27" i="4"/>
  <c r="DQ64" i="4"/>
  <c r="DP36" i="4"/>
  <c r="D17" i="76"/>
  <c r="DP66" i="4"/>
  <c r="DQ35" i="4"/>
  <c r="DR69" i="4"/>
  <c r="ES17" i="4"/>
  <c r="D44" i="30"/>
  <c r="D73" i="38"/>
  <c r="D31" i="30"/>
  <c r="DQ23" i="4"/>
  <c r="D8" i="76"/>
  <c r="D60" i="75"/>
  <c r="ER51" i="4"/>
  <c r="D11" i="38"/>
  <c r="ET5" i="4"/>
  <c r="D58" i="30"/>
  <c r="D29" i="75"/>
  <c r="D73" i="28"/>
  <c r="D39" i="75"/>
  <c r="D60" i="38"/>
  <c r="D58" i="34"/>
  <c r="D13" i="28"/>
  <c r="ET69" i="4"/>
  <c r="DP39" i="4"/>
  <c r="DQ17" i="4"/>
  <c r="D20" i="28"/>
  <c r="D44" i="34"/>
  <c r="D58" i="76"/>
  <c r="D13" i="75"/>
  <c r="D73" i="75"/>
  <c r="D31" i="34"/>
  <c r="D48" i="32"/>
  <c r="ES8" i="4"/>
  <c r="D33" i="36"/>
  <c r="ES12" i="4"/>
  <c r="ER39" i="4"/>
  <c r="DP60" i="4"/>
  <c r="D49" i="30"/>
  <c r="D11" i="75"/>
  <c r="D54" i="32"/>
  <c r="DR54" i="4"/>
  <c r="D37" i="30"/>
  <c r="D25" i="34"/>
  <c r="DQ49" i="4"/>
  <c r="ET66" i="4"/>
  <c r="D35" i="28"/>
  <c r="D45" i="30"/>
  <c r="D45" i="34"/>
  <c r="D6" i="77"/>
  <c r="DP31" i="4"/>
  <c r="D72" i="34"/>
  <c r="DP28" i="4"/>
  <c r="D61" i="38"/>
  <c r="ES61" i="4"/>
  <c r="D13" i="30"/>
  <c r="D11" i="32"/>
  <c r="D24" i="77"/>
  <c r="D15" i="36"/>
  <c r="ER61" i="4"/>
  <c r="DQ45" i="4"/>
  <c r="D13" i="34"/>
  <c r="D40" i="30"/>
  <c r="ES64" i="4"/>
  <c r="D11" i="36"/>
  <c r="D12" i="28"/>
  <c r="D43" i="36"/>
  <c r="DR24" i="4"/>
  <c r="ET15" i="4"/>
  <c r="D36" i="38"/>
  <c r="ET6" i="4"/>
  <c r="D13" i="32"/>
  <c r="ES72" i="4"/>
  <c r="D35" i="36"/>
  <c r="DR35" i="4"/>
  <c r="ES45" i="4"/>
  <c r="D58" i="32"/>
  <c r="D13" i="76"/>
  <c r="D40" i="34"/>
  <c r="D11" i="77"/>
  <c r="D12" i="38"/>
  <c r="ET68" i="4"/>
  <c r="ET43" i="4"/>
  <c r="ET24" i="4"/>
  <c r="D15" i="77"/>
  <c r="D65" i="30"/>
  <c r="ER36" i="4"/>
  <c r="D13" i="36"/>
  <c r="D37" i="28"/>
  <c r="ES13" i="4"/>
  <c r="ES40" i="4"/>
  <c r="D37" i="75"/>
  <c r="D44" i="76"/>
  <c r="ES52" i="4"/>
  <c r="D35" i="76"/>
  <c r="D50" i="36"/>
  <c r="DQ65" i="4"/>
  <c r="D66" i="30"/>
  <c r="D65" i="34"/>
  <c r="ER12" i="4"/>
  <c r="D65" i="76"/>
  <c r="ET58" i="4"/>
  <c r="D48" i="28"/>
  <c r="D67" i="28"/>
  <c r="DP49" i="4"/>
  <c r="D9" i="36"/>
  <c r="DR58" i="4"/>
  <c r="DQ44" i="4"/>
  <c r="D48" i="75"/>
  <c r="ET20" i="4"/>
  <c r="ES35" i="4"/>
  <c r="D52" i="38"/>
  <c r="D7" i="28"/>
  <c r="D29" i="36"/>
  <c r="ER18" i="4"/>
  <c r="D15" i="30"/>
  <c r="ET50" i="4"/>
  <c r="D11" i="34"/>
  <c r="DR18" i="4"/>
  <c r="ES25" i="4"/>
  <c r="DQ30" i="4"/>
  <c r="ER60" i="4"/>
  <c r="D66" i="76"/>
  <c r="ER11" i="4"/>
  <c r="DR2" i="4"/>
  <c r="D67" i="75"/>
  <c r="DP57" i="4"/>
  <c r="DP41" i="4"/>
  <c r="D50" i="77"/>
  <c r="D57" i="32"/>
  <c r="D46" i="32"/>
  <c r="D8" i="75"/>
  <c r="D49" i="38"/>
  <c r="D66" i="32"/>
  <c r="DQ54" i="4"/>
  <c r="D57" i="77"/>
  <c r="ER7" i="4"/>
  <c r="D46" i="77"/>
  <c r="D35" i="32"/>
  <c r="D23" i="36"/>
  <c r="D66" i="77"/>
  <c r="D4" i="32"/>
  <c r="D35" i="38"/>
  <c r="D31" i="76"/>
  <c r="ES54" i="4"/>
  <c r="ET33" i="4"/>
  <c r="D4" i="75"/>
  <c r="ET57" i="4"/>
  <c r="ES49" i="4"/>
  <c r="DR46" i="4"/>
  <c r="D27" i="76"/>
  <c r="D68" i="76"/>
  <c r="ET54" i="4"/>
  <c r="ER35" i="4"/>
  <c r="D28" i="28"/>
  <c r="DR57" i="4"/>
  <c r="ET35" i="4"/>
  <c r="D23" i="77"/>
  <c r="DR4" i="4"/>
  <c r="D20" i="34"/>
  <c r="DQ31" i="4"/>
  <c r="D28" i="75"/>
  <c r="DR33" i="4"/>
  <c r="ES19" i="4"/>
  <c r="D71" i="34"/>
  <c r="D61" i="28"/>
  <c r="D3" i="75"/>
  <c r="DQ27" i="4"/>
  <c r="ES68" i="4"/>
  <c r="D6" i="34"/>
  <c r="ET42" i="4"/>
  <c r="D31" i="28"/>
  <c r="D21" i="32"/>
  <c r="D6" i="75"/>
  <c r="D61" i="30"/>
  <c r="DQ20" i="4"/>
  <c r="ER28" i="4"/>
  <c r="ER6" i="4"/>
  <c r="D24" i="32"/>
  <c r="D61" i="75"/>
  <c r="D6" i="36"/>
  <c r="D31" i="75"/>
  <c r="D21" i="77"/>
  <c r="ET49" i="4"/>
  <c r="D42" i="32"/>
  <c r="DQ71" i="4"/>
  <c r="D61" i="76"/>
  <c r="D24" i="36"/>
  <c r="D15" i="32"/>
  <c r="DP61" i="4"/>
  <c r="DR6" i="4"/>
  <c r="ER31" i="4"/>
  <c r="ET21" i="4"/>
  <c r="D57" i="30"/>
  <c r="ET36" i="4"/>
  <c r="D71" i="76"/>
  <c r="D3" i="77"/>
  <c r="D46" i="36"/>
  <c r="D67" i="38"/>
  <c r="D49" i="77"/>
  <c r="D45" i="76"/>
  <c r="D56" i="30"/>
  <c r="D30" i="28"/>
  <c r="D40" i="76"/>
  <c r="ET60" i="4"/>
  <c r="DP35" i="4"/>
  <c r="D47" i="34"/>
  <c r="DP7" i="4"/>
  <c r="DQ8" i="4"/>
  <c r="D28" i="38"/>
  <c r="D69" i="77"/>
  <c r="DP12" i="4"/>
  <c r="D50" i="32"/>
  <c r="ES57" i="4"/>
  <c r="D43" i="77"/>
  <c r="ES71" i="4"/>
  <c r="D47" i="28"/>
  <c r="ES30" i="4"/>
  <c r="ES65" i="4"/>
  <c r="DR3" i="4"/>
  <c r="D28" i="77"/>
  <c r="D34" i="38"/>
  <c r="ES10" i="4"/>
  <c r="DR13" i="4"/>
  <c r="ET46" i="4"/>
  <c r="D31" i="38"/>
  <c r="DP67" i="4"/>
  <c r="DR49" i="4"/>
  <c r="ET37" i="4"/>
  <c r="D47" i="75"/>
  <c r="D56" i="76"/>
  <c r="D31" i="32"/>
  <c r="D41" i="30"/>
  <c r="D59" i="77"/>
  <c r="ER47" i="4"/>
  <c r="DP3" i="4"/>
  <c r="D46" i="34"/>
  <c r="D57" i="38"/>
  <c r="D12" i="30"/>
  <c r="D41" i="34"/>
  <c r="DQ46" i="4"/>
  <c r="D12" i="32"/>
  <c r="ES56" i="4"/>
  <c r="DR39" i="4"/>
  <c r="DP29" i="4"/>
  <c r="D48" i="38"/>
  <c r="D52" i="28"/>
  <c r="D14" i="32"/>
  <c r="DR31" i="4"/>
  <c r="D12" i="34"/>
  <c r="D41" i="76"/>
  <c r="D6" i="28"/>
  <c r="ET18" i="4"/>
  <c r="D32" i="38"/>
  <c r="DP51" i="4"/>
  <c r="D66" i="34"/>
  <c r="D61" i="36"/>
  <c r="D29" i="30"/>
  <c r="D21" i="36"/>
  <c r="ER57" i="4"/>
  <c r="DR67" i="4"/>
  <c r="ER49" i="4"/>
  <c r="D49" i="28"/>
  <c r="D12" i="76"/>
  <c r="D12" i="36"/>
  <c r="D23" i="34"/>
  <c r="D12" i="77"/>
  <c r="D61" i="34"/>
  <c r="D66" i="36"/>
  <c r="D13" i="38"/>
  <c r="ER48" i="4"/>
  <c r="D8" i="36"/>
  <c r="D52" i="75"/>
  <c r="ET14" i="4"/>
  <c r="D23" i="76"/>
  <c r="D50" i="30"/>
  <c r="DQ12" i="4"/>
  <c r="DQ41" i="4"/>
  <c r="D36" i="30"/>
  <c r="DP6" i="4"/>
  <c r="D18" i="77"/>
  <c r="ER32" i="4"/>
  <c r="D4" i="76"/>
  <c r="D46" i="75"/>
  <c r="ES66" i="4"/>
  <c r="D8" i="38"/>
  <c r="D29" i="76"/>
  <c r="DR21" i="4"/>
  <c r="ER25" i="4"/>
  <c r="ET12" i="4"/>
  <c r="DQ61" i="4"/>
  <c r="DR66" i="4"/>
  <c r="DP13" i="4"/>
  <c r="D20" i="36"/>
  <c r="D8" i="77"/>
  <c r="D60" i="30"/>
  <c r="ES23" i="4"/>
  <c r="ES50" i="4"/>
  <c r="D15" i="34"/>
  <c r="ES36" i="4"/>
  <c r="D11" i="76"/>
  <c r="D10" i="32"/>
  <c r="ER58" i="4"/>
  <c r="D33" i="30"/>
  <c r="D18" i="34"/>
  <c r="DP8" i="4"/>
  <c r="ES29" i="4"/>
  <c r="D72" i="76"/>
  <c r="ES6" i="4"/>
  <c r="DQ4" i="4"/>
  <c r="D15" i="76"/>
  <c r="D68" i="32"/>
  <c r="DQ11" i="4"/>
  <c r="D30" i="32"/>
  <c r="D33" i="34"/>
  <c r="D18" i="76"/>
  <c r="ER8" i="4"/>
  <c r="D22" i="28"/>
  <c r="D72" i="30"/>
  <c r="D10" i="28"/>
  <c r="D7" i="30"/>
  <c r="D19" i="28"/>
  <c r="D60" i="76"/>
  <c r="D48" i="36"/>
  <c r="D54" i="30"/>
  <c r="ES15" i="4"/>
  <c r="D68" i="36"/>
  <c r="D59" i="34"/>
  <c r="D36" i="32"/>
  <c r="ET10" i="4"/>
  <c r="D30" i="36"/>
  <c r="D33" i="76"/>
  <c r="ES18" i="4"/>
  <c r="D22" i="75"/>
  <c r="DQ72" i="4"/>
  <c r="D60" i="34"/>
  <c r="D35" i="30"/>
  <c r="ET30" i="4"/>
  <c r="D52" i="30"/>
  <c r="ER13" i="4"/>
  <c r="D52" i="34"/>
  <c r="D51" i="34"/>
  <c r="D5" i="28"/>
  <c r="D52" i="76"/>
  <c r="DQ7" i="4"/>
  <c r="D19" i="38"/>
  <c r="DQ60" i="4"/>
  <c r="ET48" i="4"/>
  <c r="D54" i="34"/>
  <c r="DQ15" i="4"/>
  <c r="D68" i="77"/>
  <c r="D59" i="76"/>
  <c r="D36" i="36"/>
  <c r="ES33" i="4"/>
  <c r="ER22" i="4"/>
  <c r="D35" i="77"/>
  <c r="D51" i="76"/>
  <c r="D15" i="75"/>
  <c r="D4" i="77"/>
  <c r="D5" i="38"/>
  <c r="DQ52" i="4"/>
  <c r="ES73" i="4"/>
  <c r="DR51" i="4"/>
  <c r="D35" i="34"/>
  <c r="D19" i="75"/>
  <c r="ES60" i="4"/>
  <c r="DR48" i="4"/>
  <c r="D54" i="76"/>
  <c r="DR68" i="4"/>
  <c r="ES59" i="4"/>
  <c r="D36" i="77"/>
  <c r="D43" i="32"/>
  <c r="D71" i="30"/>
  <c r="D57" i="36"/>
  <c r="DR15" i="4"/>
  <c r="D3" i="32"/>
  <c r="D49" i="34"/>
  <c r="DR30" i="4"/>
  <c r="DQ33" i="4"/>
  <c r="D42" i="28"/>
  <c r="ER63" i="4"/>
  <c r="D49" i="32"/>
  <c r="D54" i="36"/>
  <c r="ES28" i="4"/>
  <c r="D15" i="28"/>
  <c r="ER4" i="4"/>
  <c r="DP11" i="4"/>
  <c r="DP63" i="4"/>
  <c r="DP22" i="4"/>
  <c r="D68" i="28"/>
  <c r="D9" i="28"/>
  <c r="D68" i="75"/>
  <c r="D9" i="38"/>
  <c r="D21" i="75"/>
  <c r="ER15" i="4"/>
  <c r="D47" i="38"/>
  <c r="DP21" i="4"/>
  <c r="DP53" i="4"/>
  <c r="DP56" i="4"/>
  <c r="D53" i="38"/>
  <c r="D69" i="28"/>
  <c r="D6" i="38"/>
  <c r="DP47" i="4"/>
  <c r="DP37" i="4"/>
  <c r="D53" i="28"/>
  <c r="D53" i="75"/>
  <c r="D69" i="38"/>
  <c r="D34" i="28"/>
  <c r="D45" i="75"/>
  <c r="DP69" i="4"/>
  <c r="D36" i="75"/>
  <c r="D42" i="75"/>
  <c r="D66" i="38"/>
  <c r="D66" i="75"/>
  <c r="D51" i="28"/>
  <c r="ER42" i="4"/>
  <c r="ER66" i="4"/>
  <c r="D35" i="75"/>
  <c r="D51" i="38"/>
  <c r="DP42" i="4"/>
  <c r="D63" i="28"/>
  <c r="D63" i="38"/>
  <c r="ER53" i="4"/>
  <c r="D63" i="75"/>
  <c r="D22" i="38"/>
  <c r="ES9" i="4"/>
  <c r="ES5" i="4"/>
  <c r="D34" i="34"/>
  <c r="ES43" i="4"/>
  <c r="D16" i="77"/>
  <c r="D23" i="75"/>
  <c r="DP23" i="4"/>
  <c r="DQ42" i="4"/>
  <c r="D9" i="30"/>
  <c r="D20" i="38"/>
  <c r="D55" i="32"/>
  <c r="ES7" i="4"/>
  <c r="DQ3" i="4"/>
  <c r="D19" i="32"/>
  <c r="D22" i="36"/>
  <c r="D19" i="34"/>
  <c r="D59" i="36"/>
  <c r="DP46" i="4"/>
  <c r="D3" i="28"/>
  <c r="D58" i="28"/>
  <c r="DP27" i="4"/>
  <c r="D61" i="77"/>
  <c r="ER44" i="4"/>
  <c r="D56" i="32"/>
  <c r="D71" i="38"/>
  <c r="DR5" i="4"/>
  <c r="DP54" i="4"/>
  <c r="D28" i="30"/>
  <c r="J119" i="153"/>
  <c r="S119" i="153" s="1"/>
  <c r="J119" i="154"/>
  <c r="D34" i="30"/>
  <c r="ET44" i="4"/>
  <c r="D47" i="77"/>
  <c r="ER16" i="4"/>
  <c r="D54" i="38"/>
  <c r="ER56" i="4"/>
  <c r="D21" i="28"/>
  <c r="D9" i="34"/>
  <c r="D20" i="75"/>
  <c r="D39" i="32"/>
  <c r="D55" i="36"/>
  <c r="D19" i="36"/>
  <c r="DR22" i="4"/>
  <c r="D19" i="76"/>
  <c r="D11" i="30"/>
  <c r="ET59" i="4"/>
  <c r="ER46" i="4"/>
  <c r="D3" i="38"/>
  <c r="D58" i="38"/>
  <c r="ER27" i="4"/>
  <c r="D56" i="36"/>
  <c r="D71" i="75"/>
  <c r="D5" i="77"/>
  <c r="D6" i="30"/>
  <c r="DQ28" i="4"/>
  <c r="AJ104" i="67"/>
  <c r="I107" i="65"/>
  <c r="ET19" i="4"/>
  <c r="DQ19" i="4"/>
  <c r="J110" i="154"/>
  <c r="J110" i="153"/>
  <c r="S110" i="153" s="1"/>
  <c r="J111" i="153"/>
  <c r="S111" i="153" s="1"/>
  <c r="J111" i="154"/>
  <c r="D56" i="77"/>
  <c r="ER71" i="4"/>
  <c r="ET32" i="4"/>
  <c r="ER21" i="4"/>
  <c r="DQ9" i="4"/>
  <c r="ET39" i="4"/>
  <c r="ET55" i="4"/>
  <c r="D73" i="34"/>
  <c r="D5" i="76"/>
  <c r="DR19" i="4"/>
  <c r="D23" i="30"/>
  <c r="D50" i="76"/>
  <c r="D57" i="76"/>
  <c r="ES11" i="4"/>
  <c r="D18" i="36"/>
  <c r="ER3" i="4"/>
  <c r="DP58" i="4"/>
  <c r="J112" i="153"/>
  <c r="S112" i="153" s="1"/>
  <c r="J112" i="154"/>
  <c r="ET56" i="4"/>
  <c r="D67" i="32"/>
  <c r="DP65" i="4"/>
  <c r="D27" i="32"/>
  <c r="D21" i="30"/>
  <c r="J121" i="154"/>
  <c r="J121" i="153"/>
  <c r="S121" i="153" s="1"/>
  <c r="J118" i="154"/>
  <c r="J118" i="153"/>
  <c r="S118" i="153" s="1"/>
  <c r="D27" i="36"/>
  <c r="D21" i="34"/>
  <c r="D67" i="77"/>
  <c r="D10" i="38"/>
  <c r="D7" i="32"/>
  <c r="D7" i="36"/>
  <c r="D47" i="32"/>
  <c r="D68" i="38"/>
  <c r="D34" i="76"/>
  <c r="D46" i="30"/>
  <c r="D24" i="34"/>
  <c r="ET27" i="4"/>
  <c r="D21" i="76"/>
  <c r="ET67" i="4"/>
  <c r="D54" i="77"/>
  <c r="ER37" i="4"/>
  <c r="D42" i="77"/>
  <c r="J114" i="154"/>
  <c r="J114" i="153"/>
  <c r="S114" i="153" s="1"/>
  <c r="D43" i="30"/>
  <c r="D47" i="36"/>
  <c r="ES34" i="4"/>
  <c r="D54" i="28"/>
  <c r="D69" i="34"/>
  <c r="D20" i="77"/>
  <c r="D36" i="34"/>
  <c r="ET47" i="4"/>
  <c r="DR10" i="4"/>
  <c r="D23" i="28"/>
  <c r="ER68" i="4"/>
  <c r="DQ34" i="4"/>
  <c r="D4" i="30"/>
  <c r="D46" i="76"/>
  <c r="DQ24" i="4"/>
  <c r="D27" i="77"/>
  <c r="ES21" i="4"/>
  <c r="D37" i="36"/>
  <c r="D34" i="32"/>
  <c r="J117" i="153"/>
  <c r="S117" i="153" s="1"/>
  <c r="J117" i="154"/>
  <c r="D5" i="34"/>
  <c r="DQ5" i="4"/>
  <c r="D44" i="32"/>
  <c r="D16" i="32"/>
  <c r="D7" i="77"/>
  <c r="DR27" i="4"/>
  <c r="DQ21" i="4"/>
  <c r="DP15" i="4"/>
  <c r="D16" i="28"/>
  <c r="D44" i="36"/>
  <c r="D29" i="28"/>
  <c r="D43" i="34"/>
  <c r="ET8" i="4"/>
  <c r="DP52" i="4"/>
  <c r="D14" i="77"/>
  <c r="D16" i="36"/>
  <c r="D31" i="77"/>
  <c r="DR7" i="4"/>
  <c r="D69" i="76"/>
  <c r="D51" i="30"/>
  <c r="D16" i="38"/>
  <c r="DR44" i="4"/>
  <c r="D29" i="38"/>
  <c r="D43" i="76"/>
  <c r="DR20" i="4"/>
  <c r="DR14" i="4"/>
  <c r="ET16" i="4"/>
  <c r="ET31" i="4"/>
  <c r="ET7" i="4"/>
  <c r="D36" i="76"/>
  <c r="J113" i="154"/>
  <c r="J113" i="153"/>
  <c r="S113" i="153" s="1"/>
  <c r="DR47" i="4"/>
  <c r="D23" i="38"/>
  <c r="DP68" i="4"/>
  <c r="D4" i="34"/>
  <c r="ES46" i="4"/>
  <c r="ES24" i="4"/>
  <c r="D45" i="28"/>
  <c r="D37" i="77"/>
  <c r="D34" i="36"/>
  <c r="D65" i="38"/>
  <c r="J116" i="153"/>
  <c r="S116" i="153" s="1"/>
  <c r="J116" i="154"/>
  <c r="D45" i="38"/>
  <c r="DR37" i="4"/>
  <c r="D34" i="77"/>
  <c r="D65" i="28"/>
  <c r="D44" i="77"/>
  <c r="DQ43" i="4"/>
  <c r="J115" i="153"/>
  <c r="S115" i="153" s="1"/>
  <c r="J115" i="154"/>
  <c r="DR55" i="4"/>
  <c r="D44" i="28"/>
  <c r="D56" i="28"/>
  <c r="ES51" i="4"/>
  <c r="D5" i="75"/>
  <c r="D7" i="34"/>
  <c r="D3" i="34"/>
  <c r="D42" i="76"/>
  <c r="ER23" i="4"/>
  <c r="ES4" i="4"/>
  <c r="D46" i="28"/>
  <c r="D34" i="75"/>
  <c r="D9" i="75"/>
  <c r="D27" i="28"/>
  <c r="D61" i="32"/>
  <c r="D44" i="38"/>
  <c r="DP45" i="4"/>
  <c r="ET34" i="4"/>
  <c r="D54" i="75"/>
  <c r="D16" i="75"/>
  <c r="D42" i="30"/>
  <c r="DR16" i="4"/>
  <c r="DR34" i="4"/>
  <c r="DP16" i="4"/>
  <c r="ER29" i="4"/>
  <c r="D56" i="38"/>
  <c r="DQ51" i="4"/>
  <c r="ER5" i="4"/>
  <c r="D60" i="36"/>
  <c r="D7" i="76"/>
  <c r="D3" i="76"/>
  <c r="ES42" i="4"/>
  <c r="D46" i="38"/>
  <c r="ER34" i="4"/>
  <c r="ER9" i="4"/>
  <c r="D27" i="38"/>
  <c r="DR61" i="4"/>
  <c r="D44" i="75"/>
  <c r="ER45" i="4"/>
  <c r="D5" i="32"/>
  <c r="D28" i="34"/>
  <c r="DP10" i="4"/>
  <c r="ER54" i="4"/>
  <c r="J120" i="153"/>
  <c r="S120" i="153" s="1"/>
  <c r="J120" i="154"/>
  <c r="D42" i="34"/>
  <c r="D19" i="30"/>
  <c r="D59" i="32"/>
  <c r="DP34" i="4"/>
  <c r="DP9" i="4"/>
  <c r="D27" i="75"/>
  <c r="ET61" i="4"/>
  <c r="DP44" i="4"/>
  <c r="D71" i="28"/>
  <c r="D5" i="36"/>
  <c r="D28" i="76"/>
  <c r="D6" i="76"/>
  <c r="ET38" i="4"/>
  <c r="DR38" i="4"/>
  <c r="D38" i="77"/>
  <c r="D38" i="32"/>
  <c r="D38" i="36"/>
  <c r="DQ14" i="4"/>
  <c r="ES14" i="4"/>
  <c r="D14" i="76"/>
  <c r="D14" i="34"/>
  <c r="D14" i="30"/>
  <c r="P115" i="30"/>
  <c r="ER38" i="4"/>
  <c r="DP38" i="4"/>
  <c r="D38" i="75"/>
  <c r="D38" i="38"/>
  <c r="D38" i="28"/>
  <c r="P112" i="30"/>
  <c r="DP26" i="4"/>
  <c r="ER26" i="4"/>
  <c r="D26" i="75"/>
  <c r="D26" i="38"/>
  <c r="D26" i="28"/>
  <c r="P114" i="30"/>
  <c r="ES38" i="4"/>
  <c r="DQ38" i="4"/>
  <c r="D38" i="76"/>
  <c r="D38" i="34"/>
  <c r="D38" i="30"/>
  <c r="DP2" i="4"/>
  <c r="D2" i="75"/>
  <c r="D2" i="38"/>
  <c r="D2" i="28"/>
  <c r="P111" i="30"/>
  <c r="DQ26" i="4"/>
  <c r="ES26" i="4"/>
  <c r="D26" i="76"/>
  <c r="D26" i="34"/>
  <c r="D26" i="30"/>
  <c r="P113" i="30"/>
  <c r="DP50" i="4"/>
  <c r="ER50" i="4"/>
  <c r="D50" i="75"/>
  <c r="D50" i="38"/>
  <c r="D50" i="28"/>
  <c r="D26" i="77"/>
  <c r="DR26" i="4"/>
  <c r="ET26" i="4"/>
  <c r="D26" i="36"/>
  <c r="D26" i="32"/>
  <c r="DQ2" i="4"/>
  <c r="ES2" i="4"/>
  <c r="D2" i="76"/>
  <c r="D2" i="34"/>
  <c r="D2" i="30"/>
  <c r="P110" i="30"/>
  <c r="ER14" i="4"/>
  <c r="DP14" i="4"/>
  <c r="D14" i="75"/>
  <c r="D14" i="38"/>
  <c r="D14" i="28"/>
  <c r="DQ62" i="4"/>
  <c r="ES62" i="4"/>
  <c r="D62" i="76"/>
  <c r="D62" i="34"/>
  <c r="D62" i="30"/>
  <c r="ER62" i="4"/>
  <c r="DP62" i="4"/>
  <c r="D62" i="75"/>
  <c r="D62" i="38"/>
  <c r="D62" i="28"/>
  <c r="K64" i="148"/>
  <c r="AL21" i="57" l="1"/>
  <c r="AK20" i="57"/>
  <c r="E31" i="74" s="1"/>
  <c r="S112" i="154"/>
  <c r="J124" i="154"/>
  <c r="S116" i="154"/>
  <c r="J128" i="154"/>
  <c r="J125" i="154"/>
  <c r="S113" i="154"/>
  <c r="J126" i="154"/>
  <c r="S114" i="154"/>
  <c r="S118" i="154"/>
  <c r="J130" i="154"/>
  <c r="S111" i="154"/>
  <c r="J123" i="154"/>
  <c r="AJ105" i="67"/>
  <c r="I108" i="65"/>
  <c r="S120" i="154"/>
  <c r="J132" i="154"/>
  <c r="J129" i="154"/>
  <c r="S117" i="154"/>
  <c r="S121" i="154"/>
  <c r="J133" i="154"/>
  <c r="S115" i="154"/>
  <c r="J127" i="154"/>
  <c r="J122" i="154"/>
  <c r="S110" i="154"/>
  <c r="J131" i="154"/>
  <c r="S119" i="154"/>
  <c r="K65" i="148"/>
  <c r="AL22" i="57" l="1"/>
  <c r="AK21" i="57"/>
  <c r="F31" i="74" s="1"/>
  <c r="J144" i="154"/>
  <c r="S144" i="154" s="1"/>
  <c r="S132" i="154"/>
  <c r="AJ106" i="67"/>
  <c r="I109" i="65"/>
  <c r="J135" i="154"/>
  <c r="S135" i="154" s="1"/>
  <c r="S123" i="154"/>
  <c r="J142" i="154"/>
  <c r="S142" i="154" s="1"/>
  <c r="S130" i="154"/>
  <c r="S133" i="154"/>
  <c r="J145" i="154"/>
  <c r="S145" i="154" s="1"/>
  <c r="S131" i="154"/>
  <c r="J143" i="154"/>
  <c r="S143" i="154" s="1"/>
  <c r="J138" i="154"/>
  <c r="S138" i="154" s="1"/>
  <c r="S126" i="154"/>
  <c r="S127" i="154"/>
  <c r="J139" i="154"/>
  <c r="S139" i="154" s="1"/>
  <c r="J137" i="154"/>
  <c r="S137" i="154" s="1"/>
  <c r="S125" i="154"/>
  <c r="J140" i="154"/>
  <c r="S140" i="154" s="1"/>
  <c r="S128" i="154"/>
  <c r="J136" i="154"/>
  <c r="S136" i="154" s="1"/>
  <c r="S124" i="154"/>
  <c r="J134" i="154"/>
  <c r="S134" i="154" s="1"/>
  <c r="S122" i="154"/>
  <c r="J141" i="154"/>
  <c r="S141" i="154" s="1"/>
  <c r="S129" i="154"/>
  <c r="K66" i="148"/>
  <c r="AL23" i="57" l="1"/>
  <c r="AK22" i="57"/>
  <c r="G31" i="74" s="1"/>
  <c r="AJ107" i="67"/>
  <c r="I110" i="65"/>
  <c r="N1" i="77"/>
  <c r="O1" i="77"/>
  <c r="O1" i="76"/>
  <c r="N1" i="76"/>
  <c r="N1" i="75"/>
  <c r="O1" i="75"/>
  <c r="M145" i="77"/>
  <c r="C145" i="77"/>
  <c r="B145" i="77"/>
  <c r="M144" i="77"/>
  <c r="C144" i="77"/>
  <c r="B144" i="77"/>
  <c r="M143" i="77"/>
  <c r="C143" i="77"/>
  <c r="B143" i="77"/>
  <c r="M142" i="77"/>
  <c r="C142" i="77"/>
  <c r="B142" i="77"/>
  <c r="M141" i="77"/>
  <c r="C141" i="77"/>
  <c r="B141" i="77"/>
  <c r="M140" i="77"/>
  <c r="C140" i="77"/>
  <c r="B140" i="77"/>
  <c r="M139" i="77"/>
  <c r="C139" i="77"/>
  <c r="B139" i="77"/>
  <c r="M138" i="77"/>
  <c r="C138" i="77"/>
  <c r="B138" i="77"/>
  <c r="M137" i="77"/>
  <c r="C137" i="77"/>
  <c r="B137" i="77"/>
  <c r="M136" i="77"/>
  <c r="C136" i="77"/>
  <c r="B136" i="77"/>
  <c r="M135" i="77"/>
  <c r="C135" i="77"/>
  <c r="B135" i="77"/>
  <c r="M134" i="77"/>
  <c r="C134" i="77"/>
  <c r="B134" i="77"/>
  <c r="M133" i="77"/>
  <c r="C133" i="77"/>
  <c r="B133" i="77"/>
  <c r="M132" i="77"/>
  <c r="C132" i="77"/>
  <c r="B132" i="77"/>
  <c r="M131" i="77"/>
  <c r="C131" i="77"/>
  <c r="B131" i="77"/>
  <c r="M130" i="77"/>
  <c r="C130" i="77"/>
  <c r="B130" i="77"/>
  <c r="M129" i="77"/>
  <c r="C129" i="77"/>
  <c r="B129" i="77"/>
  <c r="M128" i="77"/>
  <c r="C128" i="77"/>
  <c r="B128" i="77"/>
  <c r="M127" i="77"/>
  <c r="C127" i="77"/>
  <c r="B127" i="77"/>
  <c r="M126" i="77"/>
  <c r="C126" i="77"/>
  <c r="B126" i="77"/>
  <c r="M125" i="77"/>
  <c r="C125" i="77"/>
  <c r="B125" i="77"/>
  <c r="M124" i="77"/>
  <c r="C124" i="77"/>
  <c r="B124" i="77"/>
  <c r="M123" i="77"/>
  <c r="C123" i="77"/>
  <c r="B123" i="77"/>
  <c r="M122" i="77"/>
  <c r="C122" i="77"/>
  <c r="B122" i="77"/>
  <c r="C121" i="77"/>
  <c r="B121" i="77"/>
  <c r="C120" i="77"/>
  <c r="B120" i="77"/>
  <c r="C119" i="77"/>
  <c r="B119" i="77"/>
  <c r="C118" i="77"/>
  <c r="B118" i="77"/>
  <c r="C117" i="77"/>
  <c r="B117" i="77"/>
  <c r="C116" i="77"/>
  <c r="B116" i="77"/>
  <c r="K145" i="77"/>
  <c r="R145" i="77" s="1"/>
  <c r="K144" i="77"/>
  <c r="R144" i="77" s="1"/>
  <c r="K142" i="77"/>
  <c r="R142" i="77" s="1"/>
  <c r="K141" i="77"/>
  <c r="R141" i="77" s="1"/>
  <c r="K140" i="77"/>
  <c r="R140" i="77" s="1"/>
  <c r="K136" i="77"/>
  <c r="R136" i="77" s="1"/>
  <c r="K135" i="77"/>
  <c r="R135" i="77" s="1"/>
  <c r="K133" i="77"/>
  <c r="R133" i="77" s="1"/>
  <c r="K132" i="77"/>
  <c r="R132" i="77" s="1"/>
  <c r="K131" i="77"/>
  <c r="R131" i="77" s="1"/>
  <c r="K130" i="77"/>
  <c r="R130" i="77" s="1"/>
  <c r="K129" i="77"/>
  <c r="R129" i="77" s="1"/>
  <c r="K128" i="77"/>
  <c r="R128" i="77" s="1"/>
  <c r="K126" i="77"/>
  <c r="R126" i="77" s="1"/>
  <c r="K125" i="77"/>
  <c r="R125" i="77" s="1"/>
  <c r="P1" i="77"/>
  <c r="R1" i="77"/>
  <c r="Q1" i="77"/>
  <c r="M145" i="76"/>
  <c r="C145" i="76"/>
  <c r="B145" i="76"/>
  <c r="M144" i="76"/>
  <c r="C144" i="76"/>
  <c r="B144" i="76"/>
  <c r="M143" i="76"/>
  <c r="C143" i="76"/>
  <c r="B143" i="76"/>
  <c r="M142" i="76"/>
  <c r="C142" i="76"/>
  <c r="B142" i="76"/>
  <c r="M141" i="76"/>
  <c r="C141" i="76"/>
  <c r="B141" i="76"/>
  <c r="M140" i="76"/>
  <c r="C140" i="76"/>
  <c r="B140" i="76"/>
  <c r="M139" i="76"/>
  <c r="C139" i="76"/>
  <c r="B139" i="76"/>
  <c r="M138" i="76"/>
  <c r="C138" i="76"/>
  <c r="B138" i="76"/>
  <c r="M137" i="76"/>
  <c r="C137" i="76"/>
  <c r="B137" i="76"/>
  <c r="M136" i="76"/>
  <c r="C136" i="76"/>
  <c r="B136" i="76"/>
  <c r="M135" i="76"/>
  <c r="C135" i="76"/>
  <c r="B135" i="76"/>
  <c r="M134" i="76"/>
  <c r="C134" i="76"/>
  <c r="B134" i="76"/>
  <c r="M133" i="76"/>
  <c r="C133" i="76"/>
  <c r="B133" i="76"/>
  <c r="M132" i="76"/>
  <c r="C132" i="76"/>
  <c r="B132" i="76"/>
  <c r="M131" i="76"/>
  <c r="C131" i="76"/>
  <c r="B131" i="76"/>
  <c r="M130" i="76"/>
  <c r="C130" i="76"/>
  <c r="B130" i="76"/>
  <c r="M129" i="76"/>
  <c r="C129" i="76"/>
  <c r="B129" i="76"/>
  <c r="M128" i="76"/>
  <c r="C128" i="76"/>
  <c r="B128" i="76"/>
  <c r="M127" i="76"/>
  <c r="C127" i="76"/>
  <c r="B127" i="76"/>
  <c r="M126" i="76"/>
  <c r="C126" i="76"/>
  <c r="B126" i="76"/>
  <c r="M125" i="76"/>
  <c r="C125" i="76"/>
  <c r="B125" i="76"/>
  <c r="M124" i="76"/>
  <c r="C124" i="76"/>
  <c r="B124" i="76"/>
  <c r="M123" i="76"/>
  <c r="C123" i="76"/>
  <c r="B123" i="76"/>
  <c r="M122" i="76"/>
  <c r="C122" i="76"/>
  <c r="B122" i="76"/>
  <c r="C121" i="76"/>
  <c r="B121" i="76"/>
  <c r="C120" i="76"/>
  <c r="B120" i="76"/>
  <c r="C119" i="76"/>
  <c r="B119" i="76"/>
  <c r="C118" i="76"/>
  <c r="B118" i="76"/>
  <c r="C117" i="76"/>
  <c r="B117" i="76"/>
  <c r="C116" i="76"/>
  <c r="B116" i="76"/>
  <c r="M145" i="75"/>
  <c r="C145" i="75"/>
  <c r="B145" i="75"/>
  <c r="M144" i="75"/>
  <c r="C144" i="75"/>
  <c r="B144" i="75"/>
  <c r="M143" i="75"/>
  <c r="C143" i="75"/>
  <c r="B143" i="75"/>
  <c r="M142" i="75"/>
  <c r="C142" i="75"/>
  <c r="B142" i="75"/>
  <c r="M141" i="75"/>
  <c r="C141" i="75"/>
  <c r="B141" i="75"/>
  <c r="M140" i="75"/>
  <c r="C140" i="75"/>
  <c r="B140" i="75"/>
  <c r="M139" i="75"/>
  <c r="C139" i="75"/>
  <c r="B139" i="75"/>
  <c r="M138" i="75"/>
  <c r="C138" i="75"/>
  <c r="B138" i="75"/>
  <c r="M137" i="75"/>
  <c r="C137" i="75"/>
  <c r="B137" i="75"/>
  <c r="M136" i="75"/>
  <c r="C136" i="75"/>
  <c r="B136" i="75"/>
  <c r="M135" i="75"/>
  <c r="C135" i="75"/>
  <c r="B135" i="75"/>
  <c r="M134" i="75"/>
  <c r="C134" i="75"/>
  <c r="B134" i="75"/>
  <c r="M133" i="75"/>
  <c r="C133" i="75"/>
  <c r="B133" i="75"/>
  <c r="M132" i="75"/>
  <c r="C132" i="75"/>
  <c r="B132" i="75"/>
  <c r="M131" i="75"/>
  <c r="C131" i="75"/>
  <c r="B131" i="75"/>
  <c r="M130" i="75"/>
  <c r="C130" i="75"/>
  <c r="B130" i="75"/>
  <c r="M129" i="75"/>
  <c r="C129" i="75"/>
  <c r="B129" i="75"/>
  <c r="M128" i="75"/>
  <c r="C128" i="75"/>
  <c r="B128" i="75"/>
  <c r="M127" i="75"/>
  <c r="C127" i="75"/>
  <c r="B127" i="75"/>
  <c r="M126" i="75"/>
  <c r="C126" i="75"/>
  <c r="B126" i="75"/>
  <c r="M125" i="75"/>
  <c r="C125" i="75"/>
  <c r="B125" i="75"/>
  <c r="M124" i="75"/>
  <c r="C124" i="75"/>
  <c r="B124" i="75"/>
  <c r="M123" i="75"/>
  <c r="C123" i="75"/>
  <c r="B123" i="75"/>
  <c r="M122" i="75"/>
  <c r="C122" i="75"/>
  <c r="B122" i="75"/>
  <c r="C121" i="75"/>
  <c r="B121" i="75"/>
  <c r="C120" i="75"/>
  <c r="B120" i="75"/>
  <c r="C119" i="75"/>
  <c r="B119" i="75"/>
  <c r="C118" i="75"/>
  <c r="B118" i="75"/>
  <c r="C117" i="75"/>
  <c r="B117" i="75"/>
  <c r="C116" i="75"/>
  <c r="B116" i="75"/>
  <c r="Q1" i="75"/>
  <c r="P1" i="75"/>
  <c r="B48" i="74"/>
  <c r="B60" i="74" s="1"/>
  <c r="B47" i="74"/>
  <c r="B59" i="74" s="1"/>
  <c r="B44" i="74"/>
  <c r="B56" i="74" s="1"/>
  <c r="B43" i="74"/>
  <c r="B55" i="74" s="1"/>
  <c r="B42" i="74"/>
  <c r="B54" i="74" s="1"/>
  <c r="B37" i="74"/>
  <c r="B21" i="74"/>
  <c r="B31" i="74" s="1"/>
  <c r="B17" i="74"/>
  <c r="B27" i="74" s="1"/>
  <c r="B36" i="74" s="1"/>
  <c r="B16" i="74"/>
  <c r="B15" i="74"/>
  <c r="P1" i="34"/>
  <c r="K2" i="28"/>
  <c r="K3" i="28"/>
  <c r="K4" i="28"/>
  <c r="K5" i="28"/>
  <c r="K9" i="28"/>
  <c r="K10" i="28"/>
  <c r="K12" i="28"/>
  <c r="K13" i="28"/>
  <c r="K14" i="28"/>
  <c r="K15" i="28"/>
  <c r="K16" i="28"/>
  <c r="K17" i="28"/>
  <c r="K18" i="28"/>
  <c r="K19" i="28"/>
  <c r="K20" i="28"/>
  <c r="K21" i="28"/>
  <c r="K25" i="28"/>
  <c r="K26" i="28"/>
  <c r="K29" i="28"/>
  <c r="K31" i="28"/>
  <c r="K32" i="28"/>
  <c r="K33" i="28"/>
  <c r="K34" i="28"/>
  <c r="K35" i="28"/>
  <c r="K36" i="28"/>
  <c r="K37" i="28"/>
  <c r="K42" i="28"/>
  <c r="K43" i="28"/>
  <c r="K44" i="28"/>
  <c r="K45" i="28"/>
  <c r="K46" i="28"/>
  <c r="K47" i="28"/>
  <c r="K48" i="28"/>
  <c r="K49" i="28"/>
  <c r="K50" i="28"/>
  <c r="K51" i="28"/>
  <c r="K52" i="28"/>
  <c r="K53" i="28"/>
  <c r="K57" i="28"/>
  <c r="K61" i="28"/>
  <c r="K62" i="28"/>
  <c r="K63" i="28"/>
  <c r="K64" i="28"/>
  <c r="K65" i="28"/>
  <c r="K66" i="28"/>
  <c r="K67" i="28"/>
  <c r="K68" i="28"/>
  <c r="K69" i="28"/>
  <c r="K74" i="28"/>
  <c r="K76" i="28"/>
  <c r="K77" i="28"/>
  <c r="K78" i="28"/>
  <c r="K79" i="28"/>
  <c r="K80" i="28"/>
  <c r="K81" i="28"/>
  <c r="K82" i="28"/>
  <c r="K83" i="28"/>
  <c r="K84" i="28"/>
  <c r="K85" i="28"/>
  <c r="K89" i="28"/>
  <c r="K90" i="28"/>
  <c r="K91" i="28"/>
  <c r="K92" i="28"/>
  <c r="K93" i="28"/>
  <c r="K94" i="28"/>
  <c r="K95" i="28"/>
  <c r="K96" i="28"/>
  <c r="K97" i="28"/>
  <c r="K98" i="28"/>
  <c r="K99" i="28"/>
  <c r="K100" i="28"/>
  <c r="K101" i="28"/>
  <c r="K105" i="28"/>
  <c r="K106" i="28"/>
  <c r="K2" i="36"/>
  <c r="K3" i="36"/>
  <c r="K4" i="36"/>
  <c r="K5" i="36"/>
  <c r="K6" i="36"/>
  <c r="K7" i="36"/>
  <c r="K8" i="36"/>
  <c r="K9" i="36"/>
  <c r="K10" i="36"/>
  <c r="K11" i="36"/>
  <c r="K12" i="36"/>
  <c r="K13" i="36"/>
  <c r="K14" i="36"/>
  <c r="K15" i="36"/>
  <c r="K16" i="36"/>
  <c r="K17" i="36"/>
  <c r="K18" i="36"/>
  <c r="K19" i="36"/>
  <c r="K20" i="36"/>
  <c r="K21" i="36"/>
  <c r="K22" i="36"/>
  <c r="K23" i="36"/>
  <c r="K24" i="36"/>
  <c r="K25" i="36"/>
  <c r="K26" i="36"/>
  <c r="K27" i="36"/>
  <c r="K28" i="36"/>
  <c r="K29" i="36"/>
  <c r="K30" i="36"/>
  <c r="K31" i="36"/>
  <c r="K32" i="36"/>
  <c r="K33" i="36"/>
  <c r="K34" i="36"/>
  <c r="K35" i="36"/>
  <c r="K36" i="36"/>
  <c r="K37" i="36"/>
  <c r="K38" i="36"/>
  <c r="K39" i="36"/>
  <c r="K40" i="36"/>
  <c r="K41" i="36"/>
  <c r="K42" i="36"/>
  <c r="K43" i="36"/>
  <c r="K44" i="36"/>
  <c r="K45" i="36"/>
  <c r="K46" i="36"/>
  <c r="K47" i="36"/>
  <c r="K48" i="36"/>
  <c r="K49" i="36"/>
  <c r="K50" i="36"/>
  <c r="K51" i="36"/>
  <c r="K52" i="36"/>
  <c r="K53" i="36"/>
  <c r="K54" i="36"/>
  <c r="K55" i="36"/>
  <c r="K56" i="36"/>
  <c r="K57" i="36"/>
  <c r="K58" i="36"/>
  <c r="K59" i="36"/>
  <c r="K60" i="36"/>
  <c r="K61" i="36"/>
  <c r="K62" i="36"/>
  <c r="K63" i="36"/>
  <c r="K64" i="36"/>
  <c r="K65" i="36"/>
  <c r="K66" i="36"/>
  <c r="K67" i="36"/>
  <c r="K68" i="36"/>
  <c r="K69" i="36"/>
  <c r="K70" i="36"/>
  <c r="K71" i="36"/>
  <c r="K72" i="36"/>
  <c r="K73" i="36"/>
  <c r="K74" i="36"/>
  <c r="K75" i="36"/>
  <c r="K76" i="36"/>
  <c r="K77" i="36"/>
  <c r="K78" i="36"/>
  <c r="K79" i="36"/>
  <c r="K80" i="36"/>
  <c r="K81" i="36"/>
  <c r="K82" i="36"/>
  <c r="K83" i="36"/>
  <c r="K84" i="36"/>
  <c r="K85" i="36"/>
  <c r="K86" i="36"/>
  <c r="K87" i="36"/>
  <c r="K88" i="36"/>
  <c r="K89" i="36"/>
  <c r="K90" i="36"/>
  <c r="K91" i="36"/>
  <c r="K92" i="36"/>
  <c r="K93" i="36"/>
  <c r="K94" i="36"/>
  <c r="K95" i="36"/>
  <c r="K96" i="36"/>
  <c r="K97" i="36"/>
  <c r="K98" i="36"/>
  <c r="K99" i="36"/>
  <c r="K100" i="36"/>
  <c r="K101" i="36"/>
  <c r="K102" i="36"/>
  <c r="K103" i="36"/>
  <c r="K104" i="36"/>
  <c r="K105" i="36"/>
  <c r="K106" i="36"/>
  <c r="K107" i="36"/>
  <c r="K108" i="36"/>
  <c r="K109" i="36"/>
  <c r="K110" i="36"/>
  <c r="K111" i="36"/>
  <c r="K112" i="36"/>
  <c r="K113" i="36"/>
  <c r="K114" i="36"/>
  <c r="K122" i="36"/>
  <c r="K123" i="36"/>
  <c r="K124" i="36"/>
  <c r="K125" i="36"/>
  <c r="K126" i="36"/>
  <c r="K127" i="36"/>
  <c r="K128" i="36"/>
  <c r="K129" i="36"/>
  <c r="K130" i="36"/>
  <c r="K131" i="36"/>
  <c r="K132" i="36"/>
  <c r="K133" i="36"/>
  <c r="K134" i="36"/>
  <c r="K135" i="36"/>
  <c r="K136" i="36"/>
  <c r="K137" i="36"/>
  <c r="K138" i="36"/>
  <c r="K139" i="36"/>
  <c r="K140" i="36"/>
  <c r="K141" i="36"/>
  <c r="K142" i="36"/>
  <c r="K143" i="36"/>
  <c r="K144" i="36"/>
  <c r="K145" i="36"/>
  <c r="N1" i="36"/>
  <c r="K2"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58" i="32"/>
  <c r="K59" i="32"/>
  <c r="K60" i="32"/>
  <c r="K61" i="32"/>
  <c r="K62" i="32"/>
  <c r="K63" i="32"/>
  <c r="K64" i="32"/>
  <c r="K65" i="32"/>
  <c r="K66" i="32"/>
  <c r="K67" i="32"/>
  <c r="K68" i="32"/>
  <c r="K69" i="32"/>
  <c r="K70" i="32"/>
  <c r="K71" i="32"/>
  <c r="K72" i="32"/>
  <c r="K73" i="32"/>
  <c r="K74" i="32"/>
  <c r="K75" i="32"/>
  <c r="K76" i="32"/>
  <c r="K77" i="32"/>
  <c r="K78" i="32"/>
  <c r="K79" i="32"/>
  <c r="K80" i="32"/>
  <c r="K81" i="32"/>
  <c r="K82" i="32"/>
  <c r="K83" i="32"/>
  <c r="K84" i="32"/>
  <c r="K85" i="32"/>
  <c r="K86" i="32"/>
  <c r="K87" i="32"/>
  <c r="K88" i="32"/>
  <c r="K89" i="32"/>
  <c r="K90" i="32"/>
  <c r="K91" i="32"/>
  <c r="K92" i="32"/>
  <c r="K93" i="32"/>
  <c r="K94" i="32"/>
  <c r="K95" i="32"/>
  <c r="K96" i="32"/>
  <c r="K97" i="32"/>
  <c r="K98" i="32"/>
  <c r="K99" i="32"/>
  <c r="K100" i="32"/>
  <c r="K101" i="32"/>
  <c r="K102" i="32"/>
  <c r="K103" i="32"/>
  <c r="K104" i="32"/>
  <c r="K105" i="32"/>
  <c r="K106" i="32"/>
  <c r="K107" i="32"/>
  <c r="K108" i="32"/>
  <c r="K109" i="32"/>
  <c r="P109" i="34"/>
  <c r="L2" i="30"/>
  <c r="M2" i="30"/>
  <c r="P2" i="30"/>
  <c r="O2" i="30"/>
  <c r="L3" i="30"/>
  <c r="M3" i="30"/>
  <c r="P3" i="30"/>
  <c r="O3" i="30"/>
  <c r="L4" i="30"/>
  <c r="M4" i="30"/>
  <c r="P4" i="30"/>
  <c r="O4" i="30"/>
  <c r="L5" i="30"/>
  <c r="M5" i="30"/>
  <c r="P5" i="30"/>
  <c r="O5" i="30"/>
  <c r="L6" i="30"/>
  <c r="M6" i="30"/>
  <c r="P6" i="30"/>
  <c r="O6" i="30"/>
  <c r="L7" i="30"/>
  <c r="M7" i="30"/>
  <c r="P7" i="30"/>
  <c r="O7" i="30"/>
  <c r="L8" i="30"/>
  <c r="M8" i="30"/>
  <c r="P8" i="30"/>
  <c r="O8" i="30"/>
  <c r="L9" i="30"/>
  <c r="M9" i="30"/>
  <c r="P9" i="30"/>
  <c r="O9" i="30"/>
  <c r="L10" i="30"/>
  <c r="M10" i="30"/>
  <c r="P10" i="30"/>
  <c r="O10" i="30"/>
  <c r="L11" i="30"/>
  <c r="M11" i="30"/>
  <c r="P11" i="30"/>
  <c r="O11" i="30"/>
  <c r="L12" i="30"/>
  <c r="M12" i="30"/>
  <c r="P12" i="30"/>
  <c r="O12" i="30"/>
  <c r="L13" i="30"/>
  <c r="M13" i="30"/>
  <c r="P13" i="30"/>
  <c r="O13" i="30"/>
  <c r="L14" i="30"/>
  <c r="M14" i="30"/>
  <c r="P14" i="30"/>
  <c r="O14" i="30"/>
  <c r="L15" i="30"/>
  <c r="M15" i="30"/>
  <c r="P15" i="30"/>
  <c r="O15" i="30"/>
  <c r="L16" i="30"/>
  <c r="M16" i="30"/>
  <c r="P16" i="30"/>
  <c r="O16" i="30"/>
  <c r="L17" i="30"/>
  <c r="M17" i="30"/>
  <c r="P17" i="30"/>
  <c r="O17" i="30"/>
  <c r="L18" i="30"/>
  <c r="M18" i="30"/>
  <c r="P18" i="30"/>
  <c r="O18" i="30"/>
  <c r="L19" i="30"/>
  <c r="M19" i="30"/>
  <c r="P19" i="30"/>
  <c r="O19" i="30"/>
  <c r="L20" i="30"/>
  <c r="M20" i="30"/>
  <c r="P20" i="30"/>
  <c r="O20" i="30"/>
  <c r="L21" i="30"/>
  <c r="M21" i="30"/>
  <c r="P21" i="30"/>
  <c r="O21" i="30"/>
  <c r="L22" i="30"/>
  <c r="M22" i="30"/>
  <c r="P22" i="30"/>
  <c r="O22" i="30"/>
  <c r="L23" i="30"/>
  <c r="M23" i="30"/>
  <c r="P23" i="30"/>
  <c r="O23" i="30"/>
  <c r="L24" i="30"/>
  <c r="M24" i="30"/>
  <c r="P24" i="30"/>
  <c r="O24" i="30"/>
  <c r="L25" i="30"/>
  <c r="M25" i="30"/>
  <c r="P25" i="30"/>
  <c r="O25" i="30"/>
  <c r="L26" i="30"/>
  <c r="M26" i="30"/>
  <c r="P26" i="30"/>
  <c r="O26" i="30"/>
  <c r="L27" i="30"/>
  <c r="M27" i="30"/>
  <c r="P27" i="30"/>
  <c r="O27" i="30"/>
  <c r="L28" i="30"/>
  <c r="M28" i="30"/>
  <c r="P28" i="30"/>
  <c r="O28" i="30"/>
  <c r="L29" i="30"/>
  <c r="M29" i="30"/>
  <c r="P29" i="30"/>
  <c r="O29" i="30"/>
  <c r="L30" i="30"/>
  <c r="M30" i="30"/>
  <c r="P30" i="30"/>
  <c r="O30" i="30"/>
  <c r="L31" i="30"/>
  <c r="M31" i="30"/>
  <c r="P31" i="30"/>
  <c r="O31" i="30"/>
  <c r="L32" i="30"/>
  <c r="M32" i="30"/>
  <c r="P32" i="30"/>
  <c r="O32" i="30"/>
  <c r="L33" i="30"/>
  <c r="M33" i="30"/>
  <c r="P33" i="30"/>
  <c r="O33" i="30"/>
  <c r="L34" i="30"/>
  <c r="M34" i="30"/>
  <c r="P34" i="30"/>
  <c r="O34" i="30"/>
  <c r="L35" i="30"/>
  <c r="M35" i="30"/>
  <c r="P35" i="30"/>
  <c r="O35" i="30"/>
  <c r="L36" i="30"/>
  <c r="M36" i="30"/>
  <c r="P36" i="30"/>
  <c r="O36" i="30"/>
  <c r="L37" i="30"/>
  <c r="M37" i="30"/>
  <c r="P37" i="30"/>
  <c r="O37" i="30"/>
  <c r="L38" i="30"/>
  <c r="M38" i="30"/>
  <c r="P38" i="30"/>
  <c r="O38" i="30"/>
  <c r="L39" i="30"/>
  <c r="M39" i="30"/>
  <c r="P39" i="30"/>
  <c r="O39" i="30"/>
  <c r="L40" i="30"/>
  <c r="M40" i="30"/>
  <c r="P40" i="30"/>
  <c r="O40" i="30"/>
  <c r="L41" i="30"/>
  <c r="M41" i="30"/>
  <c r="P41" i="30"/>
  <c r="O41" i="30"/>
  <c r="L42" i="30"/>
  <c r="M42" i="30"/>
  <c r="P42" i="30"/>
  <c r="O42" i="30"/>
  <c r="L43" i="30"/>
  <c r="M43" i="30"/>
  <c r="P43" i="30"/>
  <c r="O43" i="30"/>
  <c r="L44" i="30"/>
  <c r="M44" i="30"/>
  <c r="P44" i="30"/>
  <c r="O44" i="30"/>
  <c r="L45" i="30"/>
  <c r="M45" i="30"/>
  <c r="P45" i="30"/>
  <c r="O45" i="30"/>
  <c r="L46" i="30"/>
  <c r="M46" i="30"/>
  <c r="P46" i="30"/>
  <c r="O46" i="30"/>
  <c r="L47" i="30"/>
  <c r="M47" i="30"/>
  <c r="P47" i="30"/>
  <c r="O47" i="30"/>
  <c r="L48" i="30"/>
  <c r="M48" i="30"/>
  <c r="P48" i="30"/>
  <c r="O48" i="30"/>
  <c r="L49" i="30"/>
  <c r="M49" i="30"/>
  <c r="P49" i="30"/>
  <c r="O49" i="30"/>
  <c r="L50" i="30"/>
  <c r="M50" i="30"/>
  <c r="P50" i="30"/>
  <c r="O50" i="30"/>
  <c r="L51" i="30"/>
  <c r="M51" i="30"/>
  <c r="P51" i="30"/>
  <c r="O51" i="30"/>
  <c r="L52" i="30"/>
  <c r="M52" i="30"/>
  <c r="P52" i="30"/>
  <c r="O52" i="30"/>
  <c r="L53" i="30"/>
  <c r="M53" i="30"/>
  <c r="P53" i="30"/>
  <c r="O53" i="30"/>
  <c r="L54" i="30"/>
  <c r="M54" i="30"/>
  <c r="P54" i="30"/>
  <c r="O54" i="30"/>
  <c r="L55" i="30"/>
  <c r="M55" i="30"/>
  <c r="P55" i="30"/>
  <c r="O55" i="30"/>
  <c r="L56" i="30"/>
  <c r="M56" i="30"/>
  <c r="P56" i="30"/>
  <c r="O56" i="30"/>
  <c r="L57" i="30"/>
  <c r="M57" i="30"/>
  <c r="P57" i="30"/>
  <c r="O57" i="30"/>
  <c r="L58" i="30"/>
  <c r="M58" i="30"/>
  <c r="P58" i="30"/>
  <c r="O58" i="30"/>
  <c r="L59" i="30"/>
  <c r="M59" i="30"/>
  <c r="P59" i="30"/>
  <c r="O59" i="30"/>
  <c r="L60" i="30"/>
  <c r="M60" i="30"/>
  <c r="P60" i="30"/>
  <c r="O60" i="30"/>
  <c r="L61" i="30"/>
  <c r="M61" i="30"/>
  <c r="P61" i="30"/>
  <c r="O61" i="30"/>
  <c r="L62" i="30"/>
  <c r="M62" i="30"/>
  <c r="P62" i="30"/>
  <c r="O62" i="30"/>
  <c r="L63" i="30"/>
  <c r="M63" i="30"/>
  <c r="P63" i="30"/>
  <c r="O63" i="30"/>
  <c r="L64" i="30"/>
  <c r="M64" i="30"/>
  <c r="P64" i="30"/>
  <c r="O64" i="30"/>
  <c r="L65" i="30"/>
  <c r="M65" i="30"/>
  <c r="P65" i="30"/>
  <c r="O65" i="30"/>
  <c r="L66" i="30"/>
  <c r="M66" i="30"/>
  <c r="P66" i="30"/>
  <c r="O66" i="30"/>
  <c r="L67" i="30"/>
  <c r="M67" i="30"/>
  <c r="P67" i="30"/>
  <c r="O67" i="30"/>
  <c r="L68" i="30"/>
  <c r="M68" i="30"/>
  <c r="P68" i="30"/>
  <c r="O68" i="30"/>
  <c r="L69" i="30"/>
  <c r="M69" i="30"/>
  <c r="P69" i="30"/>
  <c r="O69" i="30"/>
  <c r="L70" i="30"/>
  <c r="M70" i="30"/>
  <c r="P70" i="30"/>
  <c r="O70" i="30"/>
  <c r="L71" i="30"/>
  <c r="M71" i="30"/>
  <c r="P71" i="30"/>
  <c r="O71" i="30"/>
  <c r="L72" i="30"/>
  <c r="M72" i="30"/>
  <c r="P72" i="30"/>
  <c r="O72" i="30"/>
  <c r="L73" i="30"/>
  <c r="M73" i="30"/>
  <c r="P73" i="30"/>
  <c r="O73" i="30"/>
  <c r="L74" i="30"/>
  <c r="M74" i="30"/>
  <c r="P74" i="30"/>
  <c r="O74" i="30"/>
  <c r="L75" i="30"/>
  <c r="M75" i="30"/>
  <c r="P75" i="30"/>
  <c r="O75" i="30"/>
  <c r="L76" i="30"/>
  <c r="M76" i="30"/>
  <c r="P76" i="30"/>
  <c r="O76" i="30"/>
  <c r="L77" i="30"/>
  <c r="M77" i="30"/>
  <c r="P77" i="30"/>
  <c r="O77" i="30"/>
  <c r="L78" i="30"/>
  <c r="M78" i="30"/>
  <c r="P78" i="30"/>
  <c r="O78" i="30"/>
  <c r="L79" i="30"/>
  <c r="M79" i="30"/>
  <c r="P79" i="30"/>
  <c r="O79" i="30"/>
  <c r="L80" i="30"/>
  <c r="M80" i="30"/>
  <c r="P80" i="30"/>
  <c r="O80" i="30"/>
  <c r="L81" i="30"/>
  <c r="M81" i="30"/>
  <c r="P81" i="30"/>
  <c r="O81" i="30"/>
  <c r="L82" i="30"/>
  <c r="M82" i="30"/>
  <c r="P82" i="30"/>
  <c r="O82" i="30"/>
  <c r="L83" i="30"/>
  <c r="M83" i="30"/>
  <c r="P83" i="30"/>
  <c r="O83" i="30"/>
  <c r="L84" i="30"/>
  <c r="M84" i="30"/>
  <c r="P84" i="30"/>
  <c r="O84" i="30"/>
  <c r="L85" i="30"/>
  <c r="M85" i="30"/>
  <c r="P85" i="30"/>
  <c r="O85" i="30"/>
  <c r="L86" i="30"/>
  <c r="M86" i="30"/>
  <c r="P86" i="30"/>
  <c r="O86" i="30"/>
  <c r="L87" i="30"/>
  <c r="M87" i="30"/>
  <c r="P87" i="30"/>
  <c r="O87" i="30"/>
  <c r="L88" i="30"/>
  <c r="M88" i="30"/>
  <c r="P88" i="30"/>
  <c r="O88" i="30"/>
  <c r="L89" i="30"/>
  <c r="M89" i="30"/>
  <c r="P89" i="30"/>
  <c r="O89" i="30"/>
  <c r="L90" i="30"/>
  <c r="M90" i="30"/>
  <c r="P90" i="30"/>
  <c r="O90" i="30"/>
  <c r="L91" i="30"/>
  <c r="M91" i="30"/>
  <c r="P91" i="30"/>
  <c r="O91" i="30"/>
  <c r="L92" i="30"/>
  <c r="M92" i="30"/>
  <c r="P92" i="30"/>
  <c r="O92" i="30"/>
  <c r="L93" i="30"/>
  <c r="M93" i="30"/>
  <c r="P93" i="30"/>
  <c r="O93" i="30"/>
  <c r="L94" i="30"/>
  <c r="M94" i="30"/>
  <c r="P94" i="30"/>
  <c r="O94" i="30"/>
  <c r="L95" i="30"/>
  <c r="M95" i="30"/>
  <c r="P95" i="30"/>
  <c r="O95" i="30"/>
  <c r="L96" i="30"/>
  <c r="M96" i="30"/>
  <c r="P96" i="30"/>
  <c r="O96" i="30"/>
  <c r="L97" i="30"/>
  <c r="M97" i="30"/>
  <c r="P97" i="30"/>
  <c r="O97" i="30"/>
  <c r="L98" i="30"/>
  <c r="M98" i="30"/>
  <c r="P98" i="30"/>
  <c r="O98" i="30"/>
  <c r="L99" i="30"/>
  <c r="M99" i="30"/>
  <c r="P99" i="30"/>
  <c r="O99" i="30"/>
  <c r="L100" i="30"/>
  <c r="M100" i="30"/>
  <c r="P100" i="30"/>
  <c r="O100" i="30"/>
  <c r="L101" i="30"/>
  <c r="M101" i="30"/>
  <c r="P101" i="30"/>
  <c r="O101" i="30"/>
  <c r="L102" i="30"/>
  <c r="M102" i="30"/>
  <c r="P102" i="30"/>
  <c r="O102" i="30"/>
  <c r="L103" i="30"/>
  <c r="M103" i="30"/>
  <c r="P103" i="30"/>
  <c r="O103" i="30"/>
  <c r="L104" i="30"/>
  <c r="M104" i="30"/>
  <c r="P104" i="30"/>
  <c r="O104" i="30"/>
  <c r="L105" i="30"/>
  <c r="M105" i="30"/>
  <c r="P105" i="30"/>
  <c r="O105" i="30"/>
  <c r="L106" i="30"/>
  <c r="M106" i="30"/>
  <c r="P106" i="30"/>
  <c r="O106" i="30"/>
  <c r="L107" i="30"/>
  <c r="M107" i="30"/>
  <c r="P107" i="30"/>
  <c r="O107" i="30"/>
  <c r="P108" i="30"/>
  <c r="O108" i="30"/>
  <c r="P109" i="30"/>
  <c r="O109" i="30"/>
  <c r="O1" i="30"/>
  <c r="P1" i="30"/>
  <c r="N2" i="38"/>
  <c r="J2" i="28"/>
  <c r="J3" i="28"/>
  <c r="J4" i="28"/>
  <c r="J5" i="28"/>
  <c r="J6" i="28"/>
  <c r="K6" i="28"/>
  <c r="J7" i="28"/>
  <c r="K7" i="28"/>
  <c r="J8" i="28"/>
  <c r="K8" i="28"/>
  <c r="J9" i="28"/>
  <c r="J10" i="28"/>
  <c r="J11" i="28"/>
  <c r="K11" i="28"/>
  <c r="J12" i="28"/>
  <c r="J13" i="28"/>
  <c r="J14" i="28"/>
  <c r="J15" i="28"/>
  <c r="J16" i="28"/>
  <c r="J17" i="28"/>
  <c r="J18" i="28"/>
  <c r="J19" i="28"/>
  <c r="J20" i="28"/>
  <c r="J21" i="28"/>
  <c r="J22" i="28"/>
  <c r="K22" i="28"/>
  <c r="J23" i="28"/>
  <c r="K23" i="28"/>
  <c r="J24" i="28"/>
  <c r="K24" i="28"/>
  <c r="J25" i="28"/>
  <c r="J26" i="28"/>
  <c r="J27" i="28"/>
  <c r="K27" i="28"/>
  <c r="J28" i="28"/>
  <c r="K28" i="28"/>
  <c r="J29" i="28"/>
  <c r="J30" i="28"/>
  <c r="K30" i="28"/>
  <c r="J31" i="28"/>
  <c r="J32" i="28"/>
  <c r="J33" i="28"/>
  <c r="J34" i="28"/>
  <c r="J35" i="28"/>
  <c r="J36" i="28"/>
  <c r="J37" i="28"/>
  <c r="J38" i="28"/>
  <c r="K38" i="28"/>
  <c r="J39" i="28"/>
  <c r="K39" i="28"/>
  <c r="J40" i="28"/>
  <c r="K40" i="28"/>
  <c r="J41" i="28"/>
  <c r="K41" i="28"/>
  <c r="J42" i="28"/>
  <c r="J43" i="28"/>
  <c r="J44" i="28"/>
  <c r="J45" i="28"/>
  <c r="J46" i="28"/>
  <c r="J47" i="28"/>
  <c r="J48" i="28"/>
  <c r="J49" i="28"/>
  <c r="J50" i="28"/>
  <c r="J51" i="28"/>
  <c r="J52" i="28"/>
  <c r="J53" i="28"/>
  <c r="J54" i="28"/>
  <c r="K54" i="28"/>
  <c r="J55" i="28"/>
  <c r="K55" i="28"/>
  <c r="J56" i="28"/>
  <c r="K56" i="28"/>
  <c r="J57" i="28"/>
  <c r="J58" i="28"/>
  <c r="K58" i="28"/>
  <c r="J59" i="28"/>
  <c r="K59" i="28"/>
  <c r="J60" i="28"/>
  <c r="K60" i="28"/>
  <c r="J61" i="28"/>
  <c r="J62" i="28"/>
  <c r="J63" i="28"/>
  <c r="J64" i="28"/>
  <c r="J65" i="28"/>
  <c r="J66" i="28"/>
  <c r="J67" i="28"/>
  <c r="J68" i="28"/>
  <c r="J69" i="28"/>
  <c r="J70" i="28"/>
  <c r="K70" i="28"/>
  <c r="J71" i="28"/>
  <c r="K71" i="28"/>
  <c r="J72" i="28"/>
  <c r="K72" i="28"/>
  <c r="J73" i="28"/>
  <c r="K73" i="28"/>
  <c r="J74" i="28"/>
  <c r="J75" i="28"/>
  <c r="K75" i="28"/>
  <c r="J76" i="28"/>
  <c r="J77" i="28"/>
  <c r="J78" i="28"/>
  <c r="J79" i="28"/>
  <c r="J80" i="28"/>
  <c r="J81" i="28"/>
  <c r="J82" i="28"/>
  <c r="J83" i="28"/>
  <c r="J84" i="28"/>
  <c r="J85" i="28"/>
  <c r="J86" i="28"/>
  <c r="K86" i="28"/>
  <c r="J87" i="28"/>
  <c r="K87" i="28"/>
  <c r="J88" i="28"/>
  <c r="K88" i="28"/>
  <c r="J89" i="28"/>
  <c r="J90" i="28"/>
  <c r="J91" i="28"/>
  <c r="J92" i="28"/>
  <c r="J93" i="28"/>
  <c r="J94" i="28"/>
  <c r="J95" i="28"/>
  <c r="J96" i="28"/>
  <c r="J97" i="28"/>
  <c r="J98" i="28"/>
  <c r="J99" i="28"/>
  <c r="J100" i="28"/>
  <c r="J101" i="28"/>
  <c r="J102" i="28"/>
  <c r="K102" i="28"/>
  <c r="J103" i="28"/>
  <c r="K103" i="28"/>
  <c r="J104" i="28"/>
  <c r="K104" i="28"/>
  <c r="J105" i="28"/>
  <c r="J106" i="28"/>
  <c r="J107" i="28"/>
  <c r="K107" i="28"/>
  <c r="J108" i="28"/>
  <c r="J109" i="28"/>
  <c r="AX109" i="67"/>
  <c r="M109" i="156" s="1"/>
  <c r="AU90" i="67"/>
  <c r="AV90" i="67"/>
  <c r="AU91" i="67"/>
  <c r="AV91" i="67"/>
  <c r="AU92" i="67"/>
  <c r="AV92" i="67"/>
  <c r="AU93" i="67"/>
  <c r="AV93" i="67"/>
  <c r="AU94" i="67"/>
  <c r="AV94" i="67"/>
  <c r="AU95" i="67"/>
  <c r="AV95" i="67"/>
  <c r="AU96" i="67"/>
  <c r="AV96" i="67"/>
  <c r="AU97" i="67"/>
  <c r="AV97" i="67"/>
  <c r="AU98" i="67"/>
  <c r="AV98" i="67"/>
  <c r="AU99" i="67"/>
  <c r="AV99" i="67"/>
  <c r="AU100" i="67"/>
  <c r="AV100" i="67"/>
  <c r="AU101" i="67"/>
  <c r="AV101" i="67"/>
  <c r="AU102" i="67"/>
  <c r="AV102" i="67"/>
  <c r="AU103" i="67"/>
  <c r="AV103" i="67"/>
  <c r="AU104" i="67"/>
  <c r="AV104" i="67"/>
  <c r="AU105" i="67"/>
  <c r="AV105" i="67"/>
  <c r="AU106" i="67"/>
  <c r="AV106" i="67"/>
  <c r="AU107" i="67"/>
  <c r="AV107" i="67"/>
  <c r="AU108" i="67"/>
  <c r="AV108" i="67"/>
  <c r="AU109" i="67"/>
  <c r="AV109" i="67"/>
  <c r="P2" i="65"/>
  <c r="Q2" i="65"/>
  <c r="S2" i="65"/>
  <c r="R2" i="65"/>
  <c r="AW2" i="67"/>
  <c r="AW3" i="67"/>
  <c r="AW4" i="67"/>
  <c r="AW5" i="67"/>
  <c r="AW6" i="67"/>
  <c r="AW7" i="67"/>
  <c r="AW8" i="67"/>
  <c r="AW9" i="67"/>
  <c r="AW10" i="67"/>
  <c r="AW11" i="67"/>
  <c r="AW12" i="67"/>
  <c r="AW13" i="67"/>
  <c r="R16" i="65"/>
  <c r="AW14" i="67" s="1"/>
  <c r="R17" i="65"/>
  <c r="AW15" i="67" s="1"/>
  <c r="R18" i="65"/>
  <c r="AW16" i="67" s="1"/>
  <c r="R19" i="65"/>
  <c r="AW17" i="67" s="1"/>
  <c r="R20" i="65"/>
  <c r="AW18" i="67" s="1"/>
  <c r="R21" i="65"/>
  <c r="AW19" i="67" s="1"/>
  <c r="R22" i="65"/>
  <c r="AW20" i="67" s="1"/>
  <c r="R23" i="65"/>
  <c r="AW21" i="67" s="1"/>
  <c r="R24" i="65"/>
  <c r="AW22" i="67" s="1"/>
  <c r="R25" i="65"/>
  <c r="AW23" i="67" s="1"/>
  <c r="R26" i="65"/>
  <c r="AW24" i="67" s="1"/>
  <c r="R27" i="65"/>
  <c r="AW25" i="67" s="1"/>
  <c r="R28" i="65"/>
  <c r="AW26" i="67" s="1"/>
  <c r="R29" i="65"/>
  <c r="AW27" i="67" s="1"/>
  <c r="R30" i="65"/>
  <c r="AW28" i="67" s="1"/>
  <c r="R31" i="65"/>
  <c r="AW29" i="67" s="1"/>
  <c r="R32" i="65"/>
  <c r="AW30" i="67" s="1"/>
  <c r="R33" i="65"/>
  <c r="AW31" i="67" s="1"/>
  <c r="R34" i="65"/>
  <c r="AW32" i="67" s="1"/>
  <c r="R35" i="65"/>
  <c r="AW33" i="67" s="1"/>
  <c r="R36" i="65"/>
  <c r="AW34" i="67" s="1"/>
  <c r="R37" i="65"/>
  <c r="AW35" i="67" s="1"/>
  <c r="R38" i="65"/>
  <c r="AW36" i="67" s="1"/>
  <c r="R39" i="65"/>
  <c r="AW37" i="67" s="1"/>
  <c r="R40" i="65"/>
  <c r="AW38" i="67" s="1"/>
  <c r="R41" i="65"/>
  <c r="AW39" i="67" s="1"/>
  <c r="R42" i="65"/>
  <c r="AW40" i="67" s="1"/>
  <c r="R43" i="65"/>
  <c r="AW41" i="67" s="1"/>
  <c r="R44" i="65"/>
  <c r="AW42" i="67" s="1"/>
  <c r="R45" i="65"/>
  <c r="AW43" i="67" s="1"/>
  <c r="R46" i="65"/>
  <c r="AW44" i="67" s="1"/>
  <c r="R47" i="65"/>
  <c r="AW45" i="67" s="1"/>
  <c r="R48" i="65"/>
  <c r="AW46" i="67" s="1"/>
  <c r="R49" i="65"/>
  <c r="AW47" i="67" s="1"/>
  <c r="R50" i="65"/>
  <c r="AW48" i="67" s="1"/>
  <c r="R51" i="65"/>
  <c r="AW49" i="67" s="1"/>
  <c r="R52" i="65"/>
  <c r="AW50" i="67" s="1"/>
  <c r="R53" i="65"/>
  <c r="AW51" i="67" s="1"/>
  <c r="R54" i="65"/>
  <c r="AW52" i="67" s="1"/>
  <c r="R55" i="65"/>
  <c r="AW53" i="67" s="1"/>
  <c r="R56" i="65"/>
  <c r="AW54" i="67" s="1"/>
  <c r="R57" i="65"/>
  <c r="AW55" i="67" s="1"/>
  <c r="R58" i="65"/>
  <c r="AW56" i="67" s="1"/>
  <c r="R59" i="65"/>
  <c r="AW57" i="67" s="1"/>
  <c r="R60" i="65"/>
  <c r="AW58" i="67" s="1"/>
  <c r="R61" i="65"/>
  <c r="AW59" i="67" s="1"/>
  <c r="R62" i="65"/>
  <c r="AW60" i="67" s="1"/>
  <c r="R63" i="65"/>
  <c r="AW61" i="67" s="1"/>
  <c r="R64" i="65"/>
  <c r="AW62" i="67" s="1"/>
  <c r="R65" i="65"/>
  <c r="AW63" i="67" s="1"/>
  <c r="R66" i="65"/>
  <c r="AW64" i="67" s="1"/>
  <c r="R67" i="65"/>
  <c r="AW65" i="67" s="1"/>
  <c r="R68" i="65"/>
  <c r="AW66" i="67" s="1"/>
  <c r="R69" i="65"/>
  <c r="AW67" i="67" s="1"/>
  <c r="R70" i="65"/>
  <c r="AW68" i="67" s="1"/>
  <c r="R71" i="65"/>
  <c r="AW69" i="67" s="1"/>
  <c r="R72" i="65"/>
  <c r="AW70" i="67" s="1"/>
  <c r="R73" i="65"/>
  <c r="AW71" i="67" s="1"/>
  <c r="R74" i="65"/>
  <c r="AW72" i="67" s="1"/>
  <c r="R75" i="65"/>
  <c r="AW73" i="67" s="1"/>
  <c r="R76" i="65"/>
  <c r="AW74" i="67" s="1"/>
  <c r="R77" i="65"/>
  <c r="AW75" i="67" s="1"/>
  <c r="R78" i="65"/>
  <c r="AW76" i="67" s="1"/>
  <c r="R79" i="65"/>
  <c r="AW77" i="67" s="1"/>
  <c r="R80" i="65"/>
  <c r="AW78" i="67" s="1"/>
  <c r="R81" i="65"/>
  <c r="AW79" i="67" s="1"/>
  <c r="R82" i="65"/>
  <c r="AW80" i="67" s="1"/>
  <c r="R83" i="65"/>
  <c r="AW81" i="67" s="1"/>
  <c r="R84" i="65"/>
  <c r="AW82" i="67" s="1"/>
  <c r="R85" i="65"/>
  <c r="AW83" i="67" s="1"/>
  <c r="R86" i="65"/>
  <c r="AW84" i="67" s="1"/>
  <c r="R87" i="65"/>
  <c r="AW85" i="67" s="1"/>
  <c r="R88" i="65"/>
  <c r="AW86" i="67" s="1"/>
  <c r="R89" i="65"/>
  <c r="AW87" i="67" s="1"/>
  <c r="R90" i="65"/>
  <c r="AW88" i="67" s="1"/>
  <c r="R91" i="65"/>
  <c r="AW89" i="67" s="1"/>
  <c r="R92" i="65"/>
  <c r="AW90" i="67" s="1"/>
  <c r="R93" i="65"/>
  <c r="AW91" i="67" s="1"/>
  <c r="R94" i="65"/>
  <c r="AW92" i="67" s="1"/>
  <c r="R95" i="65"/>
  <c r="AW93" i="67" s="1"/>
  <c r="R96" i="65"/>
  <c r="AW94" i="67" s="1"/>
  <c r="R97" i="65"/>
  <c r="AW95" i="67" s="1"/>
  <c r="R98" i="65"/>
  <c r="AW96" i="67" s="1"/>
  <c r="R99" i="65"/>
  <c r="AW97" i="67" s="1"/>
  <c r="AX2" i="67"/>
  <c r="M2" i="156" s="1"/>
  <c r="AX3" i="67"/>
  <c r="M3" i="156" s="1"/>
  <c r="AX4" i="67"/>
  <c r="M4" i="156" s="1"/>
  <c r="AX5" i="67"/>
  <c r="M5" i="156" s="1"/>
  <c r="AX6" i="67"/>
  <c r="M6" i="156" s="1"/>
  <c r="AX7" i="67"/>
  <c r="M7" i="156" s="1"/>
  <c r="AX8" i="67"/>
  <c r="M8" i="156" s="1"/>
  <c r="AX9" i="67"/>
  <c r="M9" i="156" s="1"/>
  <c r="AX10" i="67"/>
  <c r="M10" i="156" s="1"/>
  <c r="AX11" i="67"/>
  <c r="M11" i="156" s="1"/>
  <c r="AX12" i="67"/>
  <c r="M12" i="156" s="1"/>
  <c r="AX13" i="67"/>
  <c r="M13" i="156" s="1"/>
  <c r="AX14" i="67"/>
  <c r="M14" i="156" s="1"/>
  <c r="AX15" i="67"/>
  <c r="M15" i="156" s="1"/>
  <c r="AX16" i="67"/>
  <c r="M16" i="156" s="1"/>
  <c r="AX17" i="67"/>
  <c r="M17" i="156" s="1"/>
  <c r="AX18" i="67"/>
  <c r="M18" i="156" s="1"/>
  <c r="AX19" i="67"/>
  <c r="M19" i="156" s="1"/>
  <c r="AX20" i="67"/>
  <c r="M20" i="156" s="1"/>
  <c r="AX21" i="67"/>
  <c r="M21" i="156" s="1"/>
  <c r="AX22" i="67"/>
  <c r="M22" i="156" s="1"/>
  <c r="AX23" i="67"/>
  <c r="M23" i="156" s="1"/>
  <c r="AX24" i="67"/>
  <c r="M24" i="156" s="1"/>
  <c r="AX25" i="67"/>
  <c r="M25" i="156" s="1"/>
  <c r="AX26" i="67"/>
  <c r="M26" i="156" s="1"/>
  <c r="AX27" i="67"/>
  <c r="M27" i="156" s="1"/>
  <c r="AX28" i="67"/>
  <c r="M28" i="156" s="1"/>
  <c r="AX29" i="67"/>
  <c r="M29" i="156" s="1"/>
  <c r="AX30" i="67"/>
  <c r="M30" i="156" s="1"/>
  <c r="AX31" i="67"/>
  <c r="M31" i="156" s="1"/>
  <c r="AX32" i="67"/>
  <c r="M32" i="156" s="1"/>
  <c r="AX33" i="67"/>
  <c r="M33" i="156" s="1"/>
  <c r="AX34" i="67"/>
  <c r="M34" i="156" s="1"/>
  <c r="AX35" i="67"/>
  <c r="M35" i="156" s="1"/>
  <c r="AX36" i="67"/>
  <c r="M36" i="156" s="1"/>
  <c r="AX37" i="67"/>
  <c r="M37" i="156" s="1"/>
  <c r="AX38" i="67"/>
  <c r="M38" i="156" s="1"/>
  <c r="AX39" i="67"/>
  <c r="M39" i="156" s="1"/>
  <c r="AX40" i="67"/>
  <c r="M40" i="156" s="1"/>
  <c r="AX41" i="67"/>
  <c r="M41" i="156" s="1"/>
  <c r="AX42" i="67"/>
  <c r="M42" i="156" s="1"/>
  <c r="AX43" i="67"/>
  <c r="M43" i="156" s="1"/>
  <c r="AX44" i="67"/>
  <c r="M44" i="156" s="1"/>
  <c r="AX45" i="67"/>
  <c r="M45" i="156" s="1"/>
  <c r="AX46" i="67"/>
  <c r="M46" i="156" s="1"/>
  <c r="AX47" i="67"/>
  <c r="M47" i="156" s="1"/>
  <c r="AX48" i="67"/>
  <c r="M48" i="156" s="1"/>
  <c r="AX49" i="67"/>
  <c r="M49" i="156" s="1"/>
  <c r="AX50" i="67"/>
  <c r="M50" i="156" s="1"/>
  <c r="AX51" i="67"/>
  <c r="M51" i="156" s="1"/>
  <c r="AX52" i="67"/>
  <c r="M52" i="156" s="1"/>
  <c r="AX53" i="67"/>
  <c r="M53" i="156" s="1"/>
  <c r="AX54" i="67"/>
  <c r="M54" i="156" s="1"/>
  <c r="AX55" i="67"/>
  <c r="M55" i="156" s="1"/>
  <c r="AX56" i="67"/>
  <c r="M56" i="156" s="1"/>
  <c r="AX57" i="67"/>
  <c r="M57" i="156" s="1"/>
  <c r="AX58" i="67"/>
  <c r="M58" i="156" s="1"/>
  <c r="AX59" i="67"/>
  <c r="M59" i="156" s="1"/>
  <c r="AX60" i="67"/>
  <c r="M60" i="156" s="1"/>
  <c r="AX61" i="67"/>
  <c r="M61" i="156" s="1"/>
  <c r="AX62" i="67"/>
  <c r="M62" i="156" s="1"/>
  <c r="AX63" i="67"/>
  <c r="M63" i="156" s="1"/>
  <c r="AX64" i="67"/>
  <c r="M64" i="156" s="1"/>
  <c r="AX65" i="67"/>
  <c r="M65" i="156" s="1"/>
  <c r="AX66" i="67"/>
  <c r="M66" i="156" s="1"/>
  <c r="AX67" i="67"/>
  <c r="M67" i="156" s="1"/>
  <c r="AX68" i="67"/>
  <c r="M68" i="156" s="1"/>
  <c r="AX69" i="67"/>
  <c r="M69" i="156" s="1"/>
  <c r="AX70" i="67"/>
  <c r="M70" i="156" s="1"/>
  <c r="AX71" i="67"/>
  <c r="M71" i="156" s="1"/>
  <c r="AX72" i="67"/>
  <c r="M72" i="156" s="1"/>
  <c r="AX73" i="67"/>
  <c r="M73" i="156" s="1"/>
  <c r="AX74" i="67"/>
  <c r="M74" i="156" s="1"/>
  <c r="AX75" i="67"/>
  <c r="M75" i="156" s="1"/>
  <c r="AX76" i="67"/>
  <c r="M76" i="156" s="1"/>
  <c r="AX77" i="67"/>
  <c r="M77" i="156" s="1"/>
  <c r="AX78" i="67"/>
  <c r="M78" i="156" s="1"/>
  <c r="AX79" i="67"/>
  <c r="M79" i="156" s="1"/>
  <c r="AX80" i="67"/>
  <c r="M80" i="156" s="1"/>
  <c r="AX81" i="67"/>
  <c r="M81" i="156" s="1"/>
  <c r="AX82" i="67"/>
  <c r="M82" i="156" s="1"/>
  <c r="AX83" i="67"/>
  <c r="M83" i="156" s="1"/>
  <c r="AX84" i="67"/>
  <c r="M84" i="156" s="1"/>
  <c r="AX85" i="67"/>
  <c r="M85" i="156" s="1"/>
  <c r="AX86" i="67"/>
  <c r="M86" i="156" s="1"/>
  <c r="AX87" i="67"/>
  <c r="M87" i="156" s="1"/>
  <c r="AX88" i="67"/>
  <c r="M88" i="156" s="1"/>
  <c r="AX89" i="67"/>
  <c r="M89" i="156" s="1"/>
  <c r="AX90" i="67"/>
  <c r="M90" i="156" s="1"/>
  <c r="AX91" i="67"/>
  <c r="M91" i="156" s="1"/>
  <c r="AX92" i="67"/>
  <c r="M92" i="156" s="1"/>
  <c r="AX93" i="67"/>
  <c r="M93" i="156" s="1"/>
  <c r="AX94" i="67"/>
  <c r="M94" i="156" s="1"/>
  <c r="AX95" i="67"/>
  <c r="M95" i="156" s="1"/>
  <c r="AX96" i="67"/>
  <c r="M96" i="156" s="1"/>
  <c r="AX97" i="67"/>
  <c r="M97" i="156" s="1"/>
  <c r="AX98" i="67"/>
  <c r="M98" i="156" s="1"/>
  <c r="AX99" i="67"/>
  <c r="M99" i="156" s="1"/>
  <c r="AX100" i="67"/>
  <c r="M100" i="156" s="1"/>
  <c r="AX101" i="67"/>
  <c r="M101" i="156" s="1"/>
  <c r="AX102" i="67"/>
  <c r="M102" i="156" s="1"/>
  <c r="AX103" i="67"/>
  <c r="M103" i="156" s="1"/>
  <c r="AX104" i="67"/>
  <c r="M104" i="156" s="1"/>
  <c r="AX105" i="67"/>
  <c r="M105" i="156" s="1"/>
  <c r="AX106" i="67"/>
  <c r="M106" i="156" s="1"/>
  <c r="AX107" i="67"/>
  <c r="M107" i="156" s="1"/>
  <c r="O2" i="65"/>
  <c r="N2" i="65"/>
  <c r="AT90" i="67"/>
  <c r="AT91" i="67"/>
  <c r="AT92" i="67"/>
  <c r="AT93" i="67"/>
  <c r="AT94" i="67"/>
  <c r="AT95" i="67"/>
  <c r="AT96" i="67"/>
  <c r="AT97" i="67"/>
  <c r="AT98" i="67"/>
  <c r="AT99" i="67"/>
  <c r="AT100" i="67"/>
  <c r="AT101" i="67"/>
  <c r="AT102" i="67"/>
  <c r="AT103" i="67"/>
  <c r="AT104" i="67"/>
  <c r="AT105" i="67"/>
  <c r="AT106" i="67"/>
  <c r="AT107" i="67"/>
  <c r="AT108" i="67"/>
  <c r="AT109" i="67"/>
  <c r="AS90" i="67"/>
  <c r="AS91" i="67"/>
  <c r="AS92" i="67"/>
  <c r="AS93" i="67"/>
  <c r="AS94" i="67"/>
  <c r="AS95" i="67"/>
  <c r="AS96" i="67"/>
  <c r="AS97" i="67"/>
  <c r="AS98" i="67"/>
  <c r="AS99" i="67"/>
  <c r="AS100" i="67"/>
  <c r="AS101" i="67"/>
  <c r="AS102" i="67"/>
  <c r="AS103" i="67"/>
  <c r="AS104" i="67"/>
  <c r="AS105" i="67"/>
  <c r="AS106" i="67"/>
  <c r="AS107" i="67"/>
  <c r="AS108" i="67"/>
  <c r="AS109" i="67"/>
  <c r="J2" i="38"/>
  <c r="J3" i="38"/>
  <c r="J4" i="38"/>
  <c r="J5" i="38"/>
  <c r="J6" i="38"/>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54" i="38"/>
  <c r="J55" i="38"/>
  <c r="J56" i="38"/>
  <c r="J57" i="38"/>
  <c r="J58" i="38"/>
  <c r="J59" i="38"/>
  <c r="J60" i="38"/>
  <c r="J61" i="38"/>
  <c r="J62" i="38"/>
  <c r="J63" i="38"/>
  <c r="J64" i="38"/>
  <c r="J65" i="38"/>
  <c r="J66" i="38"/>
  <c r="J67" i="38"/>
  <c r="J68" i="38"/>
  <c r="J69" i="38"/>
  <c r="J70" i="38"/>
  <c r="J71" i="38"/>
  <c r="J72" i="38"/>
  <c r="J73" i="38"/>
  <c r="J74" i="38"/>
  <c r="J75" i="38"/>
  <c r="J76" i="38"/>
  <c r="J77" i="38"/>
  <c r="J78" i="38"/>
  <c r="J79" i="38"/>
  <c r="J80" i="38"/>
  <c r="J81" i="38"/>
  <c r="J82" i="38"/>
  <c r="J83" i="38"/>
  <c r="J84" i="38"/>
  <c r="J85" i="38"/>
  <c r="J86" i="38"/>
  <c r="J87" i="38"/>
  <c r="J88" i="38"/>
  <c r="J89" i="38"/>
  <c r="J90" i="38"/>
  <c r="J91" i="38"/>
  <c r="J92" i="38"/>
  <c r="J93" i="38"/>
  <c r="J94" i="38"/>
  <c r="J95" i="38"/>
  <c r="J96" i="38"/>
  <c r="J97" i="38"/>
  <c r="J98" i="38"/>
  <c r="J99" i="38"/>
  <c r="J100" i="38"/>
  <c r="J101" i="38"/>
  <c r="J102" i="38"/>
  <c r="J103" i="38"/>
  <c r="J104" i="38"/>
  <c r="J105" i="38"/>
  <c r="J106" i="38"/>
  <c r="J107" i="38"/>
  <c r="J108" i="38"/>
  <c r="J109" i="38"/>
  <c r="J122" i="38"/>
  <c r="J123" i="38"/>
  <c r="J124" i="38"/>
  <c r="J125" i="38"/>
  <c r="J126" i="38"/>
  <c r="J127" i="38"/>
  <c r="J128" i="38"/>
  <c r="J129" i="38"/>
  <c r="J130" i="38"/>
  <c r="J131" i="38"/>
  <c r="J132" i="38"/>
  <c r="J133" i="38"/>
  <c r="J134" i="38"/>
  <c r="J135" i="38"/>
  <c r="J136" i="38"/>
  <c r="J137" i="38"/>
  <c r="J138" i="38"/>
  <c r="J139" i="38"/>
  <c r="J140" i="38"/>
  <c r="J141" i="38"/>
  <c r="J142" i="38"/>
  <c r="J143" i="38"/>
  <c r="J144" i="38"/>
  <c r="J145" i="38"/>
  <c r="AL24" i="57" l="1"/>
  <c r="AK23" i="57"/>
  <c r="H31" i="74" s="1"/>
  <c r="K26" i="154"/>
  <c r="T26" i="154" s="1"/>
  <c r="K26" i="153"/>
  <c r="T26" i="153" s="1"/>
  <c r="K89" i="154"/>
  <c r="T89" i="154" s="1"/>
  <c r="K89" i="153"/>
  <c r="T89" i="153" s="1"/>
  <c r="K57" i="154"/>
  <c r="T57" i="154" s="1"/>
  <c r="K57" i="153"/>
  <c r="T57" i="153" s="1"/>
  <c r="K25" i="154"/>
  <c r="T25" i="154" s="1"/>
  <c r="K25" i="153"/>
  <c r="T25" i="153" s="1"/>
  <c r="K102" i="154"/>
  <c r="T102" i="154" s="1"/>
  <c r="K102" i="153"/>
  <c r="T102" i="153" s="1"/>
  <c r="K86" i="154"/>
  <c r="T86" i="154" s="1"/>
  <c r="K86" i="153"/>
  <c r="T86" i="153" s="1"/>
  <c r="K70" i="154"/>
  <c r="T70" i="154" s="1"/>
  <c r="K70" i="153"/>
  <c r="T70" i="153" s="1"/>
  <c r="K54" i="154"/>
  <c r="T54" i="154" s="1"/>
  <c r="K54" i="153"/>
  <c r="T54" i="153" s="1"/>
  <c r="K38" i="154"/>
  <c r="T38" i="154" s="1"/>
  <c r="K38" i="153"/>
  <c r="T38" i="153" s="1"/>
  <c r="K22" i="154"/>
  <c r="T22" i="154" s="1"/>
  <c r="K22" i="153"/>
  <c r="T22" i="153" s="1"/>
  <c r="K6" i="154"/>
  <c r="T6" i="154" s="1"/>
  <c r="K6" i="153"/>
  <c r="T6" i="153" s="1"/>
  <c r="K101" i="154"/>
  <c r="T101" i="154" s="1"/>
  <c r="K101" i="153"/>
  <c r="T101" i="153" s="1"/>
  <c r="K85" i="154"/>
  <c r="T85" i="154" s="1"/>
  <c r="K85" i="153"/>
  <c r="T85" i="153" s="1"/>
  <c r="K69" i="154"/>
  <c r="T69" i="154" s="1"/>
  <c r="K69" i="153"/>
  <c r="T69" i="153" s="1"/>
  <c r="K53" i="154"/>
  <c r="T53" i="154" s="1"/>
  <c r="K53" i="153"/>
  <c r="T53" i="153" s="1"/>
  <c r="K37" i="154"/>
  <c r="T37" i="154" s="1"/>
  <c r="K37" i="153"/>
  <c r="T37" i="153" s="1"/>
  <c r="K21" i="154"/>
  <c r="T21" i="154" s="1"/>
  <c r="K21" i="153"/>
  <c r="T21" i="153" s="1"/>
  <c r="K5" i="154"/>
  <c r="T5" i="154" s="1"/>
  <c r="K5" i="153"/>
  <c r="T5" i="153" s="1"/>
  <c r="K109" i="154"/>
  <c r="T109" i="154" s="1"/>
  <c r="K109" i="153"/>
  <c r="T109" i="153" s="1"/>
  <c r="K74" i="154"/>
  <c r="T74" i="154" s="1"/>
  <c r="K74" i="153"/>
  <c r="T74" i="153" s="1"/>
  <c r="K100" i="154"/>
  <c r="T100" i="154" s="1"/>
  <c r="K100" i="153"/>
  <c r="T100" i="153" s="1"/>
  <c r="K84" i="154"/>
  <c r="T84" i="154" s="1"/>
  <c r="K84" i="153"/>
  <c r="T84" i="153" s="1"/>
  <c r="K68" i="154"/>
  <c r="T68" i="154" s="1"/>
  <c r="K68" i="153"/>
  <c r="T68" i="153" s="1"/>
  <c r="K52" i="154"/>
  <c r="T52" i="154" s="1"/>
  <c r="K52" i="153"/>
  <c r="T52" i="153" s="1"/>
  <c r="K36" i="154"/>
  <c r="T36" i="154" s="1"/>
  <c r="K36" i="153"/>
  <c r="T36" i="153" s="1"/>
  <c r="K20" i="154"/>
  <c r="T20" i="154" s="1"/>
  <c r="K20" i="153"/>
  <c r="T20" i="153" s="1"/>
  <c r="K4" i="154"/>
  <c r="T4" i="154" s="1"/>
  <c r="K4" i="153"/>
  <c r="T4" i="153" s="1"/>
  <c r="K99" i="154"/>
  <c r="T99" i="154" s="1"/>
  <c r="K99" i="153"/>
  <c r="T99" i="153" s="1"/>
  <c r="K83" i="154"/>
  <c r="T83" i="154" s="1"/>
  <c r="K83" i="153"/>
  <c r="T83" i="153" s="1"/>
  <c r="K67" i="154"/>
  <c r="T67" i="154" s="1"/>
  <c r="K67" i="153"/>
  <c r="T67" i="153" s="1"/>
  <c r="K51" i="154"/>
  <c r="T51" i="154" s="1"/>
  <c r="K51" i="153"/>
  <c r="T51" i="153" s="1"/>
  <c r="K35" i="154"/>
  <c r="T35" i="154" s="1"/>
  <c r="K35" i="153"/>
  <c r="T35" i="153" s="1"/>
  <c r="K19" i="154"/>
  <c r="T19" i="154" s="1"/>
  <c r="K19" i="153"/>
  <c r="T19" i="153" s="1"/>
  <c r="K3" i="154"/>
  <c r="T3" i="154" s="1"/>
  <c r="K3" i="153"/>
  <c r="T3" i="153" s="1"/>
  <c r="K98" i="154"/>
  <c r="T98" i="154" s="1"/>
  <c r="K98" i="153"/>
  <c r="T98" i="153" s="1"/>
  <c r="K82" i="154"/>
  <c r="T82" i="154" s="1"/>
  <c r="K82" i="153"/>
  <c r="T82" i="153" s="1"/>
  <c r="K66" i="154"/>
  <c r="T66" i="154" s="1"/>
  <c r="K66" i="153"/>
  <c r="T66" i="153" s="1"/>
  <c r="K50" i="154"/>
  <c r="T50" i="154" s="1"/>
  <c r="K50" i="153"/>
  <c r="T50" i="153" s="1"/>
  <c r="K34" i="154"/>
  <c r="T34" i="154" s="1"/>
  <c r="K34" i="153"/>
  <c r="T34" i="153" s="1"/>
  <c r="K18" i="154"/>
  <c r="T18" i="154" s="1"/>
  <c r="K18" i="153"/>
  <c r="T18" i="153" s="1"/>
  <c r="K2" i="154"/>
  <c r="T2" i="154" s="1"/>
  <c r="K2" i="153"/>
  <c r="T2" i="153" s="1"/>
  <c r="U2" i="153" s="1"/>
  <c r="K97" i="154"/>
  <c r="T97" i="154" s="1"/>
  <c r="K97" i="153"/>
  <c r="T97" i="153" s="1"/>
  <c r="K96" i="154"/>
  <c r="T96" i="154" s="1"/>
  <c r="K96" i="153"/>
  <c r="T96" i="153" s="1"/>
  <c r="K80" i="154"/>
  <c r="T80" i="154" s="1"/>
  <c r="K80" i="153"/>
  <c r="T80" i="153" s="1"/>
  <c r="K64" i="154"/>
  <c r="T64" i="154" s="1"/>
  <c r="K64" i="153"/>
  <c r="T64" i="153" s="1"/>
  <c r="K48" i="154"/>
  <c r="T48" i="154" s="1"/>
  <c r="K48" i="153"/>
  <c r="T48" i="153" s="1"/>
  <c r="K32" i="154"/>
  <c r="T32" i="154" s="1"/>
  <c r="K32" i="153"/>
  <c r="T32" i="153" s="1"/>
  <c r="K16" i="154"/>
  <c r="T16" i="154" s="1"/>
  <c r="K16" i="153"/>
  <c r="T16" i="153" s="1"/>
  <c r="K95" i="154"/>
  <c r="T95" i="154" s="1"/>
  <c r="K95" i="153"/>
  <c r="T95" i="153" s="1"/>
  <c r="K79" i="154"/>
  <c r="T79" i="154" s="1"/>
  <c r="K79" i="153"/>
  <c r="T79" i="153" s="1"/>
  <c r="K63" i="154"/>
  <c r="T63" i="154" s="1"/>
  <c r="K63" i="153"/>
  <c r="T63" i="153" s="1"/>
  <c r="K47" i="154"/>
  <c r="T47" i="154" s="1"/>
  <c r="K47" i="153"/>
  <c r="T47" i="153" s="1"/>
  <c r="K31" i="154"/>
  <c r="T31" i="154" s="1"/>
  <c r="K31" i="153"/>
  <c r="T31" i="153" s="1"/>
  <c r="K15" i="154"/>
  <c r="T15" i="154" s="1"/>
  <c r="K15" i="153"/>
  <c r="T15" i="153" s="1"/>
  <c r="K14" i="154"/>
  <c r="T14" i="154" s="1"/>
  <c r="K14" i="153"/>
  <c r="T14" i="153" s="1"/>
  <c r="K81" i="154"/>
  <c r="T81" i="154" s="1"/>
  <c r="K81" i="153"/>
  <c r="T81" i="153" s="1"/>
  <c r="K49" i="154"/>
  <c r="T49" i="154" s="1"/>
  <c r="K49" i="153"/>
  <c r="T49" i="153" s="1"/>
  <c r="K17" i="154"/>
  <c r="T17" i="154" s="1"/>
  <c r="K17" i="153"/>
  <c r="T17" i="153" s="1"/>
  <c r="K94" i="154"/>
  <c r="T94" i="154" s="1"/>
  <c r="K94" i="153"/>
  <c r="T94" i="153" s="1"/>
  <c r="K78" i="154"/>
  <c r="T78" i="154" s="1"/>
  <c r="K78" i="153"/>
  <c r="T78" i="153" s="1"/>
  <c r="K62" i="154"/>
  <c r="T62" i="154" s="1"/>
  <c r="K62" i="153"/>
  <c r="T62" i="153" s="1"/>
  <c r="K46" i="154"/>
  <c r="T46" i="154" s="1"/>
  <c r="K46" i="153"/>
  <c r="T46" i="153" s="1"/>
  <c r="K30" i="154"/>
  <c r="T30" i="154" s="1"/>
  <c r="K30" i="153"/>
  <c r="T30" i="153" s="1"/>
  <c r="K93" i="154"/>
  <c r="T93" i="154" s="1"/>
  <c r="K93" i="153"/>
  <c r="T93" i="153" s="1"/>
  <c r="K77" i="154"/>
  <c r="T77" i="154" s="1"/>
  <c r="K77" i="153"/>
  <c r="T77" i="153" s="1"/>
  <c r="K61" i="154"/>
  <c r="T61" i="154" s="1"/>
  <c r="K61" i="153"/>
  <c r="T61" i="153" s="1"/>
  <c r="K45" i="154"/>
  <c r="T45" i="154" s="1"/>
  <c r="K45" i="153"/>
  <c r="T45" i="153" s="1"/>
  <c r="K29" i="154"/>
  <c r="T29" i="154" s="1"/>
  <c r="K29" i="153"/>
  <c r="T29" i="153" s="1"/>
  <c r="K13" i="154"/>
  <c r="T13" i="154" s="1"/>
  <c r="K13" i="153"/>
  <c r="T13" i="153" s="1"/>
  <c r="K107" i="154"/>
  <c r="T107" i="154" s="1"/>
  <c r="K107" i="153"/>
  <c r="T107" i="153" s="1"/>
  <c r="K91" i="154"/>
  <c r="T91" i="154" s="1"/>
  <c r="K91" i="153"/>
  <c r="T91" i="153" s="1"/>
  <c r="K75" i="154"/>
  <c r="T75" i="154" s="1"/>
  <c r="K75" i="153"/>
  <c r="T75" i="153" s="1"/>
  <c r="K59" i="154"/>
  <c r="T59" i="154" s="1"/>
  <c r="K59" i="153"/>
  <c r="T59" i="153" s="1"/>
  <c r="K43" i="154"/>
  <c r="T43" i="154" s="1"/>
  <c r="K43" i="153"/>
  <c r="T43" i="153" s="1"/>
  <c r="K27" i="154"/>
  <c r="T27" i="154" s="1"/>
  <c r="K27" i="153"/>
  <c r="T27" i="153" s="1"/>
  <c r="K11" i="154"/>
  <c r="T11" i="154" s="1"/>
  <c r="K11" i="153"/>
  <c r="T11" i="153" s="1"/>
  <c r="K65" i="154"/>
  <c r="T65" i="154" s="1"/>
  <c r="K65" i="153"/>
  <c r="T65" i="153" s="1"/>
  <c r="K92" i="154"/>
  <c r="T92" i="154" s="1"/>
  <c r="K92" i="153"/>
  <c r="T92" i="153" s="1"/>
  <c r="K76" i="154"/>
  <c r="T76" i="154" s="1"/>
  <c r="K76" i="153"/>
  <c r="T76" i="153" s="1"/>
  <c r="K44" i="154"/>
  <c r="T44" i="154" s="1"/>
  <c r="K44" i="153"/>
  <c r="T44" i="153" s="1"/>
  <c r="K106" i="154"/>
  <c r="T106" i="154" s="1"/>
  <c r="K106" i="153"/>
  <c r="T106" i="153" s="1"/>
  <c r="K90" i="154"/>
  <c r="T90" i="154" s="1"/>
  <c r="K90" i="153"/>
  <c r="T90" i="153" s="1"/>
  <c r="K58" i="154"/>
  <c r="T58" i="154" s="1"/>
  <c r="K58" i="153"/>
  <c r="T58" i="153" s="1"/>
  <c r="K42" i="154"/>
  <c r="T42" i="154" s="1"/>
  <c r="K42" i="153"/>
  <c r="T42" i="153" s="1"/>
  <c r="K10" i="154"/>
  <c r="T10" i="154" s="1"/>
  <c r="K10" i="153"/>
  <c r="T10" i="153" s="1"/>
  <c r="K73" i="154"/>
  <c r="T73" i="154" s="1"/>
  <c r="K73" i="153"/>
  <c r="T73" i="153" s="1"/>
  <c r="K41" i="154"/>
  <c r="T41" i="154" s="1"/>
  <c r="K41" i="153"/>
  <c r="T41" i="153" s="1"/>
  <c r="K9" i="154"/>
  <c r="T9" i="154" s="1"/>
  <c r="K9" i="153"/>
  <c r="T9" i="153" s="1"/>
  <c r="K60" i="154"/>
  <c r="T60" i="154" s="1"/>
  <c r="K60" i="153"/>
  <c r="T60" i="153" s="1"/>
  <c r="K33" i="154"/>
  <c r="T33" i="154" s="1"/>
  <c r="K33" i="153"/>
  <c r="T33" i="153" s="1"/>
  <c r="K28" i="154"/>
  <c r="T28" i="154" s="1"/>
  <c r="K28" i="153"/>
  <c r="T28" i="153" s="1"/>
  <c r="K105" i="154"/>
  <c r="T105" i="154" s="1"/>
  <c r="K105" i="153"/>
  <c r="T105" i="153" s="1"/>
  <c r="K103" i="154"/>
  <c r="T103" i="154" s="1"/>
  <c r="K103" i="153"/>
  <c r="T103" i="153" s="1"/>
  <c r="K87" i="154"/>
  <c r="T87" i="154" s="1"/>
  <c r="K87" i="153"/>
  <c r="T87" i="153" s="1"/>
  <c r="K71" i="154"/>
  <c r="T71" i="154" s="1"/>
  <c r="K71" i="153"/>
  <c r="T71" i="153" s="1"/>
  <c r="K55" i="154"/>
  <c r="T55" i="154" s="1"/>
  <c r="K55" i="153"/>
  <c r="T55" i="153" s="1"/>
  <c r="K39" i="154"/>
  <c r="T39" i="154" s="1"/>
  <c r="K39" i="153"/>
  <c r="T39" i="153" s="1"/>
  <c r="K23" i="154"/>
  <c r="T23" i="154" s="1"/>
  <c r="K23" i="153"/>
  <c r="T23" i="153" s="1"/>
  <c r="K7" i="154"/>
  <c r="T7" i="154" s="1"/>
  <c r="K7" i="153"/>
  <c r="T7" i="153" s="1"/>
  <c r="AJ108" i="67"/>
  <c r="I111" i="65"/>
  <c r="AJ109" i="67" s="1"/>
  <c r="K12" i="154"/>
  <c r="T12" i="154" s="1"/>
  <c r="K12" i="153"/>
  <c r="T12" i="153" s="1"/>
  <c r="K104" i="154"/>
  <c r="T104" i="154" s="1"/>
  <c r="K104" i="153"/>
  <c r="T104" i="153" s="1"/>
  <c r="K88" i="154"/>
  <c r="T88" i="154" s="1"/>
  <c r="K88" i="153"/>
  <c r="T88" i="153" s="1"/>
  <c r="K72" i="154"/>
  <c r="T72" i="154" s="1"/>
  <c r="K72" i="153"/>
  <c r="T72" i="153" s="1"/>
  <c r="K56" i="154"/>
  <c r="T56" i="154" s="1"/>
  <c r="K56" i="153"/>
  <c r="T56" i="153" s="1"/>
  <c r="K40" i="154"/>
  <c r="T40" i="154" s="1"/>
  <c r="K40" i="153"/>
  <c r="T40" i="153" s="1"/>
  <c r="K24" i="154"/>
  <c r="T24" i="154" s="1"/>
  <c r="K24" i="153"/>
  <c r="T24" i="153" s="1"/>
  <c r="K8" i="154"/>
  <c r="T8" i="154" s="1"/>
  <c r="K8" i="153"/>
  <c r="T8" i="153" s="1"/>
  <c r="N109" i="30"/>
  <c r="N95" i="30"/>
  <c r="N2" i="30"/>
  <c r="N15" i="30"/>
  <c r="N18" i="30"/>
  <c r="N75" i="30"/>
  <c r="N59" i="30"/>
  <c r="N43" i="30"/>
  <c r="N26" i="30"/>
  <c r="N23" i="30"/>
  <c r="N7" i="30"/>
  <c r="AX108" i="67"/>
  <c r="M108" i="156" s="1"/>
  <c r="K139" i="77"/>
  <c r="R139" i="77" s="1"/>
  <c r="K127" i="77"/>
  <c r="R127" i="77" s="1"/>
  <c r="K138" i="77"/>
  <c r="R138" i="77" s="1"/>
  <c r="K137" i="77"/>
  <c r="R137" i="77" s="1"/>
  <c r="K143" i="77"/>
  <c r="R143" i="77" s="1"/>
  <c r="K124" i="77"/>
  <c r="R124" i="77" s="1"/>
  <c r="K123" i="77"/>
  <c r="R123" i="77" s="1"/>
  <c r="K134" i="77"/>
  <c r="R134" i="77" s="1"/>
  <c r="K122" i="77"/>
  <c r="R122" i="77" s="1"/>
  <c r="S10" i="72"/>
  <c r="O22" i="73"/>
  <c r="N22" i="73"/>
  <c r="L84" i="72"/>
  <c r="L70" i="72" s="1"/>
  <c r="L83" i="72"/>
  <c r="L69" i="72" s="1"/>
  <c r="L82" i="72"/>
  <c r="L68" i="72" s="1"/>
  <c r="L81" i="72"/>
  <c r="L67" i="72" s="1"/>
  <c r="L80" i="72"/>
  <c r="L66" i="72" s="1"/>
  <c r="L79" i="72"/>
  <c r="L65" i="72" s="1"/>
  <c r="L78" i="72"/>
  <c r="L64" i="72" s="1"/>
  <c r="L77" i="72"/>
  <c r="L63" i="72" s="1"/>
  <c r="L76" i="72"/>
  <c r="L62" i="72" s="1"/>
  <c r="L75" i="72"/>
  <c r="L61" i="72" s="1"/>
  <c r="P74" i="72"/>
  <c r="O74" i="72"/>
  <c r="U69" i="72"/>
  <c r="U66" i="72"/>
  <c r="O37" i="72"/>
  <c r="O27" i="72"/>
  <c r="O26" i="72"/>
  <c r="O25" i="72"/>
  <c r="O24" i="72"/>
  <c r="O23" i="72"/>
  <c r="G23" i="72"/>
  <c r="F23" i="72"/>
  <c r="E23" i="72"/>
  <c r="D23" i="72"/>
  <c r="C23" i="72"/>
  <c r="O22" i="72"/>
  <c r="I22" i="72"/>
  <c r="O21" i="72"/>
  <c r="I21" i="72"/>
  <c r="O20" i="72"/>
  <c r="O19" i="72"/>
  <c r="O18" i="72"/>
  <c r="F14" i="72"/>
  <c r="E14" i="72"/>
  <c r="D14" i="72"/>
  <c r="C14" i="72"/>
  <c r="S13" i="72"/>
  <c r="R13" i="72"/>
  <c r="Q13" i="72"/>
  <c r="Q27" i="72" s="1"/>
  <c r="G13" i="72"/>
  <c r="T13" i="72" s="1"/>
  <c r="G12" i="72"/>
  <c r="S11" i="72"/>
  <c r="R11" i="72"/>
  <c r="Q11" i="72"/>
  <c r="P11" i="72"/>
  <c r="C68" i="72" s="1"/>
  <c r="G11" i="72"/>
  <c r="T11" i="72" s="1"/>
  <c r="G10" i="72"/>
  <c r="T10" i="72" s="1"/>
  <c r="S9" i="72"/>
  <c r="R9" i="72"/>
  <c r="Q9" i="72"/>
  <c r="P9" i="72"/>
  <c r="C66" i="72" s="1"/>
  <c r="G9" i="72"/>
  <c r="T9" i="72" s="1"/>
  <c r="G8" i="72"/>
  <c r="H8" i="72" s="1"/>
  <c r="G7" i="72"/>
  <c r="H7" i="72" s="1"/>
  <c r="I7" i="72" s="1"/>
  <c r="G6" i="72"/>
  <c r="H6" i="72" s="1"/>
  <c r="L5" i="72"/>
  <c r="L6" i="72" s="1"/>
  <c r="L7" i="72" s="1"/>
  <c r="L8" i="72" s="1"/>
  <c r="G5" i="72"/>
  <c r="G4" i="72"/>
  <c r="C3" i="69"/>
  <c r="I15" i="71"/>
  <c r="H15" i="71"/>
  <c r="C61" i="70"/>
  <c r="C60" i="70"/>
  <c r="E31" i="70"/>
  <c r="F31" i="70" s="1"/>
  <c r="E20" i="70"/>
  <c r="F20" i="70" s="1"/>
  <c r="V15" i="70"/>
  <c r="T15" i="70"/>
  <c r="W14" i="70"/>
  <c r="U14" i="70"/>
  <c r="W13" i="70"/>
  <c r="U13" i="70"/>
  <c r="W12" i="70"/>
  <c r="U12" i="70"/>
  <c r="W11" i="70"/>
  <c r="U11" i="70"/>
  <c r="W10" i="70"/>
  <c r="U10" i="70"/>
  <c r="W9" i="70"/>
  <c r="U9" i="70"/>
  <c r="W8" i="70"/>
  <c r="U8" i="70"/>
  <c r="W7" i="70"/>
  <c r="U7" i="70"/>
  <c r="W6" i="70"/>
  <c r="U6" i="70"/>
  <c r="W5" i="70"/>
  <c r="U5" i="70"/>
  <c r="F5" i="70"/>
  <c r="W4" i="70"/>
  <c r="U4" i="70"/>
  <c r="G4" i="70"/>
  <c r="W3" i="70"/>
  <c r="U3" i="70"/>
  <c r="G3" i="70"/>
  <c r="E174" i="69"/>
  <c r="H154" i="69"/>
  <c r="G154" i="69"/>
  <c r="F154" i="69"/>
  <c r="E154" i="69"/>
  <c r="E163" i="69" s="1"/>
  <c r="E171" i="69" s="1"/>
  <c r="H153" i="69"/>
  <c r="G153" i="69"/>
  <c r="F153" i="69"/>
  <c r="E153" i="69"/>
  <c r="E162" i="69" s="1"/>
  <c r="E170" i="69" s="1"/>
  <c r="H152" i="69"/>
  <c r="G152" i="69"/>
  <c r="F152" i="69"/>
  <c r="E152" i="69"/>
  <c r="E161" i="69" s="1"/>
  <c r="E169" i="69" s="1"/>
  <c r="H151" i="69"/>
  <c r="G151" i="69"/>
  <c r="F151" i="69"/>
  <c r="I151" i="69" s="1"/>
  <c r="L151" i="69" s="1"/>
  <c r="E145" i="69"/>
  <c r="E141" i="69"/>
  <c r="E137" i="69"/>
  <c r="E129" i="69"/>
  <c r="L126" i="69"/>
  <c r="K126" i="69"/>
  <c r="J126" i="69"/>
  <c r="I126" i="69"/>
  <c r="H126" i="69"/>
  <c r="G126" i="69"/>
  <c r="F126" i="69"/>
  <c r="L119" i="69"/>
  <c r="L104" i="69" s="1"/>
  <c r="K119" i="69"/>
  <c r="K104" i="69" s="1"/>
  <c r="J119" i="69"/>
  <c r="J104" i="69" s="1"/>
  <c r="H119" i="69"/>
  <c r="H104" i="69" s="1"/>
  <c r="G119" i="69"/>
  <c r="G104" i="69" s="1"/>
  <c r="F119" i="69"/>
  <c r="F104" i="69" s="1"/>
  <c r="E115" i="69"/>
  <c r="E114" i="69"/>
  <c r="E113" i="69"/>
  <c r="E112" i="69"/>
  <c r="G98" i="69"/>
  <c r="H98" i="69" s="1"/>
  <c r="I98" i="69" s="1"/>
  <c r="K24" i="69"/>
  <c r="F19" i="69"/>
  <c r="G19" i="69" s="1"/>
  <c r="H19" i="69" s="1"/>
  <c r="I19" i="69" s="1"/>
  <c r="M87" i="68"/>
  <c r="M86" i="68"/>
  <c r="M85" i="68"/>
  <c r="M84" i="68"/>
  <c r="M83" i="68"/>
  <c r="M82" i="68"/>
  <c r="M81" i="68"/>
  <c r="M80" i="68"/>
  <c r="M79" i="68"/>
  <c r="M78" i="68"/>
  <c r="M77" i="68"/>
  <c r="M76" i="68"/>
  <c r="M75" i="68"/>
  <c r="M74" i="68"/>
  <c r="M73" i="68"/>
  <c r="M72" i="68"/>
  <c r="M71" i="68"/>
  <c r="M70" i="68"/>
  <c r="M69" i="68"/>
  <c r="M68" i="68"/>
  <c r="M67" i="68"/>
  <c r="M66" i="68"/>
  <c r="M65" i="68"/>
  <c r="M64" i="68"/>
  <c r="M63" i="68"/>
  <c r="M62" i="68"/>
  <c r="M61" i="68"/>
  <c r="M60" i="68"/>
  <c r="M59" i="68"/>
  <c r="M58" i="68"/>
  <c r="M57" i="68"/>
  <c r="M56" i="68"/>
  <c r="M55" i="68"/>
  <c r="M54" i="68"/>
  <c r="M53" i="68"/>
  <c r="M52" i="68"/>
  <c r="M51" i="68"/>
  <c r="M50" i="68"/>
  <c r="M49" i="68"/>
  <c r="M48" i="68"/>
  <c r="M47" i="68"/>
  <c r="M46" i="68"/>
  <c r="M45" i="68"/>
  <c r="M44" i="68"/>
  <c r="M43" i="68"/>
  <c r="M42" i="68"/>
  <c r="M41" i="68"/>
  <c r="M40" i="68"/>
  <c r="M39" i="68"/>
  <c r="M38" i="68"/>
  <c r="M37" i="68"/>
  <c r="M36" i="68"/>
  <c r="M35" i="68"/>
  <c r="AE33" i="68"/>
  <c r="M34" i="68"/>
  <c r="AE32" i="68"/>
  <c r="M33" i="68"/>
  <c r="AE31" i="68"/>
  <c r="M32" i="68"/>
  <c r="AE30" i="68"/>
  <c r="M31" i="68"/>
  <c r="AE29" i="68"/>
  <c r="M30" i="68"/>
  <c r="AE28" i="68"/>
  <c r="M29" i="68"/>
  <c r="AE27" i="68"/>
  <c r="M28" i="68"/>
  <c r="AE26" i="68"/>
  <c r="M27" i="68"/>
  <c r="AE25" i="68"/>
  <c r="M26" i="68"/>
  <c r="AE24" i="68"/>
  <c r="M25" i="68"/>
  <c r="AE23" i="68"/>
  <c r="M24" i="68"/>
  <c r="AE22" i="68"/>
  <c r="M23" i="68"/>
  <c r="AE21" i="68"/>
  <c r="M22" i="68"/>
  <c r="AE20" i="68"/>
  <c r="M21" i="68"/>
  <c r="AE19" i="68"/>
  <c r="M20" i="68"/>
  <c r="AE18" i="68"/>
  <c r="M19" i="68"/>
  <c r="AE17" i="68"/>
  <c r="M18" i="68"/>
  <c r="AE16" i="68"/>
  <c r="M17" i="68"/>
  <c r="AE15" i="68"/>
  <c r="M16" i="68"/>
  <c r="AE14" i="68"/>
  <c r="M15" i="68"/>
  <c r="AE13" i="68"/>
  <c r="M14" i="68"/>
  <c r="AE12" i="68"/>
  <c r="M13" i="68"/>
  <c r="AE11" i="68"/>
  <c r="M12" i="68"/>
  <c r="AE10" i="68"/>
  <c r="M11" i="68"/>
  <c r="AE9" i="68"/>
  <c r="M10" i="68"/>
  <c r="AE8" i="68"/>
  <c r="M9" i="68"/>
  <c r="AE7" i="68"/>
  <c r="M8" i="68"/>
  <c r="AE6" i="68"/>
  <c r="M7" i="68"/>
  <c r="M6" i="68"/>
  <c r="M5" i="68"/>
  <c r="M4" i="68"/>
  <c r="U2" i="68"/>
  <c r="V2" i="153" l="1"/>
  <c r="W2" i="153" s="1"/>
  <c r="R23" i="72"/>
  <c r="AL25" i="57"/>
  <c r="AK24" i="57"/>
  <c r="I31" i="74" s="1"/>
  <c r="K108" i="154"/>
  <c r="T108" i="154" s="1"/>
  <c r="K108" i="153"/>
  <c r="T108" i="153" s="1"/>
  <c r="T27" i="72"/>
  <c r="H85" i="69"/>
  <c r="L86" i="69"/>
  <c r="M71" i="69"/>
  <c r="I85" i="69"/>
  <c r="L85" i="69"/>
  <c r="M70" i="69"/>
  <c r="J85" i="69"/>
  <c r="L87" i="69"/>
  <c r="M69" i="69"/>
  <c r="K85" i="69"/>
  <c r="L84" i="69"/>
  <c r="L36" i="69"/>
  <c r="F86" i="69"/>
  <c r="L83" i="69"/>
  <c r="F127" i="69" s="1"/>
  <c r="L35" i="69"/>
  <c r="G86" i="69"/>
  <c r="F83" i="69"/>
  <c r="L34" i="69"/>
  <c r="H86" i="69"/>
  <c r="G83" i="69"/>
  <c r="L33" i="69"/>
  <c r="I86" i="69"/>
  <c r="H83" i="69"/>
  <c r="L32" i="69"/>
  <c r="F84" i="69"/>
  <c r="J86" i="69"/>
  <c r="I83" i="69"/>
  <c r="M35" i="69"/>
  <c r="G84" i="69"/>
  <c r="K86" i="69"/>
  <c r="J83" i="69"/>
  <c r="M86" i="69"/>
  <c r="H84" i="69"/>
  <c r="F87" i="69"/>
  <c r="K83" i="69"/>
  <c r="I84" i="69"/>
  <c r="G87" i="69"/>
  <c r="L69" i="69"/>
  <c r="J84" i="69"/>
  <c r="H87" i="69"/>
  <c r="K84" i="69"/>
  <c r="I87" i="69"/>
  <c r="F85" i="69"/>
  <c r="J87" i="69"/>
  <c r="M73" i="69"/>
  <c r="G85" i="69"/>
  <c r="K87" i="69"/>
  <c r="M72" i="69"/>
  <c r="M33" i="69"/>
  <c r="M36" i="69"/>
  <c r="M84" i="69"/>
  <c r="M83" i="69"/>
  <c r="G127" i="69" s="1"/>
  <c r="M87" i="69"/>
  <c r="M85" i="69"/>
  <c r="M32" i="69"/>
  <c r="M34" i="69"/>
  <c r="D70" i="72"/>
  <c r="R27" i="72"/>
  <c r="E70" i="72"/>
  <c r="S27" i="72"/>
  <c r="F66" i="72"/>
  <c r="T23" i="72"/>
  <c r="Q23" i="72"/>
  <c r="T25" i="72"/>
  <c r="E67" i="72"/>
  <c r="Q25" i="72"/>
  <c r="E66" i="72"/>
  <c r="S23" i="72"/>
  <c r="D68" i="72"/>
  <c r="R25" i="72"/>
  <c r="E68" i="72"/>
  <c r="S25" i="72"/>
  <c r="H10" i="72"/>
  <c r="U10" i="72" s="1"/>
  <c r="K151" i="69"/>
  <c r="N151" i="69" s="1"/>
  <c r="J151" i="69"/>
  <c r="M151" i="69" s="1"/>
  <c r="M46" i="69"/>
  <c r="M68" i="69" s="1"/>
  <c r="M9" i="69"/>
  <c r="K46" i="69"/>
  <c r="F46" i="69"/>
  <c r="K9" i="69"/>
  <c r="F9" i="69"/>
  <c r="I46" i="69"/>
  <c r="I68" i="69" s="1"/>
  <c r="G46" i="69"/>
  <c r="I9" i="69"/>
  <c r="L9" i="69"/>
  <c r="H9" i="69"/>
  <c r="G9" i="69"/>
  <c r="L46" i="69"/>
  <c r="H46" i="69"/>
  <c r="J46" i="69"/>
  <c r="J9" i="69"/>
  <c r="F73" i="69"/>
  <c r="H70" i="69"/>
  <c r="F36" i="69"/>
  <c r="K33" i="69"/>
  <c r="K72" i="69"/>
  <c r="G70" i="69"/>
  <c r="J33" i="69"/>
  <c r="I70" i="69"/>
  <c r="J72" i="69"/>
  <c r="F70" i="69"/>
  <c r="K35" i="69"/>
  <c r="I33" i="69"/>
  <c r="I72" i="69"/>
  <c r="J35" i="69"/>
  <c r="H33" i="69"/>
  <c r="H72" i="69"/>
  <c r="K69" i="69"/>
  <c r="I35" i="69"/>
  <c r="G33" i="69"/>
  <c r="L73" i="69"/>
  <c r="G72" i="69"/>
  <c r="J69" i="69"/>
  <c r="H35" i="69"/>
  <c r="F33" i="69"/>
  <c r="G36" i="69"/>
  <c r="L72" i="69"/>
  <c r="F72" i="69"/>
  <c r="I69" i="69"/>
  <c r="G35" i="69"/>
  <c r="L71" i="69"/>
  <c r="K71" i="69"/>
  <c r="H69" i="69"/>
  <c r="F35" i="69"/>
  <c r="K32" i="69"/>
  <c r="K29" i="69" s="1"/>
  <c r="L70" i="69"/>
  <c r="J71" i="69"/>
  <c r="G69" i="69"/>
  <c r="J32" i="69"/>
  <c r="J29" i="69" s="1"/>
  <c r="I71" i="69"/>
  <c r="F69" i="69"/>
  <c r="K34" i="69"/>
  <c r="I32" i="69"/>
  <c r="H71" i="69"/>
  <c r="J34" i="69"/>
  <c r="H32" i="69"/>
  <c r="K73" i="69"/>
  <c r="G71" i="69"/>
  <c r="K36" i="69"/>
  <c r="I34" i="69"/>
  <c r="G32" i="69"/>
  <c r="G73" i="69"/>
  <c r="J73" i="69"/>
  <c r="F71" i="69"/>
  <c r="J36" i="69"/>
  <c r="H34" i="69"/>
  <c r="F32" i="69"/>
  <c r="I73" i="69"/>
  <c r="K70" i="69"/>
  <c r="I36" i="69"/>
  <c r="G34" i="69"/>
  <c r="H73" i="69"/>
  <c r="J70" i="69"/>
  <c r="H36" i="69"/>
  <c r="F34" i="69"/>
  <c r="N108" i="30"/>
  <c r="CC3" i="67"/>
  <c r="I3" i="156" s="1"/>
  <c r="N2" i="36"/>
  <c r="N2" i="32"/>
  <c r="N16" i="30"/>
  <c r="N25" i="30"/>
  <c r="N33" i="30"/>
  <c r="N84" i="30"/>
  <c r="N42" i="30"/>
  <c r="N104" i="30"/>
  <c r="N35" i="30"/>
  <c r="N24" i="30"/>
  <c r="N41" i="30"/>
  <c r="N90" i="30"/>
  <c r="N50" i="30"/>
  <c r="N93" i="30"/>
  <c r="N51" i="30"/>
  <c r="N4" i="30"/>
  <c r="N49" i="30"/>
  <c r="N98" i="30"/>
  <c r="N58" i="30"/>
  <c r="N105" i="30"/>
  <c r="N83" i="30"/>
  <c r="N3" i="30"/>
  <c r="N12" i="30"/>
  <c r="N99" i="30"/>
  <c r="N66" i="30"/>
  <c r="N32" i="30"/>
  <c r="N57" i="30"/>
  <c r="N11" i="30"/>
  <c r="N20" i="30"/>
  <c r="N65" i="30"/>
  <c r="N31" i="30"/>
  <c r="N74" i="30"/>
  <c r="N40" i="30"/>
  <c r="N19" i="30"/>
  <c r="N28" i="30"/>
  <c r="N73" i="30"/>
  <c r="N39" i="30"/>
  <c r="N82" i="30"/>
  <c r="N48" i="30"/>
  <c r="N27" i="30"/>
  <c r="N10" i="30"/>
  <c r="N81" i="30"/>
  <c r="N47" i="30"/>
  <c r="N92" i="30"/>
  <c r="N56" i="30"/>
  <c r="N30" i="30"/>
  <c r="N89" i="30"/>
  <c r="N55" i="30"/>
  <c r="N102" i="30"/>
  <c r="N64" i="30"/>
  <c r="N38" i="30"/>
  <c r="N67" i="30"/>
  <c r="N63" i="30"/>
  <c r="N103" i="30"/>
  <c r="N72" i="30"/>
  <c r="N6" i="30"/>
  <c r="N97" i="30"/>
  <c r="N71" i="30"/>
  <c r="N80" i="30"/>
  <c r="N5" i="30"/>
  <c r="N46" i="30"/>
  <c r="N37" i="30"/>
  <c r="N13" i="30"/>
  <c r="N14" i="30"/>
  <c r="N54" i="30"/>
  <c r="N36" i="30"/>
  <c r="N79" i="30"/>
  <c r="N45" i="30"/>
  <c r="N88" i="30"/>
  <c r="N87" i="30"/>
  <c r="N22" i="30"/>
  <c r="N44" i="30"/>
  <c r="N106" i="30"/>
  <c r="N29" i="30"/>
  <c r="N70" i="30"/>
  <c r="N52" i="30"/>
  <c r="N91" i="30"/>
  <c r="N61" i="30"/>
  <c r="N94" i="30"/>
  <c r="N78" i="30"/>
  <c r="N60" i="30"/>
  <c r="N100" i="30"/>
  <c r="N69" i="30"/>
  <c r="N107" i="30"/>
  <c r="N9" i="30"/>
  <c r="N77" i="30"/>
  <c r="N21" i="30"/>
  <c r="N62" i="30"/>
  <c r="N53" i="30"/>
  <c r="N86" i="30"/>
  <c r="N68" i="30"/>
  <c r="N101" i="30"/>
  <c r="N8" i="30"/>
  <c r="N17" i="30"/>
  <c r="N96" i="30"/>
  <c r="N76" i="30"/>
  <c r="N34" i="30"/>
  <c r="N85" i="30"/>
  <c r="J19" i="69"/>
  <c r="K19" i="69" s="1"/>
  <c r="L19" i="69" s="1"/>
  <c r="M19" i="69" s="1"/>
  <c r="N19" i="69" s="1"/>
  <c r="O19" i="69" s="1"/>
  <c r="P19" i="69" s="1"/>
  <c r="Q19" i="69" s="1"/>
  <c r="R19" i="69" s="1"/>
  <c r="S19" i="69" s="1"/>
  <c r="T19" i="69" s="1"/>
  <c r="U19" i="69" s="1"/>
  <c r="V19" i="69" s="1"/>
  <c r="W19" i="69" s="1"/>
  <c r="X19" i="69" s="1"/>
  <c r="Y19" i="69" s="1"/>
  <c r="Z19" i="69" s="1"/>
  <c r="AA19" i="69" s="1"/>
  <c r="J98" i="69"/>
  <c r="K98" i="69" s="1"/>
  <c r="L98" i="69" s="1"/>
  <c r="M98" i="69" s="1"/>
  <c r="C4" i="69"/>
  <c r="E4" i="69" s="1"/>
  <c r="E3" i="69"/>
  <c r="N83" i="69"/>
  <c r="L24" i="69"/>
  <c r="M24" i="69" s="1"/>
  <c r="N24" i="69" s="1"/>
  <c r="O24" i="69" s="1"/>
  <c r="P24" i="69" s="1"/>
  <c r="Q24" i="69" s="1"/>
  <c r="R24" i="69" s="1"/>
  <c r="S24" i="69" s="1"/>
  <c r="T24" i="69" s="1"/>
  <c r="U24" i="69" s="1"/>
  <c r="V24" i="69" s="1"/>
  <c r="W24" i="69" s="1"/>
  <c r="X24" i="69" s="1"/>
  <c r="Y24" i="69" s="1"/>
  <c r="Z24" i="69" s="1"/>
  <c r="AA24" i="69" s="1"/>
  <c r="D15" i="72"/>
  <c r="F15" i="72"/>
  <c r="P10" i="72"/>
  <c r="C67" i="72" s="1"/>
  <c r="Q10" i="72"/>
  <c r="R10" i="72"/>
  <c r="E15" i="72"/>
  <c r="I23" i="72"/>
  <c r="H13" i="72"/>
  <c r="P27" i="72"/>
  <c r="F68" i="72"/>
  <c r="J7" i="72"/>
  <c r="F67" i="72"/>
  <c r="F70" i="72"/>
  <c r="I8" i="72"/>
  <c r="P23" i="72"/>
  <c r="H5" i="72"/>
  <c r="H9" i="72"/>
  <c r="P25" i="72"/>
  <c r="H11" i="72"/>
  <c r="G14" i="72"/>
  <c r="D66" i="72"/>
  <c r="I6" i="72"/>
  <c r="H12" i="72"/>
  <c r="H4" i="72"/>
  <c r="G20" i="70"/>
  <c r="H20" i="70" s="1"/>
  <c r="G5" i="70"/>
  <c r="U15" i="70"/>
  <c r="F2" i="70" s="1"/>
  <c r="F6" i="70" s="1"/>
  <c r="F8" i="70" s="1"/>
  <c r="G31" i="70"/>
  <c r="W15" i="70"/>
  <c r="G2" i="70" s="1"/>
  <c r="U24" i="72" l="1"/>
  <c r="S24" i="72"/>
  <c r="L39" i="69"/>
  <c r="L41" i="69"/>
  <c r="AL26" i="57"/>
  <c r="AK25" i="57"/>
  <c r="J31" i="74" s="1"/>
  <c r="I10" i="72"/>
  <c r="D67" i="72"/>
  <c r="R24" i="72"/>
  <c r="Q24" i="72"/>
  <c r="M82" i="69"/>
  <c r="N82" i="69" s="1"/>
  <c r="O82" i="69" s="1"/>
  <c r="P82" i="69" s="1"/>
  <c r="T24" i="72"/>
  <c r="G3" i="154"/>
  <c r="P3" i="154" s="1"/>
  <c r="G3" i="153"/>
  <c r="P3" i="153" s="1"/>
  <c r="U3" i="153" s="1"/>
  <c r="K3" i="75"/>
  <c r="H3" i="38"/>
  <c r="N3" i="38" s="1"/>
  <c r="H3" i="28"/>
  <c r="N98" i="69"/>
  <c r="O98" i="69" s="1"/>
  <c r="M31" i="69"/>
  <c r="M28" i="69" s="1"/>
  <c r="N28" i="69" s="1"/>
  <c r="M121" i="69"/>
  <c r="I77" i="69"/>
  <c r="F121" i="69"/>
  <c r="M78" i="69"/>
  <c r="M59" i="69" s="1"/>
  <c r="G121" i="69"/>
  <c r="I54" i="69"/>
  <c r="I57" i="69" s="1"/>
  <c r="J121" i="69"/>
  <c r="L121" i="69"/>
  <c r="H121" i="69"/>
  <c r="I121" i="69"/>
  <c r="I31" i="69"/>
  <c r="I105" i="69" s="1"/>
  <c r="K121" i="69"/>
  <c r="L38" i="69"/>
  <c r="L12" i="69" s="1"/>
  <c r="F47" i="69"/>
  <c r="G47" i="69" s="1"/>
  <c r="H47" i="69" s="1"/>
  <c r="I47" i="69" s="1"/>
  <c r="J47" i="69" s="1"/>
  <c r="K47" i="69" s="1"/>
  <c r="L47" i="69" s="1"/>
  <c r="M47" i="69" s="1"/>
  <c r="F68" i="69"/>
  <c r="F65" i="69" s="1"/>
  <c r="I76" i="69"/>
  <c r="J76" i="69"/>
  <c r="J78" i="69"/>
  <c r="J59" i="69" s="1"/>
  <c r="K78" i="69"/>
  <c r="K59" i="69" s="1"/>
  <c r="K62" i="69" s="1"/>
  <c r="H78" i="69"/>
  <c r="H59" i="69" s="1"/>
  <c r="H62" i="69" s="1"/>
  <c r="K76" i="69"/>
  <c r="K75" i="69"/>
  <c r="H76" i="69"/>
  <c r="I78" i="69"/>
  <c r="I59" i="69" s="1"/>
  <c r="I62" i="69" s="1"/>
  <c r="F77" i="69"/>
  <c r="F54" i="69" s="1"/>
  <c r="J77" i="69"/>
  <c r="J54" i="69" s="1"/>
  <c r="G78" i="69"/>
  <c r="G59" i="69" s="1"/>
  <c r="G62" i="69" s="1"/>
  <c r="H75" i="69"/>
  <c r="L110" i="69"/>
  <c r="L77" i="69"/>
  <c r="L54" i="69" s="1"/>
  <c r="L57" i="69" s="1"/>
  <c r="M39" i="69"/>
  <c r="N39" i="69" s="1"/>
  <c r="O39" i="69" s="1"/>
  <c r="P39" i="69" s="1"/>
  <c r="Q39" i="69" s="1"/>
  <c r="R39" i="69" s="1"/>
  <c r="S39" i="69" s="1"/>
  <c r="T39" i="69" s="1"/>
  <c r="U39" i="69" s="1"/>
  <c r="V39" i="69" s="1"/>
  <c r="W39" i="69" s="1"/>
  <c r="X39" i="69" s="1"/>
  <c r="Y39" i="69" s="1"/>
  <c r="Z39" i="69" s="1"/>
  <c r="AA39" i="69" s="1"/>
  <c r="M40" i="69"/>
  <c r="M17" i="69" s="1"/>
  <c r="M41" i="69"/>
  <c r="M29" i="69"/>
  <c r="F76" i="69"/>
  <c r="G111" i="69"/>
  <c r="G41" i="69"/>
  <c r="G22" i="69" s="1"/>
  <c r="I108" i="69"/>
  <c r="I38" i="69"/>
  <c r="F109" i="69"/>
  <c r="F39" i="69"/>
  <c r="K111" i="69"/>
  <c r="K41" i="69"/>
  <c r="K22" i="69" s="1"/>
  <c r="L111" i="69"/>
  <c r="L78" i="69"/>
  <c r="I75" i="69"/>
  <c r="J111" i="69"/>
  <c r="J41" i="69"/>
  <c r="J22" i="69" s="1"/>
  <c r="F110" i="69"/>
  <c r="F40" i="69"/>
  <c r="F17" i="69" s="1"/>
  <c r="G108" i="69"/>
  <c r="G38" i="69"/>
  <c r="J108" i="69"/>
  <c r="J38" i="69"/>
  <c r="H110" i="69"/>
  <c r="H40" i="69"/>
  <c r="H17" i="69" s="1"/>
  <c r="L108" i="69"/>
  <c r="L75" i="69"/>
  <c r="J75" i="69"/>
  <c r="H66" i="69"/>
  <c r="H82" i="69"/>
  <c r="I110" i="69"/>
  <c r="I40" i="69"/>
  <c r="I17" i="69" s="1"/>
  <c r="L40" i="69"/>
  <c r="F75" i="69"/>
  <c r="I109" i="69"/>
  <c r="G76" i="69"/>
  <c r="H106" i="69"/>
  <c r="H29" i="69"/>
  <c r="K106" i="69"/>
  <c r="K66" i="69"/>
  <c r="K82" i="69"/>
  <c r="G75" i="69"/>
  <c r="F66" i="69"/>
  <c r="F82" i="69"/>
  <c r="H111" i="69"/>
  <c r="H41" i="69"/>
  <c r="H22" i="69" s="1"/>
  <c r="G109" i="69"/>
  <c r="G39" i="69"/>
  <c r="J109" i="69"/>
  <c r="J39" i="69"/>
  <c r="L109" i="69"/>
  <c r="L76" i="69"/>
  <c r="H77" i="69"/>
  <c r="H54" i="69" s="1"/>
  <c r="H57" i="69" s="1"/>
  <c r="K77" i="69"/>
  <c r="K54" i="69" s="1"/>
  <c r="K57" i="69" s="1"/>
  <c r="H109" i="69"/>
  <c r="H39" i="69"/>
  <c r="G66" i="69"/>
  <c r="G82" i="69"/>
  <c r="J106" i="69"/>
  <c r="J66" i="69"/>
  <c r="J82" i="69"/>
  <c r="I41" i="69"/>
  <c r="I22" i="69" s="1"/>
  <c r="I111" i="69"/>
  <c r="M66" i="69"/>
  <c r="M77" i="69"/>
  <c r="M54" i="69" s="1"/>
  <c r="M76" i="69"/>
  <c r="M75" i="69"/>
  <c r="M65" i="69"/>
  <c r="K108" i="69"/>
  <c r="K38" i="69"/>
  <c r="G106" i="69"/>
  <c r="G29" i="69"/>
  <c r="G77" i="69"/>
  <c r="G54" i="69" s="1"/>
  <c r="G57" i="69" s="1"/>
  <c r="L29" i="69"/>
  <c r="L106" i="69"/>
  <c r="H108" i="69"/>
  <c r="H38" i="69"/>
  <c r="F111" i="69"/>
  <c r="F41" i="69"/>
  <c r="F22" i="69" s="1"/>
  <c r="F108" i="69"/>
  <c r="F38" i="69"/>
  <c r="I39" i="69"/>
  <c r="I29" i="69"/>
  <c r="G110" i="69"/>
  <c r="G40" i="69"/>
  <c r="G17" i="69" s="1"/>
  <c r="J110" i="69"/>
  <c r="J40" i="69"/>
  <c r="J17" i="69" s="1"/>
  <c r="K110" i="69"/>
  <c r="K40" i="69"/>
  <c r="K17" i="69" s="1"/>
  <c r="F29" i="69"/>
  <c r="F106" i="69"/>
  <c r="K109" i="69"/>
  <c r="K39" i="69"/>
  <c r="I106" i="69"/>
  <c r="I82" i="69"/>
  <c r="I66" i="69"/>
  <c r="I65" i="69"/>
  <c r="L66" i="69"/>
  <c r="L82" i="69"/>
  <c r="F78" i="69"/>
  <c r="F59" i="69" s="1"/>
  <c r="CC4" i="67"/>
  <c r="I4" i="156" s="1"/>
  <c r="N3" i="36"/>
  <c r="O83" i="69"/>
  <c r="I127" i="69" s="1"/>
  <c r="F14" i="69"/>
  <c r="G14" i="69" s="1"/>
  <c r="H14" i="69" s="1"/>
  <c r="I14" i="69" s="1"/>
  <c r="F51" i="69"/>
  <c r="G51" i="69" s="1"/>
  <c r="H51" i="69" s="1"/>
  <c r="I51" i="69" s="1"/>
  <c r="H68" i="69"/>
  <c r="H65" i="69" s="1"/>
  <c r="J68" i="69"/>
  <c r="J65" i="69" s="1"/>
  <c r="G68" i="69"/>
  <c r="G65" i="69" s="1"/>
  <c r="K68" i="69"/>
  <c r="K65" i="69" s="1"/>
  <c r="L68" i="69"/>
  <c r="L65" i="69" s="1"/>
  <c r="H127" i="69"/>
  <c r="P24" i="72"/>
  <c r="U13" i="72"/>
  <c r="U27" i="72" s="1"/>
  <c r="I13" i="72"/>
  <c r="U9" i="72"/>
  <c r="U23" i="72" s="1"/>
  <c r="I9" i="72"/>
  <c r="I4" i="72"/>
  <c r="H14" i="72"/>
  <c r="I11" i="72"/>
  <c r="U11" i="72"/>
  <c r="U25" i="72" s="1"/>
  <c r="G67" i="72"/>
  <c r="J10" i="72"/>
  <c r="I5" i="72"/>
  <c r="I12" i="72"/>
  <c r="J6" i="72"/>
  <c r="J8" i="72"/>
  <c r="G6" i="70"/>
  <c r="G8" i="70" s="1"/>
  <c r="D36" i="70" s="1"/>
  <c r="E36" i="70" s="1"/>
  <c r="F36" i="70" s="1"/>
  <c r="G36" i="70" s="1"/>
  <c r="H36" i="70" s="1"/>
  <c r="H31" i="70"/>
  <c r="F10" i="69"/>
  <c r="G10" i="69" s="1"/>
  <c r="H10" i="69" s="1"/>
  <c r="I10" i="69" s="1"/>
  <c r="J10" i="69" s="1"/>
  <c r="F31" i="69"/>
  <c r="G31" i="69"/>
  <c r="H31" i="69"/>
  <c r="J31" i="69"/>
  <c r="K31" i="69"/>
  <c r="L31" i="69"/>
  <c r="L22" i="69"/>
  <c r="H25" i="70"/>
  <c r="F25" i="70"/>
  <c r="E25" i="70"/>
  <c r="D25" i="70"/>
  <c r="G25" i="70"/>
  <c r="V3" i="153" l="1"/>
  <c r="W3" i="153" s="1"/>
  <c r="AL27" i="57"/>
  <c r="AK26" i="57"/>
  <c r="K31" i="74" s="1"/>
  <c r="H49" i="69"/>
  <c r="G4" i="154"/>
  <c r="P4" i="154" s="1"/>
  <c r="G4" i="153"/>
  <c r="P4" i="153" s="1"/>
  <c r="U4" i="153" s="1"/>
  <c r="V4" i="153" s="1"/>
  <c r="W4" i="153" s="1"/>
  <c r="K4" i="75"/>
  <c r="H4" i="38"/>
  <c r="N4" i="38" s="1"/>
  <c r="H4" i="28"/>
  <c r="N4" i="28" s="1"/>
  <c r="G129" i="69"/>
  <c r="H52" i="69"/>
  <c r="N78" i="69"/>
  <c r="O78" i="69" s="1"/>
  <c r="P78" i="69" s="1"/>
  <c r="Q78" i="69" s="1"/>
  <c r="R78" i="69" s="1"/>
  <c r="S78" i="69" s="1"/>
  <c r="T78" i="69" s="1"/>
  <c r="U78" i="69" s="1"/>
  <c r="V78" i="69" s="1"/>
  <c r="W78" i="69" s="1"/>
  <c r="X78" i="69" s="1"/>
  <c r="Y78" i="69" s="1"/>
  <c r="Z78" i="69" s="1"/>
  <c r="AA78" i="69" s="1"/>
  <c r="H12" i="69"/>
  <c r="M123" i="69"/>
  <c r="F12" i="69"/>
  <c r="F15" i="69" s="1"/>
  <c r="C47" i="17"/>
  <c r="D47" i="17"/>
  <c r="Y47" i="17"/>
  <c r="Z47" i="17"/>
  <c r="N76" i="69"/>
  <c r="O76" i="69" s="1"/>
  <c r="P76" i="69" s="1"/>
  <c r="Q76" i="69" s="1"/>
  <c r="R76" i="69" s="1"/>
  <c r="S76" i="69" s="1"/>
  <c r="T76" i="69" s="1"/>
  <c r="U76" i="69" s="1"/>
  <c r="V76" i="69" s="1"/>
  <c r="W76" i="69" s="1"/>
  <c r="X76" i="69" s="1"/>
  <c r="Y76" i="69" s="1"/>
  <c r="Z76" i="69" s="1"/>
  <c r="AA76" i="69" s="1"/>
  <c r="M49" i="69"/>
  <c r="N41" i="69"/>
  <c r="O41" i="69" s="1"/>
  <c r="P41" i="69" s="1"/>
  <c r="Q41" i="69" s="1"/>
  <c r="R41" i="69" s="1"/>
  <c r="S41" i="69" s="1"/>
  <c r="T41" i="69" s="1"/>
  <c r="U41" i="69" s="1"/>
  <c r="V41" i="69" s="1"/>
  <c r="W41" i="69" s="1"/>
  <c r="X41" i="69" s="1"/>
  <c r="Y41" i="69" s="1"/>
  <c r="Z41" i="69" s="1"/>
  <c r="AA41" i="69" s="1"/>
  <c r="M22" i="69"/>
  <c r="M124" i="69" s="1"/>
  <c r="K49" i="69"/>
  <c r="I49" i="69"/>
  <c r="I52" i="69" s="1"/>
  <c r="M38" i="69"/>
  <c r="F105" i="69"/>
  <c r="J12" i="69"/>
  <c r="K12" i="69"/>
  <c r="G114" i="69"/>
  <c r="F124" i="69"/>
  <c r="I28" i="69"/>
  <c r="I107" i="69" s="1"/>
  <c r="J49" i="69"/>
  <c r="J105" i="69"/>
  <c r="L59" i="69"/>
  <c r="L62" i="69" s="1"/>
  <c r="J123" i="69"/>
  <c r="F49" i="69"/>
  <c r="F50" i="69" s="1"/>
  <c r="I115" i="69"/>
  <c r="F115" i="69"/>
  <c r="G12" i="69"/>
  <c r="K115" i="69"/>
  <c r="L112" i="69"/>
  <c r="G49" i="69"/>
  <c r="G52" i="69" s="1"/>
  <c r="J114" i="69"/>
  <c r="H113" i="69"/>
  <c r="N75" i="69"/>
  <c r="O75" i="69" s="1"/>
  <c r="P75" i="69" s="1"/>
  <c r="Q75" i="69" s="1"/>
  <c r="R75" i="69" s="1"/>
  <c r="S75" i="69" s="1"/>
  <c r="T75" i="69" s="1"/>
  <c r="U75" i="69" s="1"/>
  <c r="V75" i="69" s="1"/>
  <c r="W75" i="69" s="1"/>
  <c r="X75" i="69" s="1"/>
  <c r="Y75" i="69" s="1"/>
  <c r="Z75" i="69" s="1"/>
  <c r="AA75" i="69" s="1"/>
  <c r="F113" i="69"/>
  <c r="I12" i="69"/>
  <c r="F128" i="69"/>
  <c r="K112" i="69"/>
  <c r="I112" i="69"/>
  <c r="H114" i="69"/>
  <c r="L49" i="69"/>
  <c r="F131" i="69" s="1"/>
  <c r="N65" i="69"/>
  <c r="O65" i="69" s="1"/>
  <c r="J112" i="69"/>
  <c r="G115" i="69"/>
  <c r="H122" i="69"/>
  <c r="L113" i="69"/>
  <c r="G112" i="69"/>
  <c r="I113" i="69"/>
  <c r="F112" i="69"/>
  <c r="J113" i="69"/>
  <c r="F114" i="69"/>
  <c r="N40" i="69"/>
  <c r="O40" i="69" s="1"/>
  <c r="P40" i="69" s="1"/>
  <c r="Q40" i="69" s="1"/>
  <c r="R40" i="69" s="1"/>
  <c r="S40" i="69" s="1"/>
  <c r="T40" i="69" s="1"/>
  <c r="U40" i="69" s="1"/>
  <c r="V40" i="69" s="1"/>
  <c r="W40" i="69" s="1"/>
  <c r="X40" i="69" s="1"/>
  <c r="Y40" i="69" s="1"/>
  <c r="Z40" i="69" s="1"/>
  <c r="AA40" i="69" s="1"/>
  <c r="K113" i="69"/>
  <c r="G113" i="69"/>
  <c r="I123" i="69"/>
  <c r="I20" i="69"/>
  <c r="J115" i="69"/>
  <c r="L17" i="69"/>
  <c r="F132" i="69" s="1"/>
  <c r="F141" i="69" s="1"/>
  <c r="H112" i="69"/>
  <c r="I25" i="69"/>
  <c r="I124" i="69"/>
  <c r="I114" i="69"/>
  <c r="H115" i="69"/>
  <c r="L115" i="69"/>
  <c r="N77" i="69"/>
  <c r="O77" i="69" s="1"/>
  <c r="P77" i="69" s="1"/>
  <c r="Q77" i="69" s="1"/>
  <c r="R77" i="69" s="1"/>
  <c r="S77" i="69" s="1"/>
  <c r="T77" i="69" s="1"/>
  <c r="U77" i="69" s="1"/>
  <c r="V77" i="69" s="1"/>
  <c r="W77" i="69" s="1"/>
  <c r="X77" i="69" s="1"/>
  <c r="Y77" i="69" s="1"/>
  <c r="Z77" i="69" s="1"/>
  <c r="AA77" i="69" s="1"/>
  <c r="K114" i="69"/>
  <c r="L114" i="69"/>
  <c r="H123" i="69"/>
  <c r="H124" i="69"/>
  <c r="H105" i="69"/>
  <c r="G105" i="69"/>
  <c r="G123" i="69"/>
  <c r="G124" i="69"/>
  <c r="K123" i="69"/>
  <c r="L28" i="69"/>
  <c r="F129" i="69"/>
  <c r="L105" i="69"/>
  <c r="K124" i="69"/>
  <c r="F123" i="69"/>
  <c r="K105" i="69"/>
  <c r="J124" i="69"/>
  <c r="CC5" i="67"/>
  <c r="I5" i="156" s="1"/>
  <c r="N4" i="36"/>
  <c r="N4" i="32"/>
  <c r="P83" i="69"/>
  <c r="J127" i="69" s="1"/>
  <c r="J51" i="69"/>
  <c r="K51" i="69" s="1"/>
  <c r="J14" i="69"/>
  <c r="K14" i="69" s="1"/>
  <c r="K10" i="69"/>
  <c r="L10" i="69" s="1"/>
  <c r="M10" i="69" s="1"/>
  <c r="J57" i="69"/>
  <c r="J62" i="69"/>
  <c r="M57" i="69"/>
  <c r="M62" i="69"/>
  <c r="F55" i="69"/>
  <c r="F57" i="69"/>
  <c r="F60" i="69"/>
  <c r="F62" i="69"/>
  <c r="B48" i="17"/>
  <c r="X48" i="17"/>
  <c r="J13" i="72"/>
  <c r="G70" i="72"/>
  <c r="J12" i="72"/>
  <c r="J9" i="72"/>
  <c r="J11" i="72"/>
  <c r="G66" i="72"/>
  <c r="G68" i="72"/>
  <c r="J5" i="72"/>
  <c r="I14" i="72"/>
  <c r="J4" i="72"/>
  <c r="K20" i="69"/>
  <c r="J28" i="69"/>
  <c r="J107" i="69" s="1"/>
  <c r="K28" i="69"/>
  <c r="K107" i="69" s="1"/>
  <c r="I42" i="70"/>
  <c r="H20" i="69"/>
  <c r="H28" i="69"/>
  <c r="H107" i="69" s="1"/>
  <c r="H25" i="69"/>
  <c r="H15" i="69"/>
  <c r="F28" i="69"/>
  <c r="F107" i="69" s="1"/>
  <c r="G20" i="69"/>
  <c r="F20" i="69"/>
  <c r="F18" i="69"/>
  <c r="L25" i="69"/>
  <c r="G28" i="69"/>
  <c r="G107" i="69" s="1"/>
  <c r="F25" i="69"/>
  <c r="F23" i="69"/>
  <c r="G25" i="69"/>
  <c r="J25" i="69"/>
  <c r="K25" i="69"/>
  <c r="J20" i="69"/>
  <c r="F13" i="69" l="1"/>
  <c r="F16" i="69" s="1"/>
  <c r="AL28" i="57"/>
  <c r="AL29" i="57" s="1"/>
  <c r="AK27" i="57"/>
  <c r="L31" i="74" s="1"/>
  <c r="G5" i="153"/>
  <c r="P5" i="153" s="1"/>
  <c r="U5" i="153" s="1"/>
  <c r="V5" i="153" s="1"/>
  <c r="W5" i="153" s="1"/>
  <c r="G5" i="154"/>
  <c r="P5" i="154" s="1"/>
  <c r="K5" i="75"/>
  <c r="H5" i="38"/>
  <c r="N5" i="38" s="1"/>
  <c r="H5" i="28"/>
  <c r="J14" i="72"/>
  <c r="F133" i="69"/>
  <c r="F145" i="69" s="1"/>
  <c r="K122" i="69"/>
  <c r="J15" i="69"/>
  <c r="J122" i="69"/>
  <c r="J52" i="69"/>
  <c r="I122" i="69"/>
  <c r="Y48" i="17"/>
  <c r="Z48" i="17"/>
  <c r="N47" i="17"/>
  <c r="O47" i="17"/>
  <c r="C48" i="17"/>
  <c r="D48" i="17"/>
  <c r="Q83" i="69"/>
  <c r="R83" i="69" s="1"/>
  <c r="L124" i="69"/>
  <c r="N38" i="69"/>
  <c r="O38" i="69" s="1"/>
  <c r="P38" i="69" s="1"/>
  <c r="Q38" i="69" s="1"/>
  <c r="R38" i="69" s="1"/>
  <c r="S38" i="69" s="1"/>
  <c r="T38" i="69" s="1"/>
  <c r="U38" i="69" s="1"/>
  <c r="V38" i="69" s="1"/>
  <c r="W38" i="69" s="1"/>
  <c r="X38" i="69" s="1"/>
  <c r="Y38" i="69" s="1"/>
  <c r="Z38" i="69" s="1"/>
  <c r="AA38" i="69" s="1"/>
  <c r="M12" i="69"/>
  <c r="M122" i="69" s="1"/>
  <c r="O28" i="69"/>
  <c r="G122" i="69"/>
  <c r="F122" i="69"/>
  <c r="G15" i="69"/>
  <c r="F52" i="69"/>
  <c r="L122" i="69"/>
  <c r="L20" i="69"/>
  <c r="L123" i="69"/>
  <c r="I15" i="69"/>
  <c r="F137" i="69"/>
  <c r="CC6" i="67"/>
  <c r="I6" i="156" s="1"/>
  <c r="N5" i="36"/>
  <c r="N5" i="32"/>
  <c r="L14" i="69"/>
  <c r="K15" i="69"/>
  <c r="L51" i="69"/>
  <c r="K52" i="69"/>
  <c r="P65" i="69"/>
  <c r="F53" i="69"/>
  <c r="G50" i="69"/>
  <c r="G60" i="69"/>
  <c r="F63" i="69"/>
  <c r="G55" i="69"/>
  <c r="F58" i="69"/>
  <c r="X49" i="17"/>
  <c r="M48" i="17"/>
  <c r="B49" i="17"/>
  <c r="J70" i="72"/>
  <c r="Q84" i="72" s="1"/>
  <c r="J67" i="72"/>
  <c r="Q81" i="72" s="1"/>
  <c r="F21" i="69"/>
  <c r="G18" i="69"/>
  <c r="G13" i="69"/>
  <c r="G16" i="69" s="1"/>
  <c r="L107" i="69"/>
  <c r="F26" i="69"/>
  <c r="G23" i="69"/>
  <c r="G6" i="154" l="1"/>
  <c r="P6" i="154" s="1"/>
  <c r="G6" i="153"/>
  <c r="P6" i="153" s="1"/>
  <c r="U6" i="153" s="1"/>
  <c r="H6" i="28"/>
  <c r="K6" i="75"/>
  <c r="H6" i="38"/>
  <c r="N6" i="38" s="1"/>
  <c r="F130" i="69"/>
  <c r="F93" i="69"/>
  <c r="F100" i="69" s="1"/>
  <c r="F94" i="69"/>
  <c r="F101" i="69" s="1"/>
  <c r="F90" i="69"/>
  <c r="F92" i="69"/>
  <c r="F99" i="69" s="1"/>
  <c r="F91" i="69"/>
  <c r="S81" i="72"/>
  <c r="R81" i="72"/>
  <c r="S84" i="72"/>
  <c r="R84" i="72"/>
  <c r="K127" i="69"/>
  <c r="N48" i="17"/>
  <c r="O48" i="17"/>
  <c r="C49" i="17"/>
  <c r="D49" i="17"/>
  <c r="Y49" i="17"/>
  <c r="Z49" i="17"/>
  <c r="CC7" i="67"/>
  <c r="I7" i="156" s="1"/>
  <c r="N6" i="36"/>
  <c r="N6" i="32"/>
  <c r="L127" i="69"/>
  <c r="S83" i="69"/>
  <c r="T83" i="69" s="1"/>
  <c r="M51" i="69"/>
  <c r="L52" i="69"/>
  <c r="M14" i="69"/>
  <c r="N14" i="69" s="1"/>
  <c r="O14" i="69" s="1"/>
  <c r="P14" i="69" s="1"/>
  <c r="Q14" i="69" s="1"/>
  <c r="R14" i="69" s="1"/>
  <c r="S14" i="69" s="1"/>
  <c r="T14" i="69" s="1"/>
  <c r="U14" i="69" s="1"/>
  <c r="V14" i="69" s="1"/>
  <c r="W14" i="69" s="1"/>
  <c r="X14" i="69" s="1"/>
  <c r="Y14" i="69" s="1"/>
  <c r="Z14" i="69" s="1"/>
  <c r="AA14" i="69" s="1"/>
  <c r="L15" i="69"/>
  <c r="Q65" i="69"/>
  <c r="H55" i="69"/>
  <c r="I55" i="69" s="1"/>
  <c r="G58" i="69"/>
  <c r="H60" i="69"/>
  <c r="I60" i="69" s="1"/>
  <c r="G63" i="69"/>
  <c r="H50" i="69"/>
  <c r="I50" i="69" s="1"/>
  <c r="G53" i="69"/>
  <c r="B50" i="17"/>
  <c r="M49" i="17"/>
  <c r="X50" i="17"/>
  <c r="P84" i="72"/>
  <c r="O84" i="72"/>
  <c r="J66" i="72"/>
  <c r="Q80" i="72" s="1"/>
  <c r="P81" i="72"/>
  <c r="O81" i="72"/>
  <c r="J68" i="72"/>
  <c r="Q82" i="72" s="1"/>
  <c r="G21" i="69"/>
  <c r="H18" i="69"/>
  <c r="I18" i="69" s="1"/>
  <c r="H13" i="69"/>
  <c r="I13" i="69" s="1"/>
  <c r="I16" i="69" s="1"/>
  <c r="I46" i="70"/>
  <c r="G26" i="69"/>
  <c r="H23" i="69"/>
  <c r="I23" i="69" s="1"/>
  <c r="V6" i="153" l="1"/>
  <c r="W6" i="153" s="1"/>
  <c r="G93" i="69"/>
  <c r="G100" i="69" s="1"/>
  <c r="G7" i="153"/>
  <c r="P7" i="153" s="1"/>
  <c r="U7" i="153" s="1"/>
  <c r="V7" i="153" s="1"/>
  <c r="W7" i="153" s="1"/>
  <c r="G7" i="154"/>
  <c r="P7" i="154" s="1"/>
  <c r="H7" i="38"/>
  <c r="N7" i="38" s="1"/>
  <c r="H7" i="28"/>
  <c r="K7" i="75"/>
  <c r="F102" i="69"/>
  <c r="F95" i="69"/>
  <c r="G94" i="69"/>
  <c r="G101" i="69" s="1"/>
  <c r="G90" i="69"/>
  <c r="G91" i="69"/>
  <c r="G92" i="69"/>
  <c r="G99" i="69" s="1"/>
  <c r="R82" i="72"/>
  <c r="S82" i="72"/>
  <c r="R80" i="72"/>
  <c r="S80" i="72"/>
  <c r="N49" i="17"/>
  <c r="O49" i="17"/>
  <c r="C50" i="17"/>
  <c r="D50" i="17"/>
  <c r="Y50" i="17"/>
  <c r="Z50" i="17"/>
  <c r="CC8" i="67"/>
  <c r="I8" i="156" s="1"/>
  <c r="N7" i="36"/>
  <c r="N7" i="32"/>
  <c r="N51" i="69"/>
  <c r="M52" i="69"/>
  <c r="J13" i="69"/>
  <c r="I58" i="69"/>
  <c r="J55" i="69"/>
  <c r="I21" i="69"/>
  <c r="J18" i="69"/>
  <c r="I53" i="69"/>
  <c r="J50" i="69"/>
  <c r="I26" i="69"/>
  <c r="J23" i="69"/>
  <c r="I63" i="69"/>
  <c r="J60" i="69"/>
  <c r="R65" i="69"/>
  <c r="H53" i="69"/>
  <c r="H63" i="69"/>
  <c r="H58" i="69"/>
  <c r="B51" i="17"/>
  <c r="M50" i="17"/>
  <c r="X51" i="17"/>
  <c r="U81" i="72"/>
  <c r="U84" i="72"/>
  <c r="P80" i="72"/>
  <c r="O80" i="72"/>
  <c r="P82" i="72"/>
  <c r="O82" i="72"/>
  <c r="U83" i="69"/>
  <c r="H21" i="69"/>
  <c r="H26" i="69"/>
  <c r="H16" i="69"/>
  <c r="G8" i="154" l="1"/>
  <c r="P8" i="154" s="1"/>
  <c r="G8" i="153"/>
  <c r="P8" i="153" s="1"/>
  <c r="U8" i="153" s="1"/>
  <c r="H8" i="38"/>
  <c r="N8" i="38" s="1"/>
  <c r="K8" i="75"/>
  <c r="H8" i="28"/>
  <c r="I94" i="69"/>
  <c r="I101" i="69" s="1"/>
  <c r="G95" i="69"/>
  <c r="G102" i="69"/>
  <c r="I93" i="69"/>
  <c r="I100" i="69" s="1"/>
  <c r="H93" i="69"/>
  <c r="H100" i="69" s="1"/>
  <c r="H94" i="69"/>
  <c r="H101" i="69" s="1"/>
  <c r="H92" i="69"/>
  <c r="H90" i="69"/>
  <c r="H91" i="69"/>
  <c r="I90" i="69"/>
  <c r="I91" i="69"/>
  <c r="I92" i="69"/>
  <c r="N50" i="17"/>
  <c r="O50" i="17"/>
  <c r="Y51" i="17"/>
  <c r="Z51" i="17"/>
  <c r="C51" i="17"/>
  <c r="D51" i="17"/>
  <c r="CC9" i="67"/>
  <c r="I9" i="156" s="1"/>
  <c r="N8" i="36"/>
  <c r="N8" i="32"/>
  <c r="O51" i="69"/>
  <c r="S65" i="69"/>
  <c r="M51" i="17"/>
  <c r="B52" i="17"/>
  <c r="X52" i="17"/>
  <c r="U80" i="72"/>
  <c r="U82" i="72"/>
  <c r="V83" i="69"/>
  <c r="V8" i="153" l="1"/>
  <c r="W8" i="153" s="1"/>
  <c r="G9" i="153"/>
  <c r="P9" i="153" s="1"/>
  <c r="U9" i="153" s="1"/>
  <c r="V9" i="153" s="1"/>
  <c r="W9" i="153" s="1"/>
  <c r="G9" i="154"/>
  <c r="P9" i="154" s="1"/>
  <c r="K9" i="75"/>
  <c r="H9" i="38"/>
  <c r="N9" i="38" s="1"/>
  <c r="H9" i="28"/>
  <c r="H99" i="69"/>
  <c r="H102" i="69" s="1"/>
  <c r="I99" i="69"/>
  <c r="I102" i="69" s="1"/>
  <c r="I95" i="69"/>
  <c r="H95" i="69"/>
  <c r="C52" i="17"/>
  <c r="D52" i="17"/>
  <c r="Y52" i="17"/>
  <c r="Z52" i="17"/>
  <c r="N51" i="17"/>
  <c r="O51" i="17"/>
  <c r="CC10" i="67"/>
  <c r="I10" i="156" s="1"/>
  <c r="N9" i="36"/>
  <c r="N9" i="32"/>
  <c r="P51" i="69"/>
  <c r="T65" i="69"/>
  <c r="K60" i="69"/>
  <c r="J63" i="69"/>
  <c r="J53" i="69"/>
  <c r="K50" i="69"/>
  <c r="J58" i="69"/>
  <c r="K55" i="69"/>
  <c r="X53" i="17"/>
  <c r="Y53" i="17" s="1"/>
  <c r="B53" i="17"/>
  <c r="C53" i="17" s="1"/>
  <c r="M52" i="17"/>
  <c r="W83" i="69"/>
  <c r="J26" i="69"/>
  <c r="K23" i="69"/>
  <c r="J16" i="69"/>
  <c r="K13" i="69"/>
  <c r="L13" i="69" s="1"/>
  <c r="J21" i="69"/>
  <c r="K18" i="69"/>
  <c r="G10" i="154" l="1"/>
  <c r="P10" i="154" s="1"/>
  <c r="G10" i="153"/>
  <c r="P10" i="153" s="1"/>
  <c r="U10" i="153" s="1"/>
  <c r="V10" i="153" s="1"/>
  <c r="W10" i="153" s="1"/>
  <c r="K10" i="75"/>
  <c r="H10" i="38"/>
  <c r="N10" i="38" s="1"/>
  <c r="H10" i="28"/>
  <c r="J94" i="69"/>
  <c r="J101" i="69" s="1"/>
  <c r="J93" i="69"/>
  <c r="J100" i="69" s="1"/>
  <c r="J91" i="69"/>
  <c r="J90" i="69"/>
  <c r="J92" i="69"/>
  <c r="N52" i="17"/>
  <c r="O52" i="17"/>
  <c r="CC11" i="67"/>
  <c r="I11" i="156" s="1"/>
  <c r="N10" i="36"/>
  <c r="N10" i="32"/>
  <c r="X83" i="69"/>
  <c r="Q51" i="69"/>
  <c r="U65" i="69"/>
  <c r="K58" i="69"/>
  <c r="L55" i="69"/>
  <c r="K53" i="69"/>
  <c r="L50" i="69"/>
  <c r="F138" i="69" s="1"/>
  <c r="L60" i="69"/>
  <c r="K63" i="69"/>
  <c r="M53" i="17"/>
  <c r="N53" i="17" s="1"/>
  <c r="B54" i="17"/>
  <c r="C54" i="17" s="1"/>
  <c r="X54" i="17"/>
  <c r="Y54" i="17" s="1"/>
  <c r="K16" i="69"/>
  <c r="L23" i="69"/>
  <c r="K26" i="69"/>
  <c r="K21" i="69"/>
  <c r="L18" i="69"/>
  <c r="G11" i="154" l="1"/>
  <c r="P11" i="154" s="1"/>
  <c r="G11" i="153"/>
  <c r="P11" i="153" s="1"/>
  <c r="U11" i="153" s="1"/>
  <c r="V11" i="153" s="1"/>
  <c r="W11" i="153" s="1"/>
  <c r="K11" i="75"/>
  <c r="H11" i="38"/>
  <c r="N11" i="38" s="1"/>
  <c r="H11" i="28"/>
  <c r="J99" i="69"/>
  <c r="J102" i="69" s="1"/>
  <c r="J95" i="69"/>
  <c r="K93" i="69"/>
  <c r="K100" i="69" s="1"/>
  <c r="K94" i="69"/>
  <c r="K101" i="69" s="1"/>
  <c r="K91" i="69"/>
  <c r="K92" i="69"/>
  <c r="K90" i="69"/>
  <c r="F142" i="69"/>
  <c r="F146" i="69"/>
  <c r="CC12" i="67"/>
  <c r="I12" i="156" s="1"/>
  <c r="N11" i="36"/>
  <c r="N11" i="32"/>
  <c r="Y83" i="69"/>
  <c r="R51" i="69"/>
  <c r="V65" i="69"/>
  <c r="L63" i="69"/>
  <c r="M60" i="69"/>
  <c r="L53" i="69"/>
  <c r="M50" i="69"/>
  <c r="L58" i="69"/>
  <c r="M55" i="69"/>
  <c r="X55" i="17"/>
  <c r="B55" i="17"/>
  <c r="M54" i="17"/>
  <c r="N54" i="17" s="1"/>
  <c r="L16" i="69"/>
  <c r="L21" i="69"/>
  <c r="L26" i="69"/>
  <c r="G12" i="154" l="1"/>
  <c r="P12" i="154" s="1"/>
  <c r="G12" i="153"/>
  <c r="P12" i="153" s="1"/>
  <c r="U12" i="153" s="1"/>
  <c r="V12" i="153" s="1"/>
  <c r="W12" i="153" s="1"/>
  <c r="K12" i="75"/>
  <c r="H12" i="38"/>
  <c r="N12" i="38" s="1"/>
  <c r="H12" i="28"/>
  <c r="F143" i="69"/>
  <c r="K95" i="69"/>
  <c r="C55" i="17"/>
  <c r="B56" i="17"/>
  <c r="C56" i="17" s="1"/>
  <c r="Y55" i="17"/>
  <c r="X56" i="17"/>
  <c r="Y56" i="17" s="1"/>
  <c r="K99" i="69"/>
  <c r="K102" i="69" s="1"/>
  <c r="L93" i="69"/>
  <c r="L100" i="69" s="1"/>
  <c r="L94" i="69"/>
  <c r="L101" i="69" s="1"/>
  <c r="F147" i="69"/>
  <c r="F139" i="69"/>
  <c r="L91" i="69"/>
  <c r="L92" i="69"/>
  <c r="L90" i="69"/>
  <c r="CC13" i="67"/>
  <c r="I13" i="156" s="1"/>
  <c r="N12" i="36"/>
  <c r="N12" i="32"/>
  <c r="Z83" i="69"/>
  <c r="S51" i="69"/>
  <c r="W65" i="69"/>
  <c r="X65" i="69" s="1"/>
  <c r="M63" i="69"/>
  <c r="M58" i="69"/>
  <c r="M53" i="69"/>
  <c r="M55" i="17"/>
  <c r="G13" i="153" l="1"/>
  <c r="P13" i="153" s="1"/>
  <c r="U13" i="153" s="1"/>
  <c r="V13" i="153" s="1"/>
  <c r="W13" i="153" s="1"/>
  <c r="G13" i="154"/>
  <c r="P13" i="154" s="1"/>
  <c r="K13" i="75"/>
  <c r="H13" i="38"/>
  <c r="N13" i="38" s="1"/>
  <c r="H13" i="28"/>
  <c r="N55" i="17"/>
  <c r="M56" i="17"/>
  <c r="N56" i="17" s="1"/>
  <c r="L95" i="69"/>
  <c r="L99" i="69"/>
  <c r="L102" i="69" s="1"/>
  <c r="CC14" i="67"/>
  <c r="I14" i="156" s="1"/>
  <c r="N13" i="36"/>
  <c r="N13" i="32"/>
  <c r="Y65" i="69"/>
  <c r="AA83" i="69"/>
  <c r="T51" i="69"/>
  <c r="X57" i="17"/>
  <c r="B57" i="17"/>
  <c r="G14" i="154" l="1"/>
  <c r="P14" i="154" s="1"/>
  <c r="G14" i="153"/>
  <c r="P14" i="153" s="1"/>
  <c r="U14" i="153" s="1"/>
  <c r="H14" i="28"/>
  <c r="K14" i="75"/>
  <c r="H14" i="38"/>
  <c r="N14" i="38" s="1"/>
  <c r="CC15" i="67"/>
  <c r="I15" i="156" s="1"/>
  <c r="N14" i="36"/>
  <c r="N14" i="32"/>
  <c r="Z65" i="69"/>
  <c r="U51" i="69"/>
  <c r="B58" i="17"/>
  <c r="M57" i="17"/>
  <c r="X58" i="17"/>
  <c r="V14" i="153" l="1"/>
  <c r="W14" i="153" s="1"/>
  <c r="G15" i="153"/>
  <c r="P15" i="153" s="1"/>
  <c r="U15" i="153" s="1"/>
  <c r="V15" i="153" s="1"/>
  <c r="W15" i="153" s="1"/>
  <c r="H15" i="38"/>
  <c r="N15" i="38" s="1"/>
  <c r="H15" i="28"/>
  <c r="G15" i="154"/>
  <c r="P15" i="154" s="1"/>
  <c r="K15" i="75"/>
  <c r="CC16" i="67"/>
  <c r="I16" i="156" s="1"/>
  <c r="N15" i="36"/>
  <c r="N15" i="32"/>
  <c r="AA65" i="69"/>
  <c r="V51" i="69"/>
  <c r="M58" i="17"/>
  <c r="G16" i="154" l="1"/>
  <c r="P16" i="154" s="1"/>
  <c r="G16" i="153"/>
  <c r="P16" i="153" s="1"/>
  <c r="U16" i="153" s="1"/>
  <c r="H16" i="38"/>
  <c r="N16" i="38" s="1"/>
  <c r="H16" i="28"/>
  <c r="K16" i="75"/>
  <c r="CC17" i="67"/>
  <c r="I17" i="156" s="1"/>
  <c r="N16" i="36"/>
  <c r="N16" i="32"/>
  <c r="W51" i="69"/>
  <c r="X51" i="69" s="1"/>
  <c r="Y51" i="69" s="1"/>
  <c r="Z51" i="69" s="1"/>
  <c r="AA51" i="69" s="1"/>
  <c r="V16" i="153" l="1"/>
  <c r="W16" i="153" s="1"/>
  <c r="G17" i="153"/>
  <c r="P17" i="153" s="1"/>
  <c r="U17" i="153" s="1"/>
  <c r="V17" i="153" s="1"/>
  <c r="W17" i="153" s="1"/>
  <c r="G17" i="154"/>
  <c r="P17" i="154" s="1"/>
  <c r="K17" i="75"/>
  <c r="H17" i="28"/>
  <c r="H17" i="38"/>
  <c r="N17" i="38" s="1"/>
  <c r="CC18" i="67"/>
  <c r="I18" i="156" s="1"/>
  <c r="N17" i="36"/>
  <c r="N17" i="32"/>
  <c r="G18" i="154" l="1"/>
  <c r="P18" i="154" s="1"/>
  <c r="G18" i="153"/>
  <c r="P18" i="153" s="1"/>
  <c r="U18" i="153" s="1"/>
  <c r="K18" i="75"/>
  <c r="H18" i="28"/>
  <c r="H18" i="38"/>
  <c r="N18" i="38" s="1"/>
  <c r="CC19" i="67"/>
  <c r="I19" i="156" s="1"/>
  <c r="N18" i="36"/>
  <c r="N18" i="32"/>
  <c r="V18" i="153" l="1"/>
  <c r="W18" i="153" s="1"/>
  <c r="G19" i="154"/>
  <c r="P19" i="154" s="1"/>
  <c r="G19" i="153"/>
  <c r="P19" i="153" s="1"/>
  <c r="U19" i="153" s="1"/>
  <c r="V19" i="153" s="1"/>
  <c r="W19" i="153" s="1"/>
  <c r="K19" i="75"/>
  <c r="H19" i="38"/>
  <c r="N19" i="38" s="1"/>
  <c r="H19" i="28"/>
  <c r="CC20" i="67"/>
  <c r="I20" i="156" s="1"/>
  <c r="N19" i="36"/>
  <c r="N19" i="32"/>
  <c r="G20" i="154" l="1"/>
  <c r="P20" i="154" s="1"/>
  <c r="G20" i="153"/>
  <c r="P20" i="153" s="1"/>
  <c r="U20" i="153" s="1"/>
  <c r="K20" i="75"/>
  <c r="H20" i="38"/>
  <c r="N20" i="38" s="1"/>
  <c r="H20" i="28"/>
  <c r="CC21" i="67"/>
  <c r="I21" i="156" s="1"/>
  <c r="N20" i="36"/>
  <c r="N20" i="32"/>
  <c r="V20" i="153" l="1"/>
  <c r="W20" i="153" s="1"/>
  <c r="G21" i="153"/>
  <c r="P21" i="153" s="1"/>
  <c r="U21" i="153" s="1"/>
  <c r="V21" i="153" s="1"/>
  <c r="W21" i="153" s="1"/>
  <c r="G21" i="154"/>
  <c r="P21" i="154" s="1"/>
  <c r="K21" i="75"/>
  <c r="H21" i="38"/>
  <c r="N21" i="38" s="1"/>
  <c r="H21" i="28"/>
  <c r="CC22" i="67"/>
  <c r="I22" i="156" s="1"/>
  <c r="N21" i="36"/>
  <c r="N21" i="32"/>
  <c r="G22" i="154" l="1"/>
  <c r="P22" i="154" s="1"/>
  <c r="G22" i="153"/>
  <c r="P22" i="153" s="1"/>
  <c r="U22" i="153" s="1"/>
  <c r="H22" i="28"/>
  <c r="K22" i="75"/>
  <c r="H22" i="38"/>
  <c r="N22" i="38" s="1"/>
  <c r="CC23" i="67"/>
  <c r="I23" i="156" s="1"/>
  <c r="N22" i="36"/>
  <c r="N22" i="32"/>
  <c r="V22" i="153" l="1"/>
  <c r="W22" i="153" s="1"/>
  <c r="G23" i="153"/>
  <c r="P23" i="153" s="1"/>
  <c r="U23" i="153" s="1"/>
  <c r="V23" i="153" s="1"/>
  <c r="W23" i="153" s="1"/>
  <c r="G23" i="154"/>
  <c r="P23" i="154" s="1"/>
  <c r="H23" i="38"/>
  <c r="N23" i="38" s="1"/>
  <c r="H23" i="28"/>
  <c r="K23" i="75"/>
  <c r="CC24" i="67"/>
  <c r="I24" i="156" s="1"/>
  <c r="N23" i="36"/>
  <c r="N23" i="32"/>
  <c r="G24" i="154" l="1"/>
  <c r="P24" i="154" s="1"/>
  <c r="H24" i="38"/>
  <c r="N24" i="38" s="1"/>
  <c r="G24" i="153"/>
  <c r="P24" i="153" s="1"/>
  <c r="U24" i="153" s="1"/>
  <c r="V24" i="153" s="1"/>
  <c r="W24" i="153" s="1"/>
  <c r="K24" i="75"/>
  <c r="H24" i="28"/>
  <c r="CC25" i="67"/>
  <c r="I25" i="156" s="1"/>
  <c r="N24" i="36"/>
  <c r="N24" i="32"/>
  <c r="G25" i="153" l="1"/>
  <c r="P25" i="153" s="1"/>
  <c r="U25" i="153" s="1"/>
  <c r="V25" i="153" s="1"/>
  <c r="W25" i="153" s="1"/>
  <c r="G25" i="154"/>
  <c r="P25" i="154" s="1"/>
  <c r="K25" i="75"/>
  <c r="H25" i="28"/>
  <c r="H25" i="38"/>
  <c r="N25" i="38" s="1"/>
  <c r="CC26" i="67"/>
  <c r="I26" i="156" s="1"/>
  <c r="N25" i="36"/>
  <c r="N25" i="32"/>
  <c r="G26" i="154" l="1"/>
  <c r="P26" i="154" s="1"/>
  <c r="G26" i="153"/>
  <c r="P26" i="153" s="1"/>
  <c r="U26" i="153" s="1"/>
  <c r="K26" i="75"/>
  <c r="H26" i="28"/>
  <c r="H26" i="38"/>
  <c r="N26" i="38" s="1"/>
  <c r="CC27" i="67"/>
  <c r="I27" i="156" s="1"/>
  <c r="N26" i="36"/>
  <c r="N26" i="32"/>
  <c r="V26" i="153" l="1"/>
  <c r="W26" i="153" s="1"/>
  <c r="G27" i="154"/>
  <c r="P27" i="154" s="1"/>
  <c r="G27" i="153"/>
  <c r="P27" i="153" s="1"/>
  <c r="U27" i="153" s="1"/>
  <c r="V27" i="153" s="1"/>
  <c r="W27" i="153" s="1"/>
  <c r="K27" i="75"/>
  <c r="H27" i="38"/>
  <c r="N27" i="38" s="1"/>
  <c r="H27" i="28"/>
  <c r="CC28" i="67"/>
  <c r="I28" i="156" s="1"/>
  <c r="N27" i="36"/>
  <c r="N27" i="32"/>
  <c r="G28" i="154" l="1"/>
  <c r="P28" i="154" s="1"/>
  <c r="G28" i="153"/>
  <c r="P28" i="153" s="1"/>
  <c r="U28" i="153" s="1"/>
  <c r="K28" i="75"/>
  <c r="H28" i="38"/>
  <c r="N28" i="38" s="1"/>
  <c r="H28" i="28"/>
  <c r="CC29" i="67"/>
  <c r="I29" i="156" s="1"/>
  <c r="N28" i="36"/>
  <c r="N28" i="32"/>
  <c r="V28" i="153" l="1"/>
  <c r="W28" i="153" s="1"/>
  <c r="G29" i="154"/>
  <c r="P29" i="154" s="1"/>
  <c r="G29" i="153"/>
  <c r="P29" i="153" s="1"/>
  <c r="U29" i="153" s="1"/>
  <c r="V29" i="153" s="1"/>
  <c r="W29" i="153" s="1"/>
  <c r="K29" i="75"/>
  <c r="H29" i="38"/>
  <c r="N29" i="38" s="1"/>
  <c r="H29" i="28"/>
  <c r="CC30" i="67"/>
  <c r="I30" i="156" s="1"/>
  <c r="N29" i="32"/>
  <c r="N29" i="36"/>
  <c r="G30" i="154" l="1"/>
  <c r="P30" i="154" s="1"/>
  <c r="G30" i="153"/>
  <c r="P30" i="153" s="1"/>
  <c r="U30" i="153" s="1"/>
  <c r="H30" i="28"/>
  <c r="K30" i="75"/>
  <c r="H30" i="38"/>
  <c r="N30" i="38" s="1"/>
  <c r="CC31" i="67"/>
  <c r="I31" i="156" s="1"/>
  <c r="N30" i="36"/>
  <c r="N30" i="32"/>
  <c r="V30" i="153" l="1"/>
  <c r="W30" i="153" s="1"/>
  <c r="G31" i="153"/>
  <c r="P31" i="153" s="1"/>
  <c r="U31" i="153" s="1"/>
  <c r="V31" i="153" s="1"/>
  <c r="W31" i="153" s="1"/>
  <c r="G31" i="154"/>
  <c r="P31" i="154" s="1"/>
  <c r="H31" i="38"/>
  <c r="N31" i="38" s="1"/>
  <c r="H31" i="28"/>
  <c r="K31" i="75"/>
  <c r="CC32" i="67"/>
  <c r="I32" i="156" s="1"/>
  <c r="N31" i="36"/>
  <c r="N31" i="32"/>
  <c r="G32" i="154" l="1"/>
  <c r="P32" i="154" s="1"/>
  <c r="G32" i="153"/>
  <c r="P32" i="153" s="1"/>
  <c r="U32" i="153" s="1"/>
  <c r="H32" i="38"/>
  <c r="N32" i="38" s="1"/>
  <c r="H32" i="28"/>
  <c r="K32" i="75"/>
  <c r="CC33" i="67"/>
  <c r="I33" i="156" s="1"/>
  <c r="N32" i="36"/>
  <c r="N32" i="32"/>
  <c r="V32" i="153" l="1"/>
  <c r="W32" i="153" s="1"/>
  <c r="G33" i="153"/>
  <c r="P33" i="153" s="1"/>
  <c r="U33" i="153" s="1"/>
  <c r="V33" i="153" s="1"/>
  <c r="W33" i="153" s="1"/>
  <c r="G33" i="154"/>
  <c r="P33" i="154" s="1"/>
  <c r="K33" i="75"/>
  <c r="H33" i="28"/>
  <c r="H33" i="38"/>
  <c r="N33" i="38" s="1"/>
  <c r="CC34" i="67"/>
  <c r="I34" i="156" s="1"/>
  <c r="N33" i="32"/>
  <c r="N33" i="36"/>
  <c r="G34" i="154" l="1"/>
  <c r="P34" i="154" s="1"/>
  <c r="G34" i="153"/>
  <c r="P34" i="153" s="1"/>
  <c r="U34" i="153" s="1"/>
  <c r="K34" i="75"/>
  <c r="H34" i="28"/>
  <c r="H34" i="38"/>
  <c r="N34" i="38" s="1"/>
  <c r="CC35" i="67"/>
  <c r="I35" i="156" s="1"/>
  <c r="N34" i="36"/>
  <c r="N34" i="32"/>
  <c r="V34" i="153" l="1"/>
  <c r="W34" i="153" s="1"/>
  <c r="G35" i="154"/>
  <c r="P35" i="154" s="1"/>
  <c r="G35" i="153"/>
  <c r="P35" i="153" s="1"/>
  <c r="U35" i="153" s="1"/>
  <c r="V35" i="153" s="1"/>
  <c r="W35" i="153" s="1"/>
  <c r="K35" i="75"/>
  <c r="H35" i="38"/>
  <c r="N35" i="38" s="1"/>
  <c r="H35" i="28"/>
  <c r="CC36" i="67"/>
  <c r="I36" i="156" s="1"/>
  <c r="N35" i="36"/>
  <c r="N35" i="32"/>
  <c r="G36" i="154" l="1"/>
  <c r="P36" i="154" s="1"/>
  <c r="G36" i="153"/>
  <c r="P36" i="153" s="1"/>
  <c r="U36" i="153" s="1"/>
  <c r="V36" i="153" s="1"/>
  <c r="W36" i="153" s="1"/>
  <c r="K36" i="75"/>
  <c r="H36" i="38"/>
  <c r="N36" i="38" s="1"/>
  <c r="H36" i="28"/>
  <c r="CC37" i="67"/>
  <c r="I37" i="156" s="1"/>
  <c r="N36" i="36"/>
  <c r="N36" i="32"/>
  <c r="G37" i="154" l="1"/>
  <c r="P37" i="154" s="1"/>
  <c r="G37" i="153"/>
  <c r="P37" i="153" s="1"/>
  <c r="U37" i="153" s="1"/>
  <c r="V37" i="153" s="1"/>
  <c r="W37" i="153" s="1"/>
  <c r="K37" i="75"/>
  <c r="H37" i="28"/>
  <c r="H37" i="38"/>
  <c r="N37" i="38" s="1"/>
  <c r="CC38" i="67"/>
  <c r="I38" i="156" s="1"/>
  <c r="N37" i="36"/>
  <c r="N37" i="32"/>
  <c r="B116" i="36"/>
  <c r="C116" i="36"/>
  <c r="B117" i="36"/>
  <c r="C117" i="36"/>
  <c r="B118" i="36"/>
  <c r="C118" i="36"/>
  <c r="B119" i="36"/>
  <c r="C119" i="36"/>
  <c r="B120" i="36"/>
  <c r="C120" i="36"/>
  <c r="B121" i="36"/>
  <c r="C121" i="36"/>
  <c r="B122" i="36"/>
  <c r="C122" i="36"/>
  <c r="B123" i="36"/>
  <c r="C123" i="36"/>
  <c r="B124" i="36"/>
  <c r="C124" i="36"/>
  <c r="B125" i="36"/>
  <c r="C125" i="36"/>
  <c r="B126" i="36"/>
  <c r="C126" i="36"/>
  <c r="B127" i="36"/>
  <c r="C127" i="36"/>
  <c r="B128" i="36"/>
  <c r="C128" i="36"/>
  <c r="B129" i="36"/>
  <c r="C129" i="36"/>
  <c r="B130" i="36"/>
  <c r="C130" i="36"/>
  <c r="B131" i="36"/>
  <c r="C131" i="36"/>
  <c r="B132" i="36"/>
  <c r="C132" i="36"/>
  <c r="B133" i="36"/>
  <c r="C133" i="36"/>
  <c r="B134" i="36"/>
  <c r="C134" i="36"/>
  <c r="B135" i="36"/>
  <c r="C135" i="36"/>
  <c r="B136" i="36"/>
  <c r="C136" i="36"/>
  <c r="B137" i="36"/>
  <c r="C137" i="36"/>
  <c r="B138" i="36"/>
  <c r="C138" i="36"/>
  <c r="B139" i="36"/>
  <c r="C139" i="36"/>
  <c r="B140" i="36"/>
  <c r="C140" i="36"/>
  <c r="B141" i="36"/>
  <c r="C141" i="36"/>
  <c r="B142" i="36"/>
  <c r="C142" i="36"/>
  <c r="B143" i="36"/>
  <c r="C143" i="36"/>
  <c r="B144" i="36"/>
  <c r="C144" i="36"/>
  <c r="B145" i="36"/>
  <c r="C145" i="36"/>
  <c r="B86" i="34"/>
  <c r="C86" i="34"/>
  <c r="K86" i="34"/>
  <c r="B87" i="34"/>
  <c r="C87" i="34"/>
  <c r="K87" i="34"/>
  <c r="B88" i="34"/>
  <c r="C88" i="34"/>
  <c r="K88" i="34"/>
  <c r="B89" i="34"/>
  <c r="C89" i="34"/>
  <c r="K89" i="34"/>
  <c r="B90" i="34"/>
  <c r="C90" i="34"/>
  <c r="K90" i="34"/>
  <c r="B91" i="34"/>
  <c r="C91" i="34"/>
  <c r="K91" i="34"/>
  <c r="B92" i="34"/>
  <c r="C92" i="34"/>
  <c r="K92" i="34"/>
  <c r="B93" i="34"/>
  <c r="C93" i="34"/>
  <c r="K93" i="34"/>
  <c r="B94" i="34"/>
  <c r="C94" i="34"/>
  <c r="K94" i="34"/>
  <c r="B95" i="34"/>
  <c r="C95" i="34"/>
  <c r="K95" i="34"/>
  <c r="B96" i="34"/>
  <c r="C96" i="34"/>
  <c r="K96" i="34"/>
  <c r="B97" i="34"/>
  <c r="C97" i="34"/>
  <c r="K97" i="34"/>
  <c r="B98" i="34"/>
  <c r="C98" i="34"/>
  <c r="K98" i="34"/>
  <c r="B99" i="34"/>
  <c r="C99" i="34"/>
  <c r="K99" i="34"/>
  <c r="B100" i="34"/>
  <c r="C100" i="34"/>
  <c r="K100" i="34"/>
  <c r="B101" i="34"/>
  <c r="C101" i="34"/>
  <c r="K101" i="34"/>
  <c r="B102" i="34"/>
  <c r="C102" i="34"/>
  <c r="K102" i="34"/>
  <c r="B103" i="34"/>
  <c r="C103" i="34"/>
  <c r="K103" i="34"/>
  <c r="B104" i="34"/>
  <c r="C104" i="34"/>
  <c r="K104" i="34"/>
  <c r="B105" i="34"/>
  <c r="C105" i="34"/>
  <c r="K105" i="34"/>
  <c r="B106" i="34"/>
  <c r="C106" i="34"/>
  <c r="K106" i="34"/>
  <c r="B107" i="34"/>
  <c r="C107" i="34"/>
  <c r="K107" i="34"/>
  <c r="B108" i="34"/>
  <c r="C108" i="34"/>
  <c r="K108" i="34"/>
  <c r="B109" i="34"/>
  <c r="C109" i="34"/>
  <c r="K109" i="34"/>
  <c r="B110" i="34"/>
  <c r="C110" i="34"/>
  <c r="K110" i="34"/>
  <c r="B111" i="34"/>
  <c r="C111" i="34"/>
  <c r="K111" i="34"/>
  <c r="B112" i="34"/>
  <c r="C112" i="34"/>
  <c r="K112" i="34"/>
  <c r="B113" i="34"/>
  <c r="C113" i="34"/>
  <c r="K113" i="34"/>
  <c r="B114" i="34"/>
  <c r="C114" i="34"/>
  <c r="K114" i="34"/>
  <c r="B115" i="34"/>
  <c r="C115" i="34"/>
  <c r="K115" i="34"/>
  <c r="B116" i="34"/>
  <c r="C116" i="34"/>
  <c r="B117" i="34"/>
  <c r="C117" i="34"/>
  <c r="B118" i="34"/>
  <c r="C118" i="34"/>
  <c r="B119" i="34"/>
  <c r="C119" i="34"/>
  <c r="B120" i="34"/>
  <c r="C120" i="34"/>
  <c r="B121" i="34"/>
  <c r="C121" i="34"/>
  <c r="B122" i="34"/>
  <c r="C122" i="34"/>
  <c r="K122" i="34"/>
  <c r="B123" i="34"/>
  <c r="C123" i="34"/>
  <c r="K123" i="34"/>
  <c r="B124" i="34"/>
  <c r="C124" i="34"/>
  <c r="K124" i="34"/>
  <c r="B125" i="34"/>
  <c r="C125" i="34"/>
  <c r="K125" i="34"/>
  <c r="B126" i="34"/>
  <c r="C126" i="34"/>
  <c r="K126" i="34"/>
  <c r="B127" i="34"/>
  <c r="C127" i="34"/>
  <c r="K127" i="34"/>
  <c r="B128" i="34"/>
  <c r="C128" i="34"/>
  <c r="K128" i="34"/>
  <c r="B129" i="34"/>
  <c r="C129" i="34"/>
  <c r="K129" i="34"/>
  <c r="B130" i="34"/>
  <c r="C130" i="34"/>
  <c r="K130" i="34"/>
  <c r="B131" i="34"/>
  <c r="C131" i="34"/>
  <c r="K131" i="34"/>
  <c r="B132" i="34"/>
  <c r="C132" i="34"/>
  <c r="K132" i="34"/>
  <c r="B133" i="34"/>
  <c r="C133" i="34"/>
  <c r="K133" i="34"/>
  <c r="B134" i="34"/>
  <c r="C134" i="34"/>
  <c r="K134" i="34"/>
  <c r="B135" i="34"/>
  <c r="C135" i="34"/>
  <c r="K135" i="34"/>
  <c r="B136" i="34"/>
  <c r="C136" i="34"/>
  <c r="K136" i="34"/>
  <c r="B137" i="34"/>
  <c r="C137" i="34"/>
  <c r="K137" i="34"/>
  <c r="B138" i="34"/>
  <c r="C138" i="34"/>
  <c r="K138" i="34"/>
  <c r="B139" i="34"/>
  <c r="C139" i="34"/>
  <c r="K139" i="34"/>
  <c r="B140" i="34"/>
  <c r="C140" i="34"/>
  <c r="K140" i="34"/>
  <c r="B141" i="34"/>
  <c r="C141" i="34"/>
  <c r="K141" i="34"/>
  <c r="B142" i="34"/>
  <c r="C142" i="34"/>
  <c r="K142" i="34"/>
  <c r="B143" i="34"/>
  <c r="C143" i="34"/>
  <c r="K143" i="34"/>
  <c r="B144" i="34"/>
  <c r="C144" i="34"/>
  <c r="K144" i="34"/>
  <c r="B145" i="34"/>
  <c r="C145" i="34"/>
  <c r="K145" i="34"/>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16" i="38"/>
  <c r="C116" i="38"/>
  <c r="B117" i="38"/>
  <c r="C117" i="38"/>
  <c r="B118" i="38"/>
  <c r="C118" i="38"/>
  <c r="B119" i="38"/>
  <c r="C119"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DW1" i="4"/>
  <c r="DV1" i="4"/>
  <c r="DU1" i="4"/>
  <c r="L62" i="32"/>
  <c r="M62" i="32"/>
  <c r="L63" i="32"/>
  <c r="M63" i="32"/>
  <c r="L64" i="32"/>
  <c r="M64" i="32"/>
  <c r="L65" i="32"/>
  <c r="L66" i="32"/>
  <c r="L66" i="28"/>
  <c r="L67" i="32"/>
  <c r="L68" i="32"/>
  <c r="L69" i="32"/>
  <c r="M69" i="32"/>
  <c r="L70" i="32"/>
  <c r="M70" i="32"/>
  <c r="L71" i="32"/>
  <c r="L72" i="32"/>
  <c r="M72" i="32"/>
  <c r="L73" i="32"/>
  <c r="M73" i="32"/>
  <c r="L74" i="32"/>
  <c r="L75" i="32"/>
  <c r="L75" i="28"/>
  <c r="L76" i="32"/>
  <c r="L77" i="32"/>
  <c r="M77" i="32"/>
  <c r="L78" i="32"/>
  <c r="M78" i="32"/>
  <c r="L79" i="32"/>
  <c r="L80" i="32"/>
  <c r="M80" i="32"/>
  <c r="L81" i="32"/>
  <c r="L82" i="32"/>
  <c r="M82" i="32"/>
  <c r="L83" i="32"/>
  <c r="L83" i="28"/>
  <c r="L84" i="32"/>
  <c r="L85" i="32"/>
  <c r="L86" i="32"/>
  <c r="M86" i="32"/>
  <c r="L87" i="32"/>
  <c r="L87" i="28"/>
  <c r="L88" i="32"/>
  <c r="M88" i="32"/>
  <c r="L89" i="32"/>
  <c r="L90" i="32"/>
  <c r="M90" i="32"/>
  <c r="L91" i="32"/>
  <c r="L91" i="28"/>
  <c r="L92" i="32"/>
  <c r="L93" i="32"/>
  <c r="L93" i="28"/>
  <c r="L94" i="32"/>
  <c r="L95" i="32"/>
  <c r="L96" i="32"/>
  <c r="L96" i="28"/>
  <c r="L97" i="32"/>
  <c r="L98" i="32"/>
  <c r="L99" i="32"/>
  <c r="L99" i="28"/>
  <c r="L100" i="32"/>
  <c r="M100" i="32"/>
  <c r="L101" i="32"/>
  <c r="L102" i="32"/>
  <c r="L102" i="28"/>
  <c r="L103" i="32"/>
  <c r="L104" i="32"/>
  <c r="L105" i="32"/>
  <c r="L106" i="32"/>
  <c r="L106" i="28"/>
  <c r="L107" i="32"/>
  <c r="L77" i="28"/>
  <c r="L80" i="28"/>
  <c r="L86" i="28"/>
  <c r="L90" i="28"/>
  <c r="L62" i="28"/>
  <c r="L63" i="28"/>
  <c r="L64" i="28"/>
  <c r="L69" i="28"/>
  <c r="L70" i="28"/>
  <c r="L72" i="28"/>
  <c r="G38" i="154" l="1"/>
  <c r="P38" i="154" s="1"/>
  <c r="G38" i="153"/>
  <c r="P38" i="153" s="1"/>
  <c r="U38" i="153" s="1"/>
  <c r="H38" i="28"/>
  <c r="K38" i="75"/>
  <c r="H38" i="38"/>
  <c r="N38" i="38" s="1"/>
  <c r="CC39" i="67"/>
  <c r="I39" i="156" s="1"/>
  <c r="N38" i="36"/>
  <c r="N38" i="32"/>
  <c r="L109" i="32"/>
  <c r="K109" i="28"/>
  <c r="L109" i="30"/>
  <c r="M108" i="30"/>
  <c r="L109" i="28"/>
  <c r="M109" i="30"/>
  <c r="L108" i="32"/>
  <c r="K108" i="28"/>
  <c r="L108" i="30"/>
  <c r="M75" i="32"/>
  <c r="M91" i="32"/>
  <c r="L82" i="28"/>
  <c r="M85" i="32"/>
  <c r="L85" i="28"/>
  <c r="L105" i="28"/>
  <c r="M105" i="32"/>
  <c r="L100" i="28"/>
  <c r="M97" i="32"/>
  <c r="L97" i="28"/>
  <c r="M65" i="32"/>
  <c r="L65" i="28"/>
  <c r="L94" i="28"/>
  <c r="M94" i="32"/>
  <c r="L88" i="28"/>
  <c r="L81" i="28"/>
  <c r="M81" i="32"/>
  <c r="L73" i="28"/>
  <c r="L78" i="28"/>
  <c r="L98" i="28"/>
  <c r="M98" i="32"/>
  <c r="M68" i="32"/>
  <c r="L68" i="28"/>
  <c r="L84" i="28"/>
  <c r="M84" i="32"/>
  <c r="L104" i="28"/>
  <c r="M104" i="32"/>
  <c r="M89" i="32"/>
  <c r="L89" i="28"/>
  <c r="L107" i="28"/>
  <c r="M107" i="32"/>
  <c r="M101" i="32"/>
  <c r="L101" i="28"/>
  <c r="L108" i="28"/>
  <c r="M108" i="32"/>
  <c r="M92" i="32"/>
  <c r="L92" i="28"/>
  <c r="L76" i="28"/>
  <c r="M76" i="32"/>
  <c r="M96" i="32"/>
  <c r="L74" i="28"/>
  <c r="M74" i="32"/>
  <c r="M102" i="32"/>
  <c r="M106" i="32"/>
  <c r="M93" i="32"/>
  <c r="M66" i="32"/>
  <c r="L95" i="28"/>
  <c r="M95" i="32"/>
  <c r="L79" i="28"/>
  <c r="M79" i="32"/>
  <c r="M83" i="32"/>
  <c r="M99" i="32"/>
  <c r="M87" i="32"/>
  <c r="L67" i="28"/>
  <c r="M67" i="32"/>
  <c r="M109" i="32"/>
  <c r="L103" i="28"/>
  <c r="M103" i="32"/>
  <c r="L71" i="28"/>
  <c r="M71" i="32"/>
  <c r="DD2" i="4"/>
  <c r="CP2" i="4"/>
  <c r="CB2" i="4"/>
  <c r="BN2" i="4"/>
  <c r="AZ2" i="4"/>
  <c r="AL2" i="4"/>
  <c r="AM2" i="4" s="1"/>
  <c r="AN2" i="4" s="1"/>
  <c r="AO2" i="4" s="1"/>
  <c r="AP2" i="4" s="1"/>
  <c r="AQ2" i="4" s="1"/>
  <c r="AR2" i="4" s="1"/>
  <c r="AS2" i="4" s="1"/>
  <c r="AT2" i="4" s="1"/>
  <c r="B52" i="65"/>
  <c r="B53" i="65"/>
  <c r="B54" i="65"/>
  <c r="B55" i="65"/>
  <c r="B56" i="65"/>
  <c r="B57" i="65"/>
  <c r="B58" i="65"/>
  <c r="B59" i="65"/>
  <c r="B60" i="65"/>
  <c r="B61" i="65"/>
  <c r="B62" i="65"/>
  <c r="B63" i="65"/>
  <c r="B64" i="65"/>
  <c r="B65" i="65"/>
  <c r="B66" i="65"/>
  <c r="B67" i="65"/>
  <c r="B68" i="65"/>
  <c r="B69" i="65"/>
  <c r="B70" i="65"/>
  <c r="B71" i="65"/>
  <c r="B72" i="65"/>
  <c r="B73" i="65"/>
  <c r="B74" i="65"/>
  <c r="B75" i="65"/>
  <c r="B76" i="65"/>
  <c r="B77" i="65"/>
  <c r="B78" i="65"/>
  <c r="B79" i="65"/>
  <c r="B80" i="65"/>
  <c r="B81" i="65"/>
  <c r="B82" i="65"/>
  <c r="B83" i="65"/>
  <c r="B84" i="65"/>
  <c r="B85" i="65"/>
  <c r="B86" i="65"/>
  <c r="B87" i="65"/>
  <c r="B88" i="65"/>
  <c r="B89" i="65"/>
  <c r="B90" i="65"/>
  <c r="B91" i="65"/>
  <c r="B92" i="65"/>
  <c r="B93" i="65"/>
  <c r="B94" i="65"/>
  <c r="B95" i="65"/>
  <c r="B96" i="65"/>
  <c r="B97" i="65"/>
  <c r="B98" i="65"/>
  <c r="B99" i="65"/>
  <c r="B100" i="65"/>
  <c r="B101" i="65"/>
  <c r="B102" i="65"/>
  <c r="B103" i="65"/>
  <c r="B104" i="65"/>
  <c r="B105" i="65"/>
  <c r="B106" i="65"/>
  <c r="B107" i="65"/>
  <c r="B108" i="65"/>
  <c r="B109" i="65"/>
  <c r="B110" i="65"/>
  <c r="B111" i="65"/>
  <c r="B125" i="65"/>
  <c r="B126" i="65"/>
  <c r="B127" i="65"/>
  <c r="B128" i="65"/>
  <c r="B129" i="65"/>
  <c r="B130" i="65"/>
  <c r="B131" i="65"/>
  <c r="B132" i="65"/>
  <c r="B133" i="65"/>
  <c r="B134" i="65"/>
  <c r="B135" i="65"/>
  <c r="B136" i="65"/>
  <c r="B137" i="65"/>
  <c r="B138" i="65"/>
  <c r="B139" i="65"/>
  <c r="B140" i="65"/>
  <c r="B141" i="65"/>
  <c r="B142" i="65"/>
  <c r="B143" i="65"/>
  <c r="B144" i="65"/>
  <c r="B145" i="65"/>
  <c r="B146" i="65"/>
  <c r="B147" i="65"/>
  <c r="B112" i="65"/>
  <c r="B113" i="65"/>
  <c r="B114" i="65"/>
  <c r="B115" i="65"/>
  <c r="B116" i="65"/>
  <c r="B117" i="65"/>
  <c r="B118" i="65"/>
  <c r="B119" i="65"/>
  <c r="B120" i="65"/>
  <c r="B121" i="65"/>
  <c r="B122" i="65"/>
  <c r="B123" i="65"/>
  <c r="B124" i="65"/>
  <c r="V38" i="153" l="1"/>
  <c r="W38" i="153" s="1"/>
  <c r="G39" i="153"/>
  <c r="P39" i="153" s="1"/>
  <c r="U39" i="153" s="1"/>
  <c r="V39" i="153" s="1"/>
  <c r="W39" i="153" s="1"/>
  <c r="G39" i="154"/>
  <c r="P39" i="154" s="1"/>
  <c r="H39" i="38"/>
  <c r="N39" i="38" s="1"/>
  <c r="H39" i="28"/>
  <c r="K39" i="75"/>
  <c r="CC40" i="67"/>
  <c r="I40" i="156" s="1"/>
  <c r="N39" i="36"/>
  <c r="N39" i="32"/>
  <c r="M82" i="28"/>
  <c r="M82" i="38"/>
  <c r="M61" i="28"/>
  <c r="M61" i="38"/>
  <c r="M29" i="28"/>
  <c r="M29" i="38"/>
  <c r="M13" i="28"/>
  <c r="M13" i="38"/>
  <c r="M41" i="28"/>
  <c r="M41" i="38"/>
  <c r="M45" i="28"/>
  <c r="M45" i="38"/>
  <c r="M105" i="28"/>
  <c r="M105" i="38"/>
  <c r="M81" i="28"/>
  <c r="M81" i="38"/>
  <c r="M60" i="28"/>
  <c r="M60" i="38"/>
  <c r="M44" i="28"/>
  <c r="M44" i="38"/>
  <c r="M28" i="28"/>
  <c r="M28" i="38"/>
  <c r="M12" i="28"/>
  <c r="M12" i="38"/>
  <c r="M85" i="28"/>
  <c r="M85" i="38"/>
  <c r="M69" i="28"/>
  <c r="M69" i="38"/>
  <c r="M80" i="28"/>
  <c r="M80" i="38"/>
  <c r="M10" i="28"/>
  <c r="M10" i="38"/>
  <c r="M100" i="28"/>
  <c r="M100" i="38"/>
  <c r="M98" i="28"/>
  <c r="M98" i="38"/>
  <c r="M73" i="28"/>
  <c r="M73" i="38"/>
  <c r="M56" i="28"/>
  <c r="M56" i="38"/>
  <c r="M40" i="28"/>
  <c r="M40" i="38"/>
  <c r="M24" i="28"/>
  <c r="M24" i="38"/>
  <c r="M8" i="28"/>
  <c r="M8" i="38"/>
  <c r="M97" i="28"/>
  <c r="M97" i="38"/>
  <c r="M72" i="28"/>
  <c r="M72" i="38"/>
  <c r="M55" i="28"/>
  <c r="M55" i="38"/>
  <c r="M39" i="28"/>
  <c r="M39" i="38"/>
  <c r="M23" i="28"/>
  <c r="M23" i="38"/>
  <c r="M7" i="28"/>
  <c r="M7" i="38"/>
  <c r="M9" i="28"/>
  <c r="M9" i="38"/>
  <c r="M96" i="28"/>
  <c r="M96" i="38"/>
  <c r="M71" i="28"/>
  <c r="M71" i="38"/>
  <c r="M54" i="28"/>
  <c r="M54" i="38"/>
  <c r="M38" i="28"/>
  <c r="M38" i="38"/>
  <c r="M22" i="28"/>
  <c r="M22" i="38"/>
  <c r="M6" i="28"/>
  <c r="M6" i="38"/>
  <c r="M42" i="28"/>
  <c r="M42" i="38"/>
  <c r="M57" i="28"/>
  <c r="M57" i="38"/>
  <c r="M95" i="28"/>
  <c r="M95" i="38"/>
  <c r="M70" i="28"/>
  <c r="M70" i="38"/>
  <c r="M53" i="28"/>
  <c r="M53" i="38"/>
  <c r="M37" i="28"/>
  <c r="M37" i="38"/>
  <c r="M21" i="28"/>
  <c r="M21" i="38"/>
  <c r="M5" i="28"/>
  <c r="M5" i="38"/>
  <c r="M103" i="28"/>
  <c r="M103" i="38"/>
  <c r="M102" i="28"/>
  <c r="M102" i="38"/>
  <c r="M25" i="28"/>
  <c r="M25" i="38"/>
  <c r="M94" i="28"/>
  <c r="M94" i="38"/>
  <c r="M68" i="28"/>
  <c r="M68" i="38"/>
  <c r="M52" i="28"/>
  <c r="M52" i="38"/>
  <c r="M36" i="28"/>
  <c r="M36" i="38"/>
  <c r="M20" i="28"/>
  <c r="M20" i="38"/>
  <c r="M4" i="28"/>
  <c r="M4" i="38"/>
  <c r="M89" i="28"/>
  <c r="M89" i="38"/>
  <c r="M67" i="28"/>
  <c r="M67" i="38"/>
  <c r="M51" i="28"/>
  <c r="M51" i="38"/>
  <c r="M35" i="28"/>
  <c r="M35" i="38"/>
  <c r="M19" i="28"/>
  <c r="M19" i="38"/>
  <c r="M3" i="28"/>
  <c r="M3" i="38"/>
  <c r="M88" i="28"/>
  <c r="M88" i="38"/>
  <c r="M66" i="28"/>
  <c r="M66" i="38"/>
  <c r="M50" i="28"/>
  <c r="M50" i="38"/>
  <c r="M34" i="28"/>
  <c r="M34" i="38"/>
  <c r="M18" i="28"/>
  <c r="M18" i="38"/>
  <c r="M2" i="28"/>
  <c r="M2" i="38"/>
  <c r="M11" i="28"/>
  <c r="M11" i="38"/>
  <c r="M58" i="28"/>
  <c r="M58" i="38"/>
  <c r="M87" i="28"/>
  <c r="M87" i="38"/>
  <c r="M65" i="28"/>
  <c r="M65" i="38"/>
  <c r="M49" i="28"/>
  <c r="M49" i="38"/>
  <c r="M33" i="28"/>
  <c r="M33" i="38"/>
  <c r="M17" i="28"/>
  <c r="M17" i="38"/>
  <c r="M90" i="28"/>
  <c r="M90" i="38"/>
  <c r="M74" i="28"/>
  <c r="M74" i="38"/>
  <c r="M59" i="28"/>
  <c r="M59" i="38"/>
  <c r="M86" i="28"/>
  <c r="M86" i="38"/>
  <c r="M64" i="28"/>
  <c r="M64" i="38"/>
  <c r="M48" i="28"/>
  <c r="M48" i="38"/>
  <c r="M32" i="28"/>
  <c r="M32" i="38"/>
  <c r="M16" i="28"/>
  <c r="M16" i="38"/>
  <c r="M43" i="28"/>
  <c r="M43" i="38"/>
  <c r="M79" i="28"/>
  <c r="M79" i="38"/>
  <c r="M84" i="28"/>
  <c r="M84" i="38"/>
  <c r="M63" i="28"/>
  <c r="M63" i="38"/>
  <c r="M47" i="28"/>
  <c r="M47" i="38"/>
  <c r="M31" i="28"/>
  <c r="M31" i="38"/>
  <c r="M15" i="28"/>
  <c r="M15" i="38"/>
  <c r="M27" i="28"/>
  <c r="M27" i="38"/>
  <c r="M26" i="28"/>
  <c r="M26" i="38"/>
  <c r="M78" i="28"/>
  <c r="M78" i="38"/>
  <c r="M83" i="28"/>
  <c r="M83" i="38"/>
  <c r="M62" i="28"/>
  <c r="M62" i="38"/>
  <c r="M46" i="28"/>
  <c r="M46" i="38"/>
  <c r="M30" i="28"/>
  <c r="M30" i="38"/>
  <c r="M14" i="28"/>
  <c r="M14" i="38"/>
  <c r="M127" i="65"/>
  <c r="L125" i="65"/>
  <c r="M129" i="65"/>
  <c r="L129" i="65"/>
  <c r="L127" i="65"/>
  <c r="R111" i="65"/>
  <c r="AW109" i="67" s="1"/>
  <c r="I120" i="65"/>
  <c r="O105" i="34"/>
  <c r="O97" i="34"/>
  <c r="O89" i="34"/>
  <c r="O102" i="34"/>
  <c r="O94" i="34"/>
  <c r="O86" i="34"/>
  <c r="O107" i="34"/>
  <c r="O99" i="34"/>
  <c r="O91" i="34"/>
  <c r="O104" i="34"/>
  <c r="O96" i="34"/>
  <c r="O88" i="34"/>
  <c r="O109" i="34"/>
  <c r="O101" i="34"/>
  <c r="O93" i="34"/>
  <c r="O106" i="34"/>
  <c r="O98" i="34"/>
  <c r="O90" i="34"/>
  <c r="O103" i="34"/>
  <c r="O95" i="34"/>
  <c r="O87" i="34"/>
  <c r="O108" i="34"/>
  <c r="O100" i="34"/>
  <c r="O92" i="34"/>
  <c r="BO2" i="4"/>
  <c r="CC2" i="4"/>
  <c r="BA2" i="4"/>
  <c r="CQ2" i="4"/>
  <c r="DE2" i="4"/>
  <c r="Y2" i="4"/>
  <c r="AU2" i="4"/>
  <c r="R106" i="65"/>
  <c r="AW104" i="67" s="1"/>
  <c r="R100" i="65"/>
  <c r="AW98" i="67" s="1"/>
  <c r="M122" i="65"/>
  <c r="AN120" i="67" s="1"/>
  <c r="M126" i="65"/>
  <c r="L124" i="65"/>
  <c r="L128" i="65"/>
  <c r="M121" i="65"/>
  <c r="AN119" i="67" s="1"/>
  <c r="L126" i="65"/>
  <c r="M128" i="65"/>
  <c r="I116" i="65"/>
  <c r="I132" i="65" l="1"/>
  <c r="I144" i="65" s="1"/>
  <c r="AJ118" i="67"/>
  <c r="I128" i="65"/>
  <c r="I140" i="65" s="1"/>
  <c r="AJ114" i="67"/>
  <c r="G40" i="154"/>
  <c r="P40" i="154" s="1"/>
  <c r="G40" i="153"/>
  <c r="P40" i="153" s="1"/>
  <c r="U40" i="153" s="1"/>
  <c r="V40" i="153" s="1"/>
  <c r="W40" i="153" s="1"/>
  <c r="H40" i="38"/>
  <c r="N40" i="38" s="1"/>
  <c r="K40" i="75"/>
  <c r="H40" i="28"/>
  <c r="S118" i="65"/>
  <c r="AX116" i="67" s="1"/>
  <c r="M116" i="156" s="1"/>
  <c r="S119" i="65"/>
  <c r="AX117" i="67" s="1"/>
  <c r="M117" i="156" s="1"/>
  <c r="CC41" i="67"/>
  <c r="I41" i="156" s="1"/>
  <c r="N40" i="36"/>
  <c r="N40" i="32"/>
  <c r="M141" i="65"/>
  <c r="U129" i="65"/>
  <c r="M130" i="65"/>
  <c r="U118" i="65"/>
  <c r="M133" i="65"/>
  <c r="U121" i="65"/>
  <c r="L136" i="65"/>
  <c r="L131" i="65"/>
  <c r="T119" i="65"/>
  <c r="L141" i="65"/>
  <c r="T129" i="65"/>
  <c r="L139" i="65"/>
  <c r="T127" i="65"/>
  <c r="M139" i="65"/>
  <c r="L130" i="65"/>
  <c r="T118" i="65"/>
  <c r="M134" i="65"/>
  <c r="U122" i="65"/>
  <c r="L137" i="65"/>
  <c r="L138" i="65"/>
  <c r="L140" i="65"/>
  <c r="T140" i="65" s="1"/>
  <c r="T128" i="65"/>
  <c r="M131" i="65"/>
  <c r="U119" i="65"/>
  <c r="M132" i="65"/>
  <c r="U120" i="65"/>
  <c r="M138" i="65"/>
  <c r="M140" i="65"/>
  <c r="AV113" i="67"/>
  <c r="AV114" i="67"/>
  <c r="AV110" i="67"/>
  <c r="R103" i="65"/>
  <c r="AW101" i="67" s="1"/>
  <c r="J115" i="65"/>
  <c r="R101" i="65"/>
  <c r="AW99" i="67" s="1"/>
  <c r="I112" i="65"/>
  <c r="H123" i="65"/>
  <c r="M92" i="28"/>
  <c r="M92" i="38"/>
  <c r="M76" i="28"/>
  <c r="M76" i="38"/>
  <c r="O111" i="34"/>
  <c r="M104" i="28"/>
  <c r="M104" i="38"/>
  <c r="M77" i="28"/>
  <c r="M77" i="38"/>
  <c r="M93" i="28"/>
  <c r="M93" i="38"/>
  <c r="M101" i="28"/>
  <c r="M101" i="38"/>
  <c r="O114" i="34"/>
  <c r="M99" i="28"/>
  <c r="M99" i="38"/>
  <c r="O110" i="34"/>
  <c r="M75" i="28"/>
  <c r="M75" i="38"/>
  <c r="M91" i="28"/>
  <c r="M91" i="38"/>
  <c r="K124" i="65"/>
  <c r="R102" i="65"/>
  <c r="AW100" i="67" s="1"/>
  <c r="K126" i="65"/>
  <c r="K125" i="65"/>
  <c r="K130" i="65"/>
  <c r="K131" i="65"/>
  <c r="H114" i="65"/>
  <c r="O112" i="34"/>
  <c r="K128" i="65"/>
  <c r="O113" i="34"/>
  <c r="K129" i="65"/>
  <c r="O115" i="34"/>
  <c r="K127" i="65"/>
  <c r="R112" i="65"/>
  <c r="H118" i="65"/>
  <c r="H113" i="65"/>
  <c r="H115" i="65"/>
  <c r="H135" i="65"/>
  <c r="R135" i="65" s="1"/>
  <c r="DF2" i="4"/>
  <c r="CD2" i="4"/>
  <c r="Z2" i="4"/>
  <c r="BP2" i="4"/>
  <c r="CR2" i="4"/>
  <c r="AV2" i="4"/>
  <c r="BB2" i="4"/>
  <c r="J118" i="65"/>
  <c r="K122" i="65"/>
  <c r="AL120" i="67" s="1"/>
  <c r="M123" i="65"/>
  <c r="AN121" i="67" s="1"/>
  <c r="K121" i="65"/>
  <c r="AL119" i="67" s="1"/>
  <c r="R109" i="65"/>
  <c r="AW107" i="67" s="1"/>
  <c r="L123" i="65"/>
  <c r="R108" i="65"/>
  <c r="AW106" i="67" s="1"/>
  <c r="J120" i="65"/>
  <c r="M124" i="65"/>
  <c r="J119" i="65"/>
  <c r="I121" i="65"/>
  <c r="L121" i="65"/>
  <c r="AM119" i="67" s="1"/>
  <c r="K123" i="65"/>
  <c r="AL121" i="67" s="1"/>
  <c r="J121" i="65"/>
  <c r="I122" i="65"/>
  <c r="J122" i="65"/>
  <c r="I118" i="65"/>
  <c r="R110" i="65"/>
  <c r="AW108" i="67" s="1"/>
  <c r="R107" i="65"/>
  <c r="AW105" i="67" s="1"/>
  <c r="M125" i="65"/>
  <c r="U128" i="65" s="1"/>
  <c r="L122" i="65"/>
  <c r="AM120" i="67" s="1"/>
  <c r="I119" i="65"/>
  <c r="J123" i="65"/>
  <c r="I123" i="65"/>
  <c r="H126" i="36" l="1"/>
  <c r="O126" i="36" s="1"/>
  <c r="J126" i="77"/>
  <c r="Q126" i="77" s="1"/>
  <c r="J129" i="77"/>
  <c r="Q129" i="77" s="1"/>
  <c r="H129" i="36"/>
  <c r="O129" i="36" s="1"/>
  <c r="J128" i="77"/>
  <c r="Q128" i="77" s="1"/>
  <c r="H128" i="36"/>
  <c r="O128" i="36" s="1"/>
  <c r="H121" i="32"/>
  <c r="O121" i="32" s="1"/>
  <c r="J121" i="77"/>
  <c r="H121" i="36"/>
  <c r="O121" i="36" s="1"/>
  <c r="J124" i="77"/>
  <c r="Q124" i="77" s="1"/>
  <c r="H124" i="36"/>
  <c r="O124" i="36" s="1"/>
  <c r="J125" i="77"/>
  <c r="Q125" i="77" s="1"/>
  <c r="H125" i="36"/>
  <c r="O125" i="36" s="1"/>
  <c r="J122" i="77"/>
  <c r="Q122" i="77" s="1"/>
  <c r="H122" i="36"/>
  <c r="O122" i="36" s="1"/>
  <c r="J119" i="77"/>
  <c r="H119" i="32"/>
  <c r="O119" i="32" s="1"/>
  <c r="H119" i="36"/>
  <c r="O119" i="36" s="1"/>
  <c r="J127" i="77"/>
  <c r="Q127" i="77" s="1"/>
  <c r="H127" i="36"/>
  <c r="O127" i="36" s="1"/>
  <c r="J123" i="77"/>
  <c r="Q123" i="77" s="1"/>
  <c r="H123" i="36"/>
  <c r="O123" i="36" s="1"/>
  <c r="J120" i="77"/>
  <c r="H120" i="36"/>
  <c r="O120" i="36" s="1"/>
  <c r="H120" i="32"/>
  <c r="O120" i="32" s="1"/>
  <c r="G41" i="153"/>
  <c r="P41" i="153" s="1"/>
  <c r="U41" i="153" s="1"/>
  <c r="V41" i="153" s="1"/>
  <c r="W41" i="153" s="1"/>
  <c r="G41" i="154"/>
  <c r="P41" i="154" s="1"/>
  <c r="K41" i="75"/>
  <c r="H41" i="28"/>
  <c r="H41" i="38"/>
  <c r="N41" i="38" s="1"/>
  <c r="J131" i="65"/>
  <c r="J143" i="65" s="1"/>
  <c r="AK117" i="67"/>
  <c r="K117" i="154"/>
  <c r="T117" i="154" s="1"/>
  <c r="K117" i="153"/>
  <c r="T117" i="153" s="1"/>
  <c r="K116" i="154"/>
  <c r="T116" i="154" s="1"/>
  <c r="K116" i="153"/>
  <c r="T116" i="153" s="1"/>
  <c r="I133" i="65"/>
  <c r="I145" i="65" s="1"/>
  <c r="AJ119" i="67"/>
  <c r="I135" i="65"/>
  <c r="I147" i="65" s="1"/>
  <c r="AJ121" i="67"/>
  <c r="J132" i="65"/>
  <c r="J144" i="65" s="1"/>
  <c r="AK118" i="67"/>
  <c r="R115" i="65"/>
  <c r="AW113" i="67" s="1"/>
  <c r="AI113" i="67"/>
  <c r="J135" i="65"/>
  <c r="J147" i="65" s="1"/>
  <c r="AK121" i="67"/>
  <c r="I131" i="65"/>
  <c r="I143" i="65" s="1"/>
  <c r="AJ117" i="67"/>
  <c r="T126" i="65"/>
  <c r="AM121" i="67"/>
  <c r="R118" i="65"/>
  <c r="AW116" i="67" s="1"/>
  <c r="AI116" i="67"/>
  <c r="R113" i="65"/>
  <c r="AW111" i="67" s="1"/>
  <c r="AI111" i="67"/>
  <c r="I124" i="65"/>
  <c r="I136" i="65" s="1"/>
  <c r="AJ110" i="67"/>
  <c r="R123" i="65"/>
  <c r="AW121" i="67" s="1"/>
  <c r="AI121" i="67"/>
  <c r="J133" i="65"/>
  <c r="J145" i="65" s="1"/>
  <c r="AK119" i="67"/>
  <c r="R114" i="65"/>
  <c r="AW112" i="67" s="1"/>
  <c r="AI112" i="67"/>
  <c r="I130" i="65"/>
  <c r="I142" i="65" s="1"/>
  <c r="AJ116" i="67"/>
  <c r="J130" i="65"/>
  <c r="J142" i="65" s="1"/>
  <c r="AK116" i="67"/>
  <c r="J134" i="65"/>
  <c r="J146" i="65" s="1"/>
  <c r="AK120" i="67"/>
  <c r="I134" i="65"/>
  <c r="I146" i="65" s="1"/>
  <c r="AJ120" i="67"/>
  <c r="J127" i="65"/>
  <c r="J139" i="65" s="1"/>
  <c r="AK113" i="67"/>
  <c r="N117" i="30"/>
  <c r="Q117" i="30" s="1"/>
  <c r="N117" i="34"/>
  <c r="N116" i="34"/>
  <c r="N116" i="30"/>
  <c r="Q116" i="30" s="1"/>
  <c r="T139" i="65"/>
  <c r="T141" i="65"/>
  <c r="S121" i="65"/>
  <c r="M122" i="156" s="1"/>
  <c r="V122" i="156" s="1"/>
  <c r="S122" i="65"/>
  <c r="M123" i="156" s="1"/>
  <c r="V123" i="156" s="1"/>
  <c r="S129" i="65"/>
  <c r="S123" i="65"/>
  <c r="M124" i="156" s="1"/>
  <c r="V124" i="156" s="1"/>
  <c r="S128" i="65"/>
  <c r="M129" i="156" s="1"/>
  <c r="V129" i="156" s="1"/>
  <c r="S120" i="65"/>
  <c r="AX118" i="67" s="1"/>
  <c r="M118" i="156" s="1"/>
  <c r="S130" i="65"/>
  <c r="CC42" i="67"/>
  <c r="I42" i="156" s="1"/>
  <c r="N41" i="36"/>
  <c r="N41" i="32"/>
  <c r="M136" i="65"/>
  <c r="U136" i="65" s="1"/>
  <c r="U124" i="65"/>
  <c r="U127" i="65"/>
  <c r="M135" i="65"/>
  <c r="U138" i="65" s="1"/>
  <c r="U123" i="65"/>
  <c r="M144" i="65"/>
  <c r="U144" i="65" s="1"/>
  <c r="U132" i="65"/>
  <c r="M143" i="65"/>
  <c r="U143" i="65" s="1"/>
  <c r="U131" i="65"/>
  <c r="L134" i="65"/>
  <c r="T137" i="65" s="1"/>
  <c r="T122" i="65"/>
  <c r="L143" i="65"/>
  <c r="T143" i="65" s="1"/>
  <c r="T131" i="65"/>
  <c r="L133" i="65"/>
  <c r="T121" i="65"/>
  <c r="S131" i="65"/>
  <c r="T124" i="65"/>
  <c r="T136" i="65"/>
  <c r="T125" i="65"/>
  <c r="M145" i="65"/>
  <c r="U133" i="65"/>
  <c r="M137" i="65"/>
  <c r="U137" i="65" s="1"/>
  <c r="U125" i="65"/>
  <c r="U126" i="65"/>
  <c r="L132" i="65"/>
  <c r="T120" i="65"/>
  <c r="S126" i="65"/>
  <c r="M146" i="65"/>
  <c r="U134" i="65"/>
  <c r="M142" i="65"/>
  <c r="U142" i="65" s="1"/>
  <c r="U130" i="65"/>
  <c r="S125" i="65"/>
  <c r="K136" i="65"/>
  <c r="S124" i="65"/>
  <c r="L135" i="65"/>
  <c r="T123" i="65"/>
  <c r="S127" i="65"/>
  <c r="L142" i="65"/>
  <c r="T142" i="65" s="1"/>
  <c r="T130" i="65"/>
  <c r="U141" i="65"/>
  <c r="AT112" i="67"/>
  <c r="AU112" i="67"/>
  <c r="AV115" i="67"/>
  <c r="AV111" i="67"/>
  <c r="AS113" i="67"/>
  <c r="AS114" i="67"/>
  <c r="AT111" i="67"/>
  <c r="AU110" i="67"/>
  <c r="AT110" i="67"/>
  <c r="AT114" i="67"/>
  <c r="AS112" i="67"/>
  <c r="AU114" i="67"/>
  <c r="AU115" i="67"/>
  <c r="AT113" i="67"/>
  <c r="AV112" i="67"/>
  <c r="AU113" i="67"/>
  <c r="AS111" i="67"/>
  <c r="AS110" i="67"/>
  <c r="AU111" i="67"/>
  <c r="AT115" i="67"/>
  <c r="AS115" i="67"/>
  <c r="I113" i="65"/>
  <c r="I117" i="65"/>
  <c r="R105" i="65"/>
  <c r="AW103" i="67" s="1"/>
  <c r="R104" i="65"/>
  <c r="AW102" i="67" s="1"/>
  <c r="J114" i="65"/>
  <c r="J117" i="65"/>
  <c r="J113" i="65"/>
  <c r="J116" i="65"/>
  <c r="J112" i="65"/>
  <c r="I114" i="65"/>
  <c r="I115" i="65"/>
  <c r="AX113" i="67"/>
  <c r="M113" i="156" s="1"/>
  <c r="AX114" i="67"/>
  <c r="M114" i="156" s="1"/>
  <c r="AX110" i="67"/>
  <c r="M110" i="156" s="1"/>
  <c r="AX115" i="67"/>
  <c r="M115" i="156" s="1"/>
  <c r="AW110" i="67"/>
  <c r="AX112" i="67"/>
  <c r="M112" i="156" s="1"/>
  <c r="AX111" i="67"/>
  <c r="M111" i="156" s="1"/>
  <c r="M107" i="28"/>
  <c r="M107" i="38"/>
  <c r="M108" i="28"/>
  <c r="M108" i="38"/>
  <c r="M109" i="28"/>
  <c r="M109" i="38"/>
  <c r="M106" i="28"/>
  <c r="M106" i="38"/>
  <c r="H126" i="65"/>
  <c r="R126" i="65" s="1"/>
  <c r="K140" i="65"/>
  <c r="K135" i="65"/>
  <c r="K132" i="65"/>
  <c r="K143" i="65"/>
  <c r="K137" i="65"/>
  <c r="K134" i="65"/>
  <c r="K139" i="65"/>
  <c r="K138" i="65"/>
  <c r="K141" i="65"/>
  <c r="K142" i="65"/>
  <c r="K133" i="65"/>
  <c r="H130" i="65"/>
  <c r="R130" i="65" s="1"/>
  <c r="H119" i="65"/>
  <c r="H147" i="65"/>
  <c r="R147" i="65" s="1"/>
  <c r="H116" i="65"/>
  <c r="H120" i="65"/>
  <c r="H122" i="65"/>
  <c r="H127" i="65"/>
  <c r="R127" i="65" s="1"/>
  <c r="R124" i="65"/>
  <c r="H117" i="65"/>
  <c r="H121" i="65"/>
  <c r="H125" i="65"/>
  <c r="R125" i="65" s="1"/>
  <c r="BC2" i="4"/>
  <c r="CE2" i="4"/>
  <c r="DG2" i="4"/>
  <c r="CS2" i="4"/>
  <c r="AA2" i="4"/>
  <c r="BQ2" i="4"/>
  <c r="K128" i="154" l="1"/>
  <c r="T128" i="154" s="1"/>
  <c r="M128" i="156"/>
  <c r="V128" i="156" s="1"/>
  <c r="J140" i="77"/>
  <c r="Q140" i="77" s="1"/>
  <c r="H140" i="36"/>
  <c r="O140" i="36" s="1"/>
  <c r="J134" i="77"/>
  <c r="Q134" i="77" s="1"/>
  <c r="H134" i="36"/>
  <c r="O134" i="36" s="1"/>
  <c r="J131" i="77"/>
  <c r="Q131" i="77" s="1"/>
  <c r="H131" i="36"/>
  <c r="O131" i="36" s="1"/>
  <c r="K132" i="154"/>
  <c r="T132" i="154" s="1"/>
  <c r="M132" i="156"/>
  <c r="V132" i="156" s="1"/>
  <c r="J139" i="77"/>
  <c r="Q139" i="77" s="1"/>
  <c r="H139" i="36"/>
  <c r="O139" i="36" s="1"/>
  <c r="J136" i="77"/>
  <c r="Q136" i="77" s="1"/>
  <c r="H136" i="36"/>
  <c r="O136" i="36" s="1"/>
  <c r="J141" i="77"/>
  <c r="Q141" i="77" s="1"/>
  <c r="H141" i="36"/>
  <c r="O141" i="36" s="1"/>
  <c r="K125" i="154"/>
  <c r="T125" i="154" s="1"/>
  <c r="M125" i="156"/>
  <c r="V125" i="156" s="1"/>
  <c r="J132" i="77"/>
  <c r="Q132" i="77" s="1"/>
  <c r="H132" i="36"/>
  <c r="O132" i="36" s="1"/>
  <c r="K126" i="154"/>
  <c r="T126" i="154" s="1"/>
  <c r="M126" i="156"/>
  <c r="V126" i="156" s="1"/>
  <c r="J135" i="77"/>
  <c r="Q135" i="77" s="1"/>
  <c r="H135" i="36"/>
  <c r="O135" i="36" s="1"/>
  <c r="J130" i="77"/>
  <c r="Q130" i="77" s="1"/>
  <c r="H130" i="36"/>
  <c r="O130" i="36" s="1"/>
  <c r="J138" i="77"/>
  <c r="Q138" i="77" s="1"/>
  <c r="H138" i="36"/>
  <c r="O138" i="36" s="1"/>
  <c r="K127" i="154"/>
  <c r="T127" i="154" s="1"/>
  <c r="M127" i="156"/>
  <c r="V127" i="156" s="1"/>
  <c r="J137" i="77"/>
  <c r="Q137" i="77" s="1"/>
  <c r="H137" i="36"/>
  <c r="O137" i="36" s="1"/>
  <c r="K131" i="154"/>
  <c r="T131" i="154" s="1"/>
  <c r="M131" i="156"/>
  <c r="V131" i="156" s="1"/>
  <c r="J133" i="77"/>
  <c r="Q133" i="77" s="1"/>
  <c r="H133" i="36"/>
  <c r="O133" i="36" s="1"/>
  <c r="K130" i="154"/>
  <c r="T130" i="154" s="1"/>
  <c r="M130" i="156"/>
  <c r="V130" i="156" s="1"/>
  <c r="K118" i="154"/>
  <c r="T118" i="154" s="1"/>
  <c r="K118" i="153"/>
  <c r="T118" i="153" s="1"/>
  <c r="P126" i="76"/>
  <c r="K129" i="154"/>
  <c r="T129" i="154" s="1"/>
  <c r="R119" i="65"/>
  <c r="AW117" i="67" s="1"/>
  <c r="AI117" i="67"/>
  <c r="AX121" i="67"/>
  <c r="M121" i="156" s="1"/>
  <c r="K124" i="154"/>
  <c r="T124" i="154" s="1"/>
  <c r="U139" i="65"/>
  <c r="J124" i="65"/>
  <c r="J136" i="65" s="1"/>
  <c r="AK110" i="67"/>
  <c r="AX120" i="67"/>
  <c r="M120" i="156" s="1"/>
  <c r="K123" i="154"/>
  <c r="T123" i="154" s="1"/>
  <c r="AX119" i="67"/>
  <c r="M119" i="156" s="1"/>
  <c r="K122" i="154"/>
  <c r="T122" i="154" s="1"/>
  <c r="J125" i="65"/>
  <c r="J137" i="65" s="1"/>
  <c r="AK111" i="67"/>
  <c r="J129" i="65"/>
  <c r="J141" i="65" s="1"/>
  <c r="AK115" i="67"/>
  <c r="R116" i="65"/>
  <c r="AW114" i="67" s="1"/>
  <c r="AI114" i="67"/>
  <c r="I126" i="65"/>
  <c r="I138" i="65" s="1"/>
  <c r="AJ112" i="67"/>
  <c r="J128" i="65"/>
  <c r="J140" i="65" s="1"/>
  <c r="AK114" i="67"/>
  <c r="K111" i="154"/>
  <c r="T111" i="154" s="1"/>
  <c r="K111" i="153"/>
  <c r="T111" i="153" s="1"/>
  <c r="J126" i="65"/>
  <c r="J138" i="65" s="1"/>
  <c r="AK112" i="67"/>
  <c r="I127" i="65"/>
  <c r="I139" i="65" s="1"/>
  <c r="AJ113" i="67"/>
  <c r="K112" i="154"/>
  <c r="T112" i="154" s="1"/>
  <c r="K112" i="153"/>
  <c r="T112" i="153" s="1"/>
  <c r="R121" i="65"/>
  <c r="AW119" i="67" s="1"/>
  <c r="AI119" i="67"/>
  <c r="R117" i="65"/>
  <c r="AW115" i="67" s="1"/>
  <c r="AI115" i="67"/>
  <c r="I129" i="65"/>
  <c r="I141" i="65" s="1"/>
  <c r="AJ115" i="67"/>
  <c r="K110" i="154"/>
  <c r="T110" i="154" s="1"/>
  <c r="K110" i="153"/>
  <c r="T110" i="153" s="1"/>
  <c r="I125" i="65"/>
  <c r="I137" i="65" s="1"/>
  <c r="AJ111" i="67"/>
  <c r="R122" i="65"/>
  <c r="AW120" i="67" s="1"/>
  <c r="AI120" i="67"/>
  <c r="K115" i="154"/>
  <c r="T115" i="154" s="1"/>
  <c r="K115" i="153"/>
  <c r="T115" i="153" s="1"/>
  <c r="K114" i="154"/>
  <c r="T114" i="154" s="1"/>
  <c r="K114" i="153"/>
  <c r="T114" i="153" s="1"/>
  <c r="G42" i="154"/>
  <c r="P42" i="154" s="1"/>
  <c r="G42" i="153"/>
  <c r="P42" i="153" s="1"/>
  <c r="U42" i="153" s="1"/>
  <c r="V42" i="153" s="1"/>
  <c r="W42" i="153" s="1"/>
  <c r="K42" i="75"/>
  <c r="H42" i="28"/>
  <c r="H42" i="38"/>
  <c r="N42" i="38" s="1"/>
  <c r="R120" i="65"/>
  <c r="AW118" i="67" s="1"/>
  <c r="AI118" i="67"/>
  <c r="K113" i="154"/>
  <c r="T113" i="154" s="1"/>
  <c r="K113" i="153"/>
  <c r="T113" i="153" s="1"/>
  <c r="P127" i="76"/>
  <c r="N118" i="34"/>
  <c r="N118" i="30"/>
  <c r="Q118" i="30" s="1"/>
  <c r="N121" i="34"/>
  <c r="N121" i="30"/>
  <c r="Q121" i="30" s="1"/>
  <c r="N120" i="34"/>
  <c r="N120" i="30"/>
  <c r="Q120" i="30" s="1"/>
  <c r="N119" i="30"/>
  <c r="Q119" i="30" s="1"/>
  <c r="N119" i="34"/>
  <c r="U140" i="65"/>
  <c r="U146" i="65"/>
  <c r="S139" i="65"/>
  <c r="S134" i="65"/>
  <c r="S137" i="65"/>
  <c r="M138" i="156" s="1"/>
  <c r="V138" i="156" s="1"/>
  <c r="S133" i="65"/>
  <c r="M134" i="156" s="1"/>
  <c r="V134" i="156" s="1"/>
  <c r="S140" i="65"/>
  <c r="S141" i="65"/>
  <c r="S138" i="65"/>
  <c r="P128" i="76"/>
  <c r="S132" i="65"/>
  <c r="CC43" i="67"/>
  <c r="I43" i="156" s="1"/>
  <c r="N42" i="36"/>
  <c r="N42" i="32"/>
  <c r="N112" i="30"/>
  <c r="Q112" i="30" s="1"/>
  <c r="N110" i="30"/>
  <c r="Q110" i="30" s="1"/>
  <c r="N114" i="30"/>
  <c r="Q114" i="30" s="1"/>
  <c r="N111" i="30"/>
  <c r="Q111" i="30" s="1"/>
  <c r="N115" i="30"/>
  <c r="Q115" i="30" s="1"/>
  <c r="N113" i="30"/>
  <c r="Q113" i="30" s="1"/>
  <c r="P124" i="76"/>
  <c r="P129" i="76"/>
  <c r="L144" i="65"/>
  <c r="T144" i="65" s="1"/>
  <c r="T132" i="65"/>
  <c r="P125" i="76"/>
  <c r="L145" i="65"/>
  <c r="T145" i="65" s="1"/>
  <c r="T133" i="65"/>
  <c r="L147" i="65"/>
  <c r="T135" i="65"/>
  <c r="M147" i="65"/>
  <c r="U147" i="65" s="1"/>
  <c r="U135" i="65"/>
  <c r="T138" i="65"/>
  <c r="P122" i="76"/>
  <c r="S136" i="65"/>
  <c r="U145" i="65"/>
  <c r="S143" i="65"/>
  <c r="S142" i="65"/>
  <c r="S135" i="65"/>
  <c r="P123" i="76"/>
  <c r="L146" i="65"/>
  <c r="T146" i="65" s="1"/>
  <c r="T134" i="65"/>
  <c r="H138" i="65"/>
  <c r="R138" i="65" s="1"/>
  <c r="K147" i="65"/>
  <c r="K145" i="65"/>
  <c r="K146" i="65"/>
  <c r="K144" i="65"/>
  <c r="H129" i="65"/>
  <c r="R129" i="65" s="1"/>
  <c r="R136" i="65"/>
  <c r="H139" i="65"/>
  <c r="R139" i="65" s="1"/>
  <c r="H128" i="65"/>
  <c r="R128" i="65" s="1"/>
  <c r="H131" i="65"/>
  <c r="R131" i="65" s="1"/>
  <c r="H137" i="65"/>
  <c r="R137" i="65" s="1"/>
  <c r="H134" i="65"/>
  <c r="R134" i="65" s="1"/>
  <c r="H142" i="65"/>
  <c r="R142" i="65" s="1"/>
  <c r="H133" i="65"/>
  <c r="R133" i="65" s="1"/>
  <c r="H132" i="65"/>
  <c r="R132" i="65" s="1"/>
  <c r="BR2" i="4"/>
  <c r="BD2" i="4"/>
  <c r="DH2" i="4"/>
  <c r="AB2" i="4"/>
  <c r="CT2" i="4"/>
  <c r="CF2" i="4"/>
  <c r="K141" i="154" l="1"/>
  <c r="T141" i="154" s="1"/>
  <c r="M141" i="156"/>
  <c r="V141" i="156" s="1"/>
  <c r="K136" i="154"/>
  <c r="T136" i="154" s="1"/>
  <c r="M136" i="156"/>
  <c r="V136" i="156" s="1"/>
  <c r="K144" i="154"/>
  <c r="T144" i="154" s="1"/>
  <c r="M144" i="156"/>
  <c r="V144" i="156" s="1"/>
  <c r="K140" i="154"/>
  <c r="T140" i="154" s="1"/>
  <c r="M140" i="156"/>
  <c r="V140" i="156" s="1"/>
  <c r="K143" i="154"/>
  <c r="T143" i="154" s="1"/>
  <c r="M143" i="156"/>
  <c r="V143" i="156" s="1"/>
  <c r="K135" i="154"/>
  <c r="T135" i="154" s="1"/>
  <c r="M135" i="156"/>
  <c r="V135" i="156" s="1"/>
  <c r="H142" i="36"/>
  <c r="O142" i="36" s="1"/>
  <c r="J142" i="77"/>
  <c r="Q142" i="77" s="1"/>
  <c r="J144" i="77"/>
  <c r="Q144" i="77" s="1"/>
  <c r="H144" i="36"/>
  <c r="O144" i="36" s="1"/>
  <c r="J143" i="77"/>
  <c r="Q143" i="77" s="1"/>
  <c r="H143" i="36"/>
  <c r="O143" i="36" s="1"/>
  <c r="K137" i="154"/>
  <c r="T137" i="154" s="1"/>
  <c r="M137" i="156"/>
  <c r="V137" i="156" s="1"/>
  <c r="J145" i="77"/>
  <c r="Q145" i="77" s="1"/>
  <c r="H145" i="36"/>
  <c r="O145" i="36" s="1"/>
  <c r="K133" i="154"/>
  <c r="T133" i="154" s="1"/>
  <c r="M133" i="156"/>
  <c r="V133" i="156" s="1"/>
  <c r="K139" i="154"/>
  <c r="T139" i="154" s="1"/>
  <c r="M139" i="156"/>
  <c r="V139" i="156" s="1"/>
  <c r="K142" i="154"/>
  <c r="T142" i="154" s="1"/>
  <c r="M142" i="156"/>
  <c r="V142" i="156" s="1"/>
  <c r="K119" i="154"/>
  <c r="T119" i="154" s="1"/>
  <c r="K119" i="153"/>
  <c r="T119" i="153" s="1"/>
  <c r="K120" i="154"/>
  <c r="T120" i="154" s="1"/>
  <c r="K120" i="153"/>
  <c r="T120" i="153" s="1"/>
  <c r="G43" i="154"/>
  <c r="P43" i="154" s="1"/>
  <c r="G43" i="153"/>
  <c r="P43" i="153" s="1"/>
  <c r="U43" i="153" s="1"/>
  <c r="V43" i="153" s="1"/>
  <c r="W43" i="153" s="1"/>
  <c r="K43" i="75"/>
  <c r="H43" i="38"/>
  <c r="N43" i="38" s="1"/>
  <c r="H43" i="28"/>
  <c r="K121" i="154"/>
  <c r="T121" i="154" s="1"/>
  <c r="K121" i="153"/>
  <c r="T121" i="153" s="1"/>
  <c r="P131" i="76"/>
  <c r="K134" i="154"/>
  <c r="T134" i="154" s="1"/>
  <c r="P135" i="76"/>
  <c r="K138" i="154"/>
  <c r="T138" i="154" s="1"/>
  <c r="P136" i="76"/>
  <c r="P132" i="76"/>
  <c r="P137" i="76"/>
  <c r="P138" i="76"/>
  <c r="P130" i="76"/>
  <c r="P139" i="76"/>
  <c r="S146" i="65"/>
  <c r="P144" i="76" s="1"/>
  <c r="S145" i="65"/>
  <c r="S144" i="65"/>
  <c r="S147" i="65"/>
  <c r="P145" i="76" s="1"/>
  <c r="CC44" i="67"/>
  <c r="I44" i="156" s="1"/>
  <c r="N43" i="36"/>
  <c r="N43" i="32"/>
  <c r="P134" i="76"/>
  <c r="P133" i="76"/>
  <c r="P140" i="76"/>
  <c r="T147" i="65"/>
  <c r="P141" i="76"/>
  <c r="H143" i="65"/>
  <c r="R143" i="65" s="1"/>
  <c r="H146" i="65"/>
  <c r="R146" i="65" s="1"/>
  <c r="H140" i="65"/>
  <c r="R140" i="65" s="1"/>
  <c r="H144" i="65"/>
  <c r="R144" i="65" s="1"/>
  <c r="H145" i="65"/>
  <c r="R145" i="65" s="1"/>
  <c r="H141" i="65"/>
  <c r="R141" i="65" s="1"/>
  <c r="DI2" i="4"/>
  <c r="CU2" i="4"/>
  <c r="BE2" i="4"/>
  <c r="AC2" i="4"/>
  <c r="CG2" i="4"/>
  <c r="BS2" i="4"/>
  <c r="K145" i="154" l="1"/>
  <c r="T145" i="154" s="1"/>
  <c r="M145" i="156"/>
  <c r="V145" i="156" s="1"/>
  <c r="G44" i="154"/>
  <c r="P44" i="154" s="1"/>
  <c r="G44" i="153"/>
  <c r="P44" i="153" s="1"/>
  <c r="U44" i="153" s="1"/>
  <c r="V44" i="153" s="1"/>
  <c r="W44" i="153" s="1"/>
  <c r="K44" i="75"/>
  <c r="H44" i="38"/>
  <c r="N44" i="38" s="1"/>
  <c r="H44" i="28"/>
  <c r="P142" i="76"/>
  <c r="P143" i="76"/>
  <c r="CC45" i="67"/>
  <c r="I45" i="156" s="1"/>
  <c r="N44" i="36"/>
  <c r="N44" i="32"/>
  <c r="DJ2" i="4"/>
  <c r="BF2" i="4"/>
  <c r="CH2" i="4"/>
  <c r="BT2" i="4"/>
  <c r="AD2" i="4"/>
  <c r="CV2" i="4"/>
  <c r="G45" i="154" l="1"/>
  <c r="P45" i="154" s="1"/>
  <c r="G45" i="153"/>
  <c r="P45" i="153" s="1"/>
  <c r="U45" i="153" s="1"/>
  <c r="V45" i="153" s="1"/>
  <c r="W45" i="153" s="1"/>
  <c r="K45" i="75"/>
  <c r="H45" i="38"/>
  <c r="N45" i="38" s="1"/>
  <c r="H45" i="28"/>
  <c r="CC46" i="67"/>
  <c r="I46" i="156" s="1"/>
  <c r="N45" i="32"/>
  <c r="N45" i="36"/>
  <c r="DK2" i="4"/>
  <c r="CW2" i="4"/>
  <c r="BU2" i="4"/>
  <c r="BG2" i="4"/>
  <c r="AE2" i="4"/>
  <c r="CI2" i="4"/>
  <c r="G46" i="154" l="1"/>
  <c r="P46" i="154" s="1"/>
  <c r="G46" i="153"/>
  <c r="P46" i="153" s="1"/>
  <c r="U46" i="153" s="1"/>
  <c r="V46" i="153" s="1"/>
  <c r="W46" i="153" s="1"/>
  <c r="H46" i="28"/>
  <c r="K46" i="75"/>
  <c r="H46" i="38"/>
  <c r="N46" i="38" s="1"/>
  <c r="CC47" i="67"/>
  <c r="I47" i="156" s="1"/>
  <c r="N46" i="36"/>
  <c r="N46" i="32"/>
  <c r="P52" i="17"/>
  <c r="H52" i="17"/>
  <c r="S52" i="17"/>
  <c r="E52" i="17"/>
  <c r="AD52" i="17"/>
  <c r="AA52" i="17"/>
  <c r="DL2" i="4"/>
  <c r="BH2" i="4"/>
  <c r="CX2" i="4"/>
  <c r="AF2" i="4"/>
  <c r="BV2" i="4"/>
  <c r="CJ2" i="4"/>
  <c r="C73" i="4"/>
  <c r="C85" i="4" s="1"/>
  <c r="C97" i="4" s="1"/>
  <c r="C109" i="4" s="1"/>
  <c r="C121" i="4" s="1"/>
  <c r="B73" i="4"/>
  <c r="B85" i="4" s="1"/>
  <c r="B97" i="4" s="1"/>
  <c r="B109" i="4" s="1"/>
  <c r="B121" i="4" s="1"/>
  <c r="C72" i="4"/>
  <c r="C84" i="4" s="1"/>
  <c r="C96" i="4" s="1"/>
  <c r="C108" i="4" s="1"/>
  <c r="C120" i="4" s="1"/>
  <c r="B72" i="4"/>
  <c r="B84" i="4" s="1"/>
  <c r="B96" i="4" s="1"/>
  <c r="B108" i="4" s="1"/>
  <c r="B120" i="4" s="1"/>
  <c r="C71" i="4"/>
  <c r="C83" i="4" s="1"/>
  <c r="C95" i="4" s="1"/>
  <c r="C107" i="4" s="1"/>
  <c r="C119" i="4" s="1"/>
  <c r="B71" i="4"/>
  <c r="B83" i="4" s="1"/>
  <c r="B95" i="4" s="1"/>
  <c r="B107" i="4" s="1"/>
  <c r="B119" i="4" s="1"/>
  <c r="C70" i="4"/>
  <c r="C82" i="4" s="1"/>
  <c r="C94" i="4" s="1"/>
  <c r="C106" i="4" s="1"/>
  <c r="C118" i="4" s="1"/>
  <c r="B70" i="4"/>
  <c r="B82" i="4" s="1"/>
  <c r="B94" i="4" s="1"/>
  <c r="B106" i="4" s="1"/>
  <c r="B118" i="4" s="1"/>
  <c r="C69" i="4"/>
  <c r="C81" i="4" s="1"/>
  <c r="C93" i="4" s="1"/>
  <c r="C105" i="4" s="1"/>
  <c r="C117" i="4" s="1"/>
  <c r="B69" i="4"/>
  <c r="B81" i="4" s="1"/>
  <c r="B93" i="4" s="1"/>
  <c r="B105" i="4" s="1"/>
  <c r="B117" i="4" s="1"/>
  <c r="C68" i="4"/>
  <c r="C80" i="4" s="1"/>
  <c r="C92" i="4" s="1"/>
  <c r="C104" i="4" s="1"/>
  <c r="C116" i="4" s="1"/>
  <c r="B68" i="4"/>
  <c r="B80" i="4" s="1"/>
  <c r="B92" i="4" s="1"/>
  <c r="B104" i="4" s="1"/>
  <c r="B116" i="4" s="1"/>
  <c r="C67" i="4"/>
  <c r="C79" i="4" s="1"/>
  <c r="C91" i="4" s="1"/>
  <c r="C103" i="4" s="1"/>
  <c r="C115" i="4" s="1"/>
  <c r="B67" i="4"/>
  <c r="B79" i="4" s="1"/>
  <c r="B91" i="4" s="1"/>
  <c r="B103" i="4" s="1"/>
  <c r="B115" i="4" s="1"/>
  <c r="C66" i="4"/>
  <c r="C78" i="4" s="1"/>
  <c r="C90" i="4" s="1"/>
  <c r="C102" i="4" s="1"/>
  <c r="C114" i="4" s="1"/>
  <c r="B66" i="4"/>
  <c r="B78" i="4" s="1"/>
  <c r="B90" i="4" s="1"/>
  <c r="B102" i="4" s="1"/>
  <c r="B114" i="4" s="1"/>
  <c r="C65" i="4"/>
  <c r="C77" i="4" s="1"/>
  <c r="C89" i="4" s="1"/>
  <c r="C101" i="4" s="1"/>
  <c r="C113" i="4" s="1"/>
  <c r="B65" i="4"/>
  <c r="B77" i="4" s="1"/>
  <c r="B89" i="4" s="1"/>
  <c r="B101" i="4" s="1"/>
  <c r="B113" i="4" s="1"/>
  <c r="C64" i="4"/>
  <c r="C76" i="4" s="1"/>
  <c r="C88" i="4" s="1"/>
  <c r="C100" i="4" s="1"/>
  <c r="C112" i="4" s="1"/>
  <c r="B64" i="4"/>
  <c r="B76" i="4" s="1"/>
  <c r="B88" i="4" s="1"/>
  <c r="B100" i="4" s="1"/>
  <c r="B112" i="4" s="1"/>
  <c r="C63" i="4"/>
  <c r="C75" i="4" s="1"/>
  <c r="C87" i="4" s="1"/>
  <c r="C99" i="4" s="1"/>
  <c r="C111" i="4" s="1"/>
  <c r="B63" i="4"/>
  <c r="B75" i="4" s="1"/>
  <c r="B87" i="4" s="1"/>
  <c r="B99" i="4" s="1"/>
  <c r="B111" i="4" s="1"/>
  <c r="C62" i="4"/>
  <c r="C74" i="4" s="1"/>
  <c r="C86" i="4" s="1"/>
  <c r="C98" i="4" s="1"/>
  <c r="C110" i="4" s="1"/>
  <c r="B62" i="4"/>
  <c r="G47" i="153" l="1"/>
  <c r="P47" i="153" s="1"/>
  <c r="U47" i="153" s="1"/>
  <c r="V47" i="153" s="1"/>
  <c r="W47" i="153" s="1"/>
  <c r="G47" i="154"/>
  <c r="P47" i="154" s="1"/>
  <c r="H47" i="38"/>
  <c r="N47" i="38" s="1"/>
  <c r="H47" i="28"/>
  <c r="K47" i="75"/>
  <c r="CC48" i="67"/>
  <c r="I48" i="156" s="1"/>
  <c r="N47" i="36"/>
  <c r="N47" i="32"/>
  <c r="DM2" i="4"/>
  <c r="BI2" i="4"/>
  <c r="CY2" i="4"/>
  <c r="B74" i="4"/>
  <c r="AG2" i="4"/>
  <c r="BW2" i="4"/>
  <c r="CK2" i="4"/>
  <c r="B51" i="65"/>
  <c r="B50" i="65"/>
  <c r="B49" i="65"/>
  <c r="B48" i="65"/>
  <c r="B47" i="65"/>
  <c r="B46" i="65"/>
  <c r="B45" i="65"/>
  <c r="B44" i="65"/>
  <c r="B43" i="65"/>
  <c r="B42" i="65"/>
  <c r="B41" i="65"/>
  <c r="B40" i="65"/>
  <c r="B39" i="65"/>
  <c r="B38" i="65"/>
  <c r="B37" i="65"/>
  <c r="B36" i="65"/>
  <c r="B35" i="65"/>
  <c r="B34" i="65"/>
  <c r="B33" i="65"/>
  <c r="B32" i="65"/>
  <c r="B31" i="65"/>
  <c r="B30" i="65"/>
  <c r="B29" i="65"/>
  <c r="B28" i="65"/>
  <c r="B27" i="65"/>
  <c r="B26" i="65"/>
  <c r="B25" i="65"/>
  <c r="B24" i="65"/>
  <c r="B23" i="65"/>
  <c r="B22" i="65"/>
  <c r="B21" i="65"/>
  <c r="B20" i="65"/>
  <c r="B19" i="65"/>
  <c r="B18" i="65"/>
  <c r="B17" i="65"/>
  <c r="B16" i="65"/>
  <c r="B15" i="65"/>
  <c r="B14" i="65"/>
  <c r="B13" i="65"/>
  <c r="B12" i="65"/>
  <c r="B11" i="65"/>
  <c r="B10" i="65"/>
  <c r="B9" i="65"/>
  <c r="B8" i="65"/>
  <c r="B7" i="65"/>
  <c r="B6" i="65"/>
  <c r="B5" i="65"/>
  <c r="B4" i="65"/>
  <c r="G48" i="154" l="1"/>
  <c r="P48" i="154" s="1"/>
  <c r="H48" i="38"/>
  <c r="N48" i="38" s="1"/>
  <c r="H48" i="28"/>
  <c r="K48" i="75"/>
  <c r="G48" i="153"/>
  <c r="P48" i="153" s="1"/>
  <c r="U48" i="153" s="1"/>
  <c r="V48" i="153" s="1"/>
  <c r="W48" i="153" s="1"/>
  <c r="CC49" i="67"/>
  <c r="I49" i="156" s="1"/>
  <c r="N48" i="36"/>
  <c r="N48" i="32"/>
  <c r="B86" i="4"/>
  <c r="BZ5" i="4"/>
  <c r="BJ2" i="4"/>
  <c r="CZ2" i="4"/>
  <c r="BX2" i="4"/>
  <c r="CL2" i="4"/>
  <c r="DN2" i="4"/>
  <c r="G49" i="153" l="1"/>
  <c r="P49" i="153" s="1"/>
  <c r="U49" i="153" s="1"/>
  <c r="V49" i="153" s="1"/>
  <c r="W49" i="153" s="1"/>
  <c r="G49" i="154"/>
  <c r="P49" i="154" s="1"/>
  <c r="K49" i="75"/>
  <c r="H49" i="28"/>
  <c r="H49" i="38"/>
  <c r="N49" i="38" s="1"/>
  <c r="CC50" i="67"/>
  <c r="I50" i="156" s="1"/>
  <c r="N49" i="36"/>
  <c r="N49" i="32"/>
  <c r="CN5" i="4"/>
  <c r="B98" i="4"/>
  <c r="BZ6" i="4"/>
  <c r="BL5" i="4"/>
  <c r="AJ5" i="4"/>
  <c r="AX5" i="4"/>
  <c r="DB5" i="4"/>
  <c r="BZ19" i="4"/>
  <c r="BL19" i="4"/>
  <c r="AJ19" i="4"/>
  <c r="DB19" i="4"/>
  <c r="AX19" i="4"/>
  <c r="CN19" i="4"/>
  <c r="G50" i="154" l="1"/>
  <c r="P50" i="154" s="1"/>
  <c r="G50" i="153"/>
  <c r="P50" i="153" s="1"/>
  <c r="U50" i="153" s="1"/>
  <c r="K50" i="75"/>
  <c r="H50" i="28"/>
  <c r="H50" i="38"/>
  <c r="N50" i="38" s="1"/>
  <c r="BR4" i="4"/>
  <c r="CR4" i="4"/>
  <c r="CF5" i="4"/>
  <c r="W13" i="4"/>
  <c r="AG27" i="4"/>
  <c r="CJ18" i="4"/>
  <c r="DF18" i="4"/>
  <c r="CC5" i="4"/>
  <c r="Z13" i="4"/>
  <c r="BC4" i="4"/>
  <c r="AU4" i="4"/>
  <c r="CG18" i="4"/>
  <c r="DM4" i="4"/>
  <c r="CZ18" i="4"/>
  <c r="W26" i="4"/>
  <c r="W4" i="4"/>
  <c r="DN18" i="4"/>
  <c r="X12" i="4"/>
  <c r="DM18" i="4"/>
  <c r="CR18" i="4"/>
  <c r="W12" i="4"/>
  <c r="AG26" i="4"/>
  <c r="CW4" i="4"/>
  <c r="DI4" i="4"/>
  <c r="DL18" i="4"/>
  <c r="CQ18" i="4"/>
  <c r="AB27" i="4"/>
  <c r="CV4" i="4"/>
  <c r="DH4" i="4"/>
  <c r="DK18" i="4"/>
  <c r="X13" i="4"/>
  <c r="CT4" i="4"/>
  <c r="DG4" i="4"/>
  <c r="CE5" i="4"/>
  <c r="CY18" i="4"/>
  <c r="X25" i="4"/>
  <c r="X23" i="4"/>
  <c r="CP4" i="4"/>
  <c r="DF4" i="4"/>
  <c r="CI5" i="4"/>
  <c r="CX18" i="4"/>
  <c r="W8" i="4"/>
  <c r="X19" i="4"/>
  <c r="CZ4" i="4"/>
  <c r="CW18" i="4"/>
  <c r="W11" i="4"/>
  <c r="AB26" i="4"/>
  <c r="AR4" i="4"/>
  <c r="BX4" i="4"/>
  <c r="CH18" i="4"/>
  <c r="CX4" i="4"/>
  <c r="CL4" i="4"/>
  <c r="CK5" i="4"/>
  <c r="CT18" i="4"/>
  <c r="AA26" i="4"/>
  <c r="X27" i="4"/>
  <c r="AF18" i="4"/>
  <c r="AP4" i="4"/>
  <c r="BT4" i="4"/>
  <c r="CU4" i="4"/>
  <c r="DJ18" i="4"/>
  <c r="CH5" i="4"/>
  <c r="CS18" i="4"/>
  <c r="W25" i="4"/>
  <c r="W5" i="4"/>
  <c r="AO4" i="4"/>
  <c r="BS4" i="4"/>
  <c r="CC18" i="4"/>
  <c r="CS4" i="4"/>
  <c r="DI18" i="4"/>
  <c r="CG5" i="4"/>
  <c r="W27" i="4"/>
  <c r="X8" i="4"/>
  <c r="W24" i="4"/>
  <c r="B110" i="4"/>
  <c r="BO18" i="4" s="1"/>
  <c r="AE13" i="4"/>
  <c r="X6" i="4"/>
  <c r="CH4" i="4"/>
  <c r="Z27" i="4"/>
  <c r="X24" i="4"/>
  <c r="CD4" i="4"/>
  <c r="W20" i="4"/>
  <c r="CB4" i="4"/>
  <c r="X22" i="4"/>
  <c r="CC4" i="4"/>
  <c r="CJ4" i="4"/>
  <c r="X18" i="4"/>
  <c r="CE4" i="4"/>
  <c r="Z26" i="4"/>
  <c r="AC26" i="4"/>
  <c r="CI4" i="4"/>
  <c r="W22" i="4"/>
  <c r="AF13" i="4"/>
  <c r="CF4" i="4"/>
  <c r="W18" i="4"/>
  <c r="W7" i="4"/>
  <c r="CG4" i="4"/>
  <c r="X5" i="4"/>
  <c r="Y27" i="4"/>
  <c r="W6" i="4"/>
  <c r="AA13" i="4"/>
  <c r="AD26" i="4"/>
  <c r="AC13" i="4"/>
  <c r="W19" i="4"/>
  <c r="Y13" i="4"/>
  <c r="AF26" i="4"/>
  <c r="X21" i="4"/>
  <c r="W10" i="4"/>
  <c r="CK4" i="4"/>
  <c r="AD13" i="4"/>
  <c r="X10" i="4"/>
  <c r="W9" i="4"/>
  <c r="AE27" i="4"/>
  <c r="X20" i="4"/>
  <c r="X7" i="4"/>
  <c r="AB13" i="4"/>
  <c r="AG13" i="4"/>
  <c r="BM4" i="4"/>
  <c r="V22" i="4"/>
  <c r="V21" i="4"/>
  <c r="CI19" i="4"/>
  <c r="CJ19" i="4"/>
  <c r="CK19" i="4"/>
  <c r="CA19" i="4"/>
  <c r="CB19" i="4"/>
  <c r="CC19" i="4"/>
  <c r="CD19" i="4"/>
  <c r="CE19" i="4"/>
  <c r="CF19" i="4"/>
  <c r="CG19" i="4"/>
  <c r="CH19" i="4"/>
  <c r="CL19" i="4"/>
  <c r="V6" i="4"/>
  <c r="CX19" i="4"/>
  <c r="CY19" i="4"/>
  <c r="CZ19" i="4"/>
  <c r="CP19" i="4"/>
  <c r="CQ19" i="4"/>
  <c r="CR19" i="4"/>
  <c r="CS19" i="4"/>
  <c r="CO19" i="4"/>
  <c r="CT19" i="4"/>
  <c r="CU19" i="4"/>
  <c r="CV19" i="4"/>
  <c r="CW19" i="4"/>
  <c r="DH5" i="4"/>
  <c r="DI5" i="4"/>
  <c r="DJ5" i="4"/>
  <c r="DK5" i="4"/>
  <c r="DL5" i="4"/>
  <c r="DM5" i="4"/>
  <c r="DN5" i="4"/>
  <c r="DD5" i="4"/>
  <c r="DE5" i="4"/>
  <c r="DF5" i="4"/>
  <c r="DC5" i="4"/>
  <c r="DG5" i="4"/>
  <c r="V13" i="4"/>
  <c r="CA4" i="4"/>
  <c r="CG6" i="4"/>
  <c r="CH6" i="4"/>
  <c r="CI6" i="4"/>
  <c r="CK6" i="4"/>
  <c r="CA6" i="4"/>
  <c r="CL6" i="4"/>
  <c r="CF6" i="4"/>
  <c r="CB6" i="4"/>
  <c r="CC6" i="4"/>
  <c r="CD6" i="4"/>
  <c r="CE6" i="4"/>
  <c r="CJ6" i="4"/>
  <c r="V27" i="4"/>
  <c r="V24" i="4"/>
  <c r="V25" i="4"/>
  <c r="V5" i="4"/>
  <c r="V23" i="4"/>
  <c r="DC18" i="4"/>
  <c r="CA5" i="4"/>
  <c r="V11" i="4"/>
  <c r="V12" i="4"/>
  <c r="CR5" i="4"/>
  <c r="CS5" i="4"/>
  <c r="CT5" i="4"/>
  <c r="CV5" i="4"/>
  <c r="CW5" i="4"/>
  <c r="CX5" i="4"/>
  <c r="CZ5" i="4"/>
  <c r="CP5" i="4"/>
  <c r="CQ5" i="4"/>
  <c r="CU5" i="4"/>
  <c r="CY5" i="4"/>
  <c r="CO5" i="4"/>
  <c r="V9" i="4"/>
  <c r="V4" i="4"/>
  <c r="V8" i="4"/>
  <c r="V26" i="4"/>
  <c r="V10" i="4"/>
  <c r="CA18" i="4"/>
  <c r="CO4" i="4"/>
  <c r="V7" i="4"/>
  <c r="DC19" i="4"/>
  <c r="DD19" i="4"/>
  <c r="DE19" i="4"/>
  <c r="DF19" i="4"/>
  <c r="DG19" i="4"/>
  <c r="DH19" i="4"/>
  <c r="DI19" i="4"/>
  <c r="DJ19" i="4"/>
  <c r="DK19" i="4"/>
  <c r="DL19" i="4"/>
  <c r="DM19" i="4"/>
  <c r="DN19" i="4"/>
  <c r="DC4" i="4"/>
  <c r="CO18" i="4"/>
  <c r="CC51" i="67"/>
  <c r="I51" i="156" s="1"/>
  <c r="N50" i="36"/>
  <c r="N50" i="32"/>
  <c r="BZ7" i="4"/>
  <c r="BL6" i="4"/>
  <c r="BS5" i="4"/>
  <c r="BN5" i="4"/>
  <c r="BO5" i="4"/>
  <c r="BW5" i="4"/>
  <c r="BX5" i="4"/>
  <c r="BP5" i="4"/>
  <c r="BQ5" i="4"/>
  <c r="BR5" i="4"/>
  <c r="BT5" i="4"/>
  <c r="BU5" i="4"/>
  <c r="BM5" i="4"/>
  <c r="BV5" i="4"/>
  <c r="CN6" i="4"/>
  <c r="AX6" i="4"/>
  <c r="BI5" i="4"/>
  <c r="BD5" i="4"/>
  <c r="AZ5" i="4"/>
  <c r="BA5" i="4"/>
  <c r="BF5" i="4"/>
  <c r="BG5" i="4"/>
  <c r="BH5" i="4"/>
  <c r="AY5" i="4"/>
  <c r="BJ5" i="4"/>
  <c r="BB5" i="4"/>
  <c r="BC5" i="4"/>
  <c r="BE5" i="4"/>
  <c r="DB6" i="4"/>
  <c r="AJ6" i="4"/>
  <c r="AO5" i="4"/>
  <c r="AK5" i="4"/>
  <c r="AR5" i="4"/>
  <c r="AL5" i="4"/>
  <c r="AM5" i="4"/>
  <c r="AN5" i="4"/>
  <c r="AP5" i="4"/>
  <c r="AQ5" i="4"/>
  <c r="AS5" i="4"/>
  <c r="AT5" i="4"/>
  <c r="AV5" i="4"/>
  <c r="AU5" i="4"/>
  <c r="Y19" i="4"/>
  <c r="Z19" i="4"/>
  <c r="AA19" i="4"/>
  <c r="AC19" i="4"/>
  <c r="AB19" i="4"/>
  <c r="AD19" i="4"/>
  <c r="AF19" i="4"/>
  <c r="AE19" i="4"/>
  <c r="AG19" i="4"/>
  <c r="DB20" i="4"/>
  <c r="CN20" i="4"/>
  <c r="BL20" i="4"/>
  <c r="BP19" i="4"/>
  <c r="BN19" i="4"/>
  <c r="BQ19" i="4"/>
  <c r="BT19" i="4"/>
  <c r="BU19" i="4"/>
  <c r="BV19" i="4"/>
  <c r="BO19" i="4"/>
  <c r="BR19" i="4"/>
  <c r="BS19" i="4"/>
  <c r="BW19" i="4"/>
  <c r="BX19" i="4"/>
  <c r="BM19" i="4"/>
  <c r="AJ20" i="4"/>
  <c r="AR19" i="4"/>
  <c r="AS19" i="4"/>
  <c r="AV19" i="4"/>
  <c r="AL19" i="4"/>
  <c r="AM19" i="4"/>
  <c r="AP19" i="4"/>
  <c r="AQ19" i="4"/>
  <c r="AT19" i="4"/>
  <c r="AN19" i="4"/>
  <c r="AO19" i="4"/>
  <c r="AK19" i="4"/>
  <c r="AU19" i="4"/>
  <c r="AX20" i="4"/>
  <c r="BB19" i="4"/>
  <c r="BH19" i="4"/>
  <c r="BI19" i="4"/>
  <c r="BJ19" i="4"/>
  <c r="BD19" i="4"/>
  <c r="BA19" i="4"/>
  <c r="BC19" i="4"/>
  <c r="AZ19" i="4"/>
  <c r="AY19" i="4"/>
  <c r="BG19" i="4"/>
  <c r="BE19" i="4"/>
  <c r="BF19" i="4"/>
  <c r="BZ20" i="4"/>
  <c r="Y5" i="4"/>
  <c r="Z5" i="4"/>
  <c r="AA5" i="4"/>
  <c r="AB5" i="4"/>
  <c r="AC5" i="4"/>
  <c r="AD5" i="4"/>
  <c r="AF5" i="4"/>
  <c r="AE5" i="4"/>
  <c r="AG5" i="4"/>
  <c r="V50" i="153" l="1"/>
  <c r="W50" i="153" s="1"/>
  <c r="DE18" i="4"/>
  <c r="CK18" i="4"/>
  <c r="CV18" i="4"/>
  <c r="DN4" i="4"/>
  <c r="BP4" i="4"/>
  <c r="CI18" i="4"/>
  <c r="AQ4" i="4"/>
  <c r="DL4" i="4"/>
  <c r="BN4" i="4"/>
  <c r="AE26" i="4"/>
  <c r="X4" i="4"/>
  <c r="X14" i="4" s="1"/>
  <c r="X15" i="4" s="1"/>
  <c r="CF18" i="4"/>
  <c r="W23" i="4"/>
  <c r="X11" i="4"/>
  <c r="DH18" i="4"/>
  <c r="DD18" i="4"/>
  <c r="DJ4" i="4"/>
  <c r="CB18" i="4"/>
  <c r="BO4" i="4"/>
  <c r="AD27" i="4"/>
  <c r="DK4" i="4"/>
  <c r="X9" i="4"/>
  <c r="CD5" i="4"/>
  <c r="CD18" i="4"/>
  <c r="CJ5" i="4"/>
  <c r="W21" i="4"/>
  <c r="CE18" i="4"/>
  <c r="X26" i="4"/>
  <c r="X28" i="4" s="1"/>
  <c r="X29" i="4" s="1"/>
  <c r="DG18" i="4"/>
  <c r="DE4" i="4"/>
  <c r="CP18" i="4"/>
  <c r="AC27" i="4"/>
  <c r="CB5" i="4"/>
  <c r="CQ4" i="4"/>
  <c r="AL4" i="4"/>
  <c r="BD4" i="4"/>
  <c r="AG18" i="4"/>
  <c r="BB18" i="4"/>
  <c r="AA4" i="4"/>
  <c r="BC18" i="4"/>
  <c r="AC4" i="4"/>
  <c r="BW18" i="4"/>
  <c r="BG4" i="4"/>
  <c r="AC18" i="4"/>
  <c r="AV18" i="4"/>
  <c r="AB4" i="4"/>
  <c r="BG18" i="4"/>
  <c r="BH4" i="4"/>
  <c r="AD18" i="4"/>
  <c r="AL18" i="4"/>
  <c r="BE18" i="4"/>
  <c r="BF4" i="4"/>
  <c r="BJ4" i="4"/>
  <c r="AE18" i="4"/>
  <c r="AM18" i="4"/>
  <c r="BD18" i="4"/>
  <c r="AZ4" i="4"/>
  <c r="AP18" i="4"/>
  <c r="BH18" i="4"/>
  <c r="BI18" i="4"/>
  <c r="BQ4" i="4"/>
  <c r="BA4" i="4"/>
  <c r="BX18" i="4"/>
  <c r="AR18" i="4"/>
  <c r="BF18" i="4"/>
  <c r="BS18" i="4"/>
  <c r="AQ18" i="4"/>
  <c r="AA27" i="4"/>
  <c r="BU4" i="4"/>
  <c r="BB4" i="4"/>
  <c r="AS18" i="4"/>
  <c r="AF27" i="4"/>
  <c r="BV4" i="4"/>
  <c r="BE4" i="4"/>
  <c r="BT18" i="4"/>
  <c r="AT18" i="4"/>
  <c r="CU18" i="4"/>
  <c r="BW4" i="4"/>
  <c r="BI4" i="4"/>
  <c r="BU18" i="4"/>
  <c r="AO18" i="4"/>
  <c r="AZ18" i="4"/>
  <c r="CL5" i="4"/>
  <c r="DD4" i="4"/>
  <c r="AM4" i="4"/>
  <c r="BP18" i="4"/>
  <c r="AU18" i="4"/>
  <c r="AD4" i="4"/>
  <c r="AF4" i="4"/>
  <c r="CY4" i="4"/>
  <c r="AS4" i="4"/>
  <c r="BQ18" i="4"/>
  <c r="AN18" i="4"/>
  <c r="AG4" i="4"/>
  <c r="BA18" i="4"/>
  <c r="CL18" i="4"/>
  <c r="AT4" i="4"/>
  <c r="Z18" i="4"/>
  <c r="BV18" i="4"/>
  <c r="AE4" i="4"/>
  <c r="AV4" i="4"/>
  <c r="Y18" i="4"/>
  <c r="BR18" i="4"/>
  <c r="Z4" i="4"/>
  <c r="AN4" i="4"/>
  <c r="AA18" i="4"/>
  <c r="BN18" i="4"/>
  <c r="BJ18" i="4"/>
  <c r="Y4" i="4"/>
  <c r="AB18" i="4"/>
  <c r="AK4" i="4"/>
  <c r="G51" i="154"/>
  <c r="P51" i="154" s="1"/>
  <c r="G51" i="153"/>
  <c r="P51" i="153" s="1"/>
  <c r="U51" i="153" s="1"/>
  <c r="V51" i="153" s="1"/>
  <c r="W51" i="153" s="1"/>
  <c r="K51" i="75"/>
  <c r="H51" i="38"/>
  <c r="N51" i="38" s="1"/>
  <c r="H51" i="28"/>
  <c r="V19" i="4"/>
  <c r="V18" i="4"/>
  <c r="V28" i="4" s="1"/>
  <c r="V29" i="4" s="1"/>
  <c r="V20" i="4"/>
  <c r="W14" i="4"/>
  <c r="W15" i="4" s="1"/>
  <c r="W28" i="4"/>
  <c r="W29" i="4" s="1"/>
  <c r="AK18" i="4"/>
  <c r="AY4" i="4"/>
  <c r="AY18" i="4"/>
  <c r="BM18" i="4"/>
  <c r="CQ20" i="4"/>
  <c r="CR20" i="4"/>
  <c r="CS20" i="4"/>
  <c r="CU20" i="4"/>
  <c r="CV20" i="4"/>
  <c r="CW20" i="4"/>
  <c r="CX20" i="4"/>
  <c r="CY20" i="4"/>
  <c r="CO20" i="4"/>
  <c r="CZ20" i="4"/>
  <c r="CP20" i="4"/>
  <c r="CT20" i="4"/>
  <c r="DM6" i="4"/>
  <c r="DN6" i="4"/>
  <c r="DE6" i="4"/>
  <c r="DF6" i="4"/>
  <c r="DG6" i="4"/>
  <c r="DH6" i="4"/>
  <c r="DI6" i="4"/>
  <c r="DJ6" i="4"/>
  <c r="DK6" i="4"/>
  <c r="DL6" i="4"/>
  <c r="DC6" i="4"/>
  <c r="DD6" i="4"/>
  <c r="CA20" i="4"/>
  <c r="CB20" i="4"/>
  <c r="CC20" i="4"/>
  <c r="CE20" i="4"/>
  <c r="CF20" i="4"/>
  <c r="CG20" i="4"/>
  <c r="CH20" i="4"/>
  <c r="CI20" i="4"/>
  <c r="CJ20" i="4"/>
  <c r="CK20" i="4"/>
  <c r="CL20" i="4"/>
  <c r="CD20" i="4"/>
  <c r="DE20" i="4"/>
  <c r="DF20" i="4"/>
  <c r="DG20" i="4"/>
  <c r="DC20" i="4"/>
  <c r="DH20" i="4"/>
  <c r="DI20" i="4"/>
  <c r="DJ20" i="4"/>
  <c r="DK20" i="4"/>
  <c r="DL20" i="4"/>
  <c r="DM20" i="4"/>
  <c r="DN20" i="4"/>
  <c r="DD20" i="4"/>
  <c r="V14" i="4"/>
  <c r="V15" i="4" s="1"/>
  <c r="CL7" i="4"/>
  <c r="CA7" i="4"/>
  <c r="CB7" i="4"/>
  <c r="CK7" i="4"/>
  <c r="CE7" i="4"/>
  <c r="CD7" i="4"/>
  <c r="CG7" i="4"/>
  <c r="CH7" i="4"/>
  <c r="CJ7" i="4"/>
  <c r="CC7" i="4"/>
  <c r="CF7" i="4"/>
  <c r="CI7" i="4"/>
  <c r="CW6" i="4"/>
  <c r="CX6" i="4"/>
  <c r="CY6" i="4"/>
  <c r="CO6" i="4"/>
  <c r="CR6" i="4"/>
  <c r="CS6" i="4"/>
  <c r="CT6" i="4"/>
  <c r="CU6" i="4"/>
  <c r="CV6" i="4"/>
  <c r="CZ6" i="4"/>
  <c r="CP6" i="4"/>
  <c r="CQ6" i="4"/>
  <c r="CC52" i="67"/>
  <c r="I52" i="156" s="1"/>
  <c r="N51" i="36"/>
  <c r="N51" i="32"/>
  <c r="AW5" i="4"/>
  <c r="AW19" i="4"/>
  <c r="AX7" i="4"/>
  <c r="BI6" i="4"/>
  <c r="AY6" i="4"/>
  <c r="BC6" i="4"/>
  <c r="BD6" i="4"/>
  <c r="BF6" i="4"/>
  <c r="BG6" i="4"/>
  <c r="BH6" i="4"/>
  <c r="AZ6" i="4"/>
  <c r="BA6" i="4"/>
  <c r="BB6" i="4"/>
  <c r="BE6" i="4"/>
  <c r="BJ6" i="4"/>
  <c r="BZ8" i="4"/>
  <c r="DB7" i="4"/>
  <c r="BL7" i="4"/>
  <c r="BX6" i="4"/>
  <c r="BS6" i="4"/>
  <c r="BT6" i="4"/>
  <c r="BO6" i="4"/>
  <c r="BP6" i="4"/>
  <c r="BQ6" i="4"/>
  <c r="BW6" i="4"/>
  <c r="BU6" i="4"/>
  <c r="BV6" i="4"/>
  <c r="BM6" i="4"/>
  <c r="BR6" i="4"/>
  <c r="BN6" i="4"/>
  <c r="AJ7" i="4"/>
  <c r="AT6" i="4"/>
  <c r="AM6" i="4"/>
  <c r="AN6" i="4"/>
  <c r="AO6" i="4"/>
  <c r="AP6" i="4"/>
  <c r="AQ6" i="4"/>
  <c r="AR6" i="4"/>
  <c r="AK6" i="4"/>
  <c r="AL6" i="4"/>
  <c r="AS6" i="4"/>
  <c r="AU6" i="4"/>
  <c r="AV6" i="4"/>
  <c r="CN7" i="4"/>
  <c r="BZ21" i="4"/>
  <c r="AJ21" i="4"/>
  <c r="AP20" i="4"/>
  <c r="AQ20" i="4"/>
  <c r="AK20" i="4"/>
  <c r="AR20" i="4"/>
  <c r="AS20" i="4"/>
  <c r="AU20" i="4"/>
  <c r="AL20" i="4"/>
  <c r="AO20" i="4"/>
  <c r="AM20" i="4"/>
  <c r="AN20" i="4"/>
  <c r="AT20" i="4"/>
  <c r="AV20" i="4"/>
  <c r="BL21" i="4"/>
  <c r="BR20" i="4"/>
  <c r="BU20" i="4"/>
  <c r="BO20" i="4"/>
  <c r="BP20" i="4"/>
  <c r="BQ20" i="4"/>
  <c r="BT20" i="4"/>
  <c r="BV20" i="4"/>
  <c r="BW20" i="4"/>
  <c r="BX20" i="4"/>
  <c r="BM20" i="4"/>
  <c r="BN20" i="4"/>
  <c r="BS20" i="4"/>
  <c r="DB21" i="4"/>
  <c r="AX21" i="4"/>
  <c r="BD20" i="4"/>
  <c r="BA20" i="4"/>
  <c r="BF20" i="4"/>
  <c r="BG20" i="4"/>
  <c r="BH20" i="4"/>
  <c r="BI20" i="4"/>
  <c r="BJ20" i="4"/>
  <c r="AY20" i="4"/>
  <c r="BC20" i="4"/>
  <c r="AZ20" i="4"/>
  <c r="BB20" i="4"/>
  <c r="BE20" i="4"/>
  <c r="CN21" i="4"/>
  <c r="Z20" i="4"/>
  <c r="AE20" i="4"/>
  <c r="AF20" i="4"/>
  <c r="AG20" i="4"/>
  <c r="Y20" i="4"/>
  <c r="AC20" i="4"/>
  <c r="AA20" i="4"/>
  <c r="AB20" i="4"/>
  <c r="AD20" i="4"/>
  <c r="AA6" i="4"/>
  <c r="AB6" i="4"/>
  <c r="AC6" i="4"/>
  <c r="AD6" i="4"/>
  <c r="AE6" i="4"/>
  <c r="Y6" i="4"/>
  <c r="Z6" i="4"/>
  <c r="AF6" i="4"/>
  <c r="AG6" i="4"/>
  <c r="AW4" i="4" l="1"/>
  <c r="AW18" i="4"/>
  <c r="G52" i="154"/>
  <c r="P52" i="154" s="1"/>
  <c r="G52" i="153"/>
  <c r="P52" i="153" s="1"/>
  <c r="U52" i="153" s="1"/>
  <c r="V52" i="153" s="1"/>
  <c r="W52" i="153" s="1"/>
  <c r="K52" i="75"/>
  <c r="H52" i="38"/>
  <c r="N52" i="38" s="1"/>
  <c r="H52" i="28"/>
  <c r="DC7" i="4"/>
  <c r="DD7" i="4"/>
  <c r="DE7" i="4"/>
  <c r="DF7" i="4"/>
  <c r="DG7" i="4"/>
  <c r="DH7" i="4"/>
  <c r="DJ7" i="4"/>
  <c r="DK7" i="4"/>
  <c r="DL7" i="4"/>
  <c r="DM7" i="4"/>
  <c r="DN7" i="4"/>
  <c r="DI7" i="4"/>
  <c r="CB8" i="4"/>
  <c r="CC8" i="4"/>
  <c r="CE8" i="4"/>
  <c r="CF8" i="4"/>
  <c r="CG8" i="4"/>
  <c r="CD8" i="4"/>
  <c r="CI8" i="4"/>
  <c r="CJ8" i="4"/>
  <c r="CH8" i="4"/>
  <c r="CL8" i="4"/>
  <c r="CA8" i="4"/>
  <c r="CK8" i="4"/>
  <c r="DJ21" i="4"/>
  <c r="DK21" i="4"/>
  <c r="DL21" i="4"/>
  <c r="DM21" i="4"/>
  <c r="DC21" i="4"/>
  <c r="DN21" i="4"/>
  <c r="DD21" i="4"/>
  <c r="DE21" i="4"/>
  <c r="DF21" i="4"/>
  <c r="DG21" i="4"/>
  <c r="DH21" i="4"/>
  <c r="DI21" i="4"/>
  <c r="CA21" i="4"/>
  <c r="CB21" i="4"/>
  <c r="CC21" i="4"/>
  <c r="CE21" i="4"/>
  <c r="CF21" i="4"/>
  <c r="CG21" i="4"/>
  <c r="CI21" i="4"/>
  <c r="CJ21" i="4"/>
  <c r="CK21" i="4"/>
  <c r="CL21" i="4"/>
  <c r="CD21" i="4"/>
  <c r="CH21" i="4"/>
  <c r="CP7" i="4"/>
  <c r="CQ7" i="4"/>
  <c r="CO7" i="4"/>
  <c r="CR7" i="4"/>
  <c r="CT7" i="4"/>
  <c r="CW7" i="4"/>
  <c r="CX7" i="4"/>
  <c r="CY7" i="4"/>
  <c r="CZ7" i="4"/>
  <c r="CS7" i="4"/>
  <c r="CU7" i="4"/>
  <c r="CV7" i="4"/>
  <c r="CR21" i="4"/>
  <c r="CS21" i="4"/>
  <c r="CT21" i="4"/>
  <c r="CV21" i="4"/>
  <c r="CW21" i="4"/>
  <c r="CX21" i="4"/>
  <c r="CZ21" i="4"/>
  <c r="CO21" i="4"/>
  <c r="CP21" i="4"/>
  <c r="CQ21" i="4"/>
  <c r="CY21" i="4"/>
  <c r="CU21" i="4"/>
  <c r="CC53" i="67"/>
  <c r="I53" i="156" s="1"/>
  <c r="N52" i="36"/>
  <c r="N52" i="32"/>
  <c r="AW6" i="4"/>
  <c r="AW20" i="4"/>
  <c r="CN8" i="4"/>
  <c r="AX8" i="4"/>
  <c r="BC7" i="4"/>
  <c r="BJ7" i="4"/>
  <c r="BB7" i="4"/>
  <c r="BD7" i="4"/>
  <c r="BE7" i="4"/>
  <c r="BF7" i="4"/>
  <c r="AY7" i="4"/>
  <c r="BG7" i="4"/>
  <c r="BH7" i="4"/>
  <c r="AZ7" i="4"/>
  <c r="BA7" i="4"/>
  <c r="BI7" i="4"/>
  <c r="BZ9" i="4"/>
  <c r="DB8" i="4"/>
  <c r="BL8" i="4"/>
  <c r="BM7" i="4"/>
  <c r="BX7" i="4"/>
  <c r="BT7" i="4"/>
  <c r="BU7" i="4"/>
  <c r="BW7" i="4"/>
  <c r="BN7" i="4"/>
  <c r="BO7" i="4"/>
  <c r="BP7" i="4"/>
  <c r="BQ7" i="4"/>
  <c r="BR7" i="4"/>
  <c r="BS7" i="4"/>
  <c r="BV7" i="4"/>
  <c r="AJ8" i="4"/>
  <c r="AL7" i="4"/>
  <c r="AR7" i="4"/>
  <c r="AS7" i="4"/>
  <c r="AT7" i="4"/>
  <c r="AU7" i="4"/>
  <c r="AV7" i="4"/>
  <c r="AK7" i="4"/>
  <c r="AM7" i="4"/>
  <c r="AP7" i="4"/>
  <c r="AN7" i="4"/>
  <c r="AO7" i="4"/>
  <c r="AQ7" i="4"/>
  <c r="AX22" i="4"/>
  <c r="BI21" i="4"/>
  <c r="BC21" i="4"/>
  <c r="BD21" i="4"/>
  <c r="BE21" i="4"/>
  <c r="BG21" i="4"/>
  <c r="AZ21" i="4"/>
  <c r="BF21" i="4"/>
  <c r="BA21" i="4"/>
  <c r="AY21" i="4"/>
  <c r="BB21" i="4"/>
  <c r="BH21" i="4"/>
  <c r="BJ21" i="4"/>
  <c r="DB22" i="4"/>
  <c r="AJ22" i="4"/>
  <c r="AU21" i="4"/>
  <c r="AM21" i="4"/>
  <c r="AN21" i="4"/>
  <c r="AQ21" i="4"/>
  <c r="AK21" i="4"/>
  <c r="AL21" i="4"/>
  <c r="AR21" i="4"/>
  <c r="AV21" i="4"/>
  <c r="AO21" i="4"/>
  <c r="AP21" i="4"/>
  <c r="AS21" i="4"/>
  <c r="AT21" i="4"/>
  <c r="BL22" i="4"/>
  <c r="BW21" i="4"/>
  <c r="BV21" i="4"/>
  <c r="BX21" i="4"/>
  <c r="BN21" i="4"/>
  <c r="BO21" i="4"/>
  <c r="BS21" i="4"/>
  <c r="BT21" i="4"/>
  <c r="BM21" i="4"/>
  <c r="BU21" i="4"/>
  <c r="BP21" i="4"/>
  <c r="BQ21" i="4"/>
  <c r="BR21" i="4"/>
  <c r="CN22" i="4"/>
  <c r="AE21" i="4"/>
  <c r="AB21" i="4"/>
  <c r="AF21" i="4"/>
  <c r="AC21" i="4"/>
  <c r="AD21" i="4"/>
  <c r="AG21" i="4"/>
  <c r="Z21" i="4"/>
  <c r="AA21" i="4"/>
  <c r="Y21" i="4"/>
  <c r="BZ22" i="4"/>
  <c r="AC7" i="4"/>
  <c r="AF7" i="4"/>
  <c r="AG7" i="4"/>
  <c r="AD7" i="4"/>
  <c r="AE7" i="4"/>
  <c r="Y7" i="4"/>
  <c r="Z7" i="4"/>
  <c r="AA7" i="4"/>
  <c r="AB7" i="4"/>
  <c r="G53" i="154" l="1"/>
  <c r="P53" i="154" s="1"/>
  <c r="G53" i="153"/>
  <c r="P53" i="153" s="1"/>
  <c r="U53" i="153" s="1"/>
  <c r="V53" i="153" s="1"/>
  <c r="W53" i="153" s="1"/>
  <c r="K53" i="75"/>
  <c r="H53" i="28"/>
  <c r="H53" i="38"/>
  <c r="N53" i="38" s="1"/>
  <c r="CW22" i="4"/>
  <c r="CX22" i="4"/>
  <c r="CY22" i="4"/>
  <c r="CP22" i="4"/>
  <c r="CQ22" i="4"/>
  <c r="CR22" i="4"/>
  <c r="CS22" i="4"/>
  <c r="CT22" i="4"/>
  <c r="CU22" i="4"/>
  <c r="CO22" i="4"/>
  <c r="CV22" i="4"/>
  <c r="CZ22" i="4"/>
  <c r="CQ8" i="4"/>
  <c r="CR8" i="4"/>
  <c r="CS8" i="4"/>
  <c r="CU8" i="4"/>
  <c r="CV8" i="4"/>
  <c r="CW8" i="4"/>
  <c r="CO8" i="4"/>
  <c r="CY8" i="4"/>
  <c r="CP8" i="4"/>
  <c r="CX8" i="4"/>
  <c r="CT8" i="4"/>
  <c r="CZ8" i="4"/>
  <c r="DG8" i="4"/>
  <c r="DH8" i="4"/>
  <c r="DC8" i="4"/>
  <c r="DI8" i="4"/>
  <c r="DJ8" i="4"/>
  <c r="DK8" i="4"/>
  <c r="DL8" i="4"/>
  <c r="DM8" i="4"/>
  <c r="DD8" i="4"/>
  <c r="DE8" i="4"/>
  <c r="DF8" i="4"/>
  <c r="DN8" i="4"/>
  <c r="CF9" i="4"/>
  <c r="CG9" i="4"/>
  <c r="CH9" i="4"/>
  <c r="CJ9" i="4"/>
  <c r="CL9" i="4"/>
  <c r="CK9" i="4"/>
  <c r="CI9" i="4"/>
  <c r="CA9" i="4"/>
  <c r="CB9" i="4"/>
  <c r="CC9" i="4"/>
  <c r="CD9" i="4"/>
  <c r="CE9" i="4"/>
  <c r="CE22" i="4"/>
  <c r="CF22" i="4"/>
  <c r="CG22" i="4"/>
  <c r="CI22" i="4"/>
  <c r="CJ22" i="4"/>
  <c r="CK22" i="4"/>
  <c r="CA22" i="4"/>
  <c r="CB22" i="4"/>
  <c r="CC22" i="4"/>
  <c r="CD22" i="4"/>
  <c r="CH22" i="4"/>
  <c r="CL22" i="4"/>
  <c r="DC22" i="4"/>
  <c r="DD22" i="4"/>
  <c r="DE22" i="4"/>
  <c r="DF22" i="4"/>
  <c r="DG22" i="4"/>
  <c r="DH22" i="4"/>
  <c r="DI22" i="4"/>
  <c r="DJ22" i="4"/>
  <c r="DK22" i="4"/>
  <c r="DL22" i="4"/>
  <c r="DM22" i="4"/>
  <c r="DN22" i="4"/>
  <c r="CC54" i="67"/>
  <c r="I54" i="156" s="1"/>
  <c r="N53" i="32"/>
  <c r="N53" i="36"/>
  <c r="AW21" i="4"/>
  <c r="AW7" i="4"/>
  <c r="AX9" i="4"/>
  <c r="BH8" i="4"/>
  <c r="BC8" i="4"/>
  <c r="AZ8" i="4"/>
  <c r="BB8" i="4"/>
  <c r="BD8" i="4"/>
  <c r="BE8" i="4"/>
  <c r="BJ8" i="4"/>
  <c r="AY8" i="4"/>
  <c r="BA8" i="4"/>
  <c r="BF8" i="4"/>
  <c r="BG8" i="4"/>
  <c r="BI8" i="4"/>
  <c r="BZ10" i="4"/>
  <c r="DB9" i="4"/>
  <c r="BL9" i="4"/>
  <c r="BR8" i="4"/>
  <c r="BM8" i="4"/>
  <c r="BN8" i="4"/>
  <c r="BO8" i="4"/>
  <c r="BT8" i="4"/>
  <c r="BU8" i="4"/>
  <c r="BV8" i="4"/>
  <c r="BW8" i="4"/>
  <c r="BX8" i="4"/>
  <c r="BP8" i="4"/>
  <c r="BQ8" i="4"/>
  <c r="BS8" i="4"/>
  <c r="AJ9" i="4"/>
  <c r="AN8" i="4"/>
  <c r="AQ8" i="4"/>
  <c r="AK8" i="4"/>
  <c r="AL8" i="4"/>
  <c r="AM8" i="4"/>
  <c r="AO8" i="4"/>
  <c r="AP8" i="4"/>
  <c r="AR8" i="4"/>
  <c r="AS8" i="4"/>
  <c r="AU8" i="4"/>
  <c r="AT8" i="4"/>
  <c r="AV8" i="4"/>
  <c r="CN9" i="4"/>
  <c r="BZ23" i="4"/>
  <c r="DB23" i="4"/>
  <c r="AJ23" i="4"/>
  <c r="AS22" i="4"/>
  <c r="AT22" i="4"/>
  <c r="AO22" i="4"/>
  <c r="AP22" i="4"/>
  <c r="AQ22" i="4"/>
  <c r="AK22" i="4"/>
  <c r="AU22" i="4"/>
  <c r="AL22" i="4"/>
  <c r="AM22" i="4"/>
  <c r="AN22" i="4"/>
  <c r="AR22" i="4"/>
  <c r="AV22" i="4"/>
  <c r="CN23" i="4"/>
  <c r="Z22" i="4"/>
  <c r="AA22" i="4"/>
  <c r="AB22" i="4"/>
  <c r="AD22" i="4"/>
  <c r="Y22" i="4"/>
  <c r="AC22" i="4"/>
  <c r="AE22" i="4"/>
  <c r="AF22" i="4"/>
  <c r="AG22" i="4"/>
  <c r="BL23" i="4"/>
  <c r="BO22" i="4"/>
  <c r="BN22" i="4"/>
  <c r="BQ22" i="4"/>
  <c r="BV22" i="4"/>
  <c r="BW22" i="4"/>
  <c r="BX22" i="4"/>
  <c r="BP22" i="4"/>
  <c r="BT22" i="4"/>
  <c r="BU22" i="4"/>
  <c r="BM22" i="4"/>
  <c r="BR22" i="4"/>
  <c r="BS22" i="4"/>
  <c r="AX23" i="4"/>
  <c r="BI22" i="4"/>
  <c r="BJ22" i="4"/>
  <c r="BE22" i="4"/>
  <c r="BH22" i="4"/>
  <c r="BF22" i="4"/>
  <c r="BG22" i="4"/>
  <c r="AY22" i="4"/>
  <c r="AZ22" i="4"/>
  <c r="BA22" i="4"/>
  <c r="BB22" i="4"/>
  <c r="BC22" i="4"/>
  <c r="BD22" i="4"/>
  <c r="Y8" i="4"/>
  <c r="AG8" i="4"/>
  <c r="Z8" i="4"/>
  <c r="AA8" i="4"/>
  <c r="AB8" i="4"/>
  <c r="AE8" i="4"/>
  <c r="AC8" i="4"/>
  <c r="AD8" i="4"/>
  <c r="AF8" i="4"/>
  <c r="G54" i="153" l="1"/>
  <c r="P54" i="153" s="1"/>
  <c r="U54" i="153" s="1"/>
  <c r="V54" i="153" s="1"/>
  <c r="W54" i="153" s="1"/>
  <c r="G54" i="154"/>
  <c r="P54" i="154" s="1"/>
  <c r="K54" i="75"/>
  <c r="H54" i="28"/>
  <c r="H54" i="38"/>
  <c r="N54" i="38" s="1"/>
  <c r="DL9" i="4"/>
  <c r="DM9" i="4"/>
  <c r="DN9" i="4"/>
  <c r="DC9" i="4"/>
  <c r="DD9" i="4"/>
  <c r="DE9" i="4"/>
  <c r="DF9" i="4"/>
  <c r="DG9" i="4"/>
  <c r="DH9" i="4"/>
  <c r="DI9" i="4"/>
  <c r="DJ9" i="4"/>
  <c r="DK9" i="4"/>
  <c r="CK10" i="4"/>
  <c r="CL10" i="4"/>
  <c r="CF10" i="4"/>
  <c r="CD10" i="4"/>
  <c r="CG10" i="4"/>
  <c r="CI10" i="4"/>
  <c r="CH10" i="4"/>
  <c r="CJ10" i="4"/>
  <c r="CC10" i="4"/>
  <c r="CB10" i="4"/>
  <c r="CA10" i="4"/>
  <c r="CE10" i="4"/>
  <c r="CI23" i="4"/>
  <c r="CJ23" i="4"/>
  <c r="CK23" i="4"/>
  <c r="CA23" i="4"/>
  <c r="CB23" i="4"/>
  <c r="CC23" i="4"/>
  <c r="CD23" i="4"/>
  <c r="CE23" i="4"/>
  <c r="CF23" i="4"/>
  <c r="CG23" i="4"/>
  <c r="CH23" i="4"/>
  <c r="CL23" i="4"/>
  <c r="DD23" i="4"/>
  <c r="DE23" i="4"/>
  <c r="DF23" i="4"/>
  <c r="DG23" i="4"/>
  <c r="DH23" i="4"/>
  <c r="DI23" i="4"/>
  <c r="DC23" i="4"/>
  <c r="DJ23" i="4"/>
  <c r="DK23" i="4"/>
  <c r="DL23" i="4"/>
  <c r="DM23" i="4"/>
  <c r="DN23" i="4"/>
  <c r="CP23" i="4"/>
  <c r="CQ23" i="4"/>
  <c r="CR23" i="4"/>
  <c r="CT23" i="4"/>
  <c r="CU23" i="4"/>
  <c r="CV23" i="4"/>
  <c r="CW23" i="4"/>
  <c r="CX23" i="4"/>
  <c r="CY23" i="4"/>
  <c r="CZ23" i="4"/>
  <c r="CO23" i="4"/>
  <c r="CS23" i="4"/>
  <c r="CV9" i="4"/>
  <c r="CW9" i="4"/>
  <c r="CX9" i="4"/>
  <c r="CZ9" i="4"/>
  <c r="CQ9" i="4"/>
  <c r="CR9" i="4"/>
  <c r="CS9" i="4"/>
  <c r="CT9" i="4"/>
  <c r="CU9" i="4"/>
  <c r="CP9" i="4"/>
  <c r="CY9" i="4"/>
  <c r="CO9" i="4"/>
  <c r="CC55" i="67"/>
  <c r="I55" i="156" s="1"/>
  <c r="N54" i="36"/>
  <c r="N54" i="32"/>
  <c r="AW22" i="4"/>
  <c r="AW8" i="4"/>
  <c r="BZ11" i="4"/>
  <c r="DB10" i="4"/>
  <c r="BL10" i="4"/>
  <c r="BW9" i="4"/>
  <c r="BR9" i="4"/>
  <c r="BP9" i="4"/>
  <c r="BQ9" i="4"/>
  <c r="BM9" i="4"/>
  <c r="BT9" i="4"/>
  <c r="BU9" i="4"/>
  <c r="BV9" i="4"/>
  <c r="BN9" i="4"/>
  <c r="BO9" i="4"/>
  <c r="BS9" i="4"/>
  <c r="BX9" i="4"/>
  <c r="AJ10" i="4"/>
  <c r="AS9" i="4"/>
  <c r="AV9" i="4"/>
  <c r="AL9" i="4"/>
  <c r="AM9" i="4"/>
  <c r="AN9" i="4"/>
  <c r="AO9" i="4"/>
  <c r="AP9" i="4"/>
  <c r="AQ9" i="4"/>
  <c r="AK9" i="4"/>
  <c r="AR9" i="4"/>
  <c r="AT9" i="4"/>
  <c r="AU9" i="4"/>
  <c r="CN10" i="4"/>
  <c r="AX10" i="4"/>
  <c r="BH9" i="4"/>
  <c r="BF9" i="4"/>
  <c r="BG9" i="4"/>
  <c r="BJ9" i="4"/>
  <c r="AZ9" i="4"/>
  <c r="BA9" i="4"/>
  <c r="BB9" i="4"/>
  <c r="BC9" i="4"/>
  <c r="BD9" i="4"/>
  <c r="AY9" i="4"/>
  <c r="BE9" i="4"/>
  <c r="BI9" i="4"/>
  <c r="AX24" i="4"/>
  <c r="BC23" i="4"/>
  <c r="AZ23" i="4"/>
  <c r="BB23" i="4"/>
  <c r="BA23" i="4"/>
  <c r="BI23" i="4"/>
  <c r="BJ23" i="4"/>
  <c r="AY23" i="4"/>
  <c r="BE23" i="4"/>
  <c r="BD23" i="4"/>
  <c r="BF23" i="4"/>
  <c r="BG23" i="4"/>
  <c r="BH23" i="4"/>
  <c r="Y23" i="4"/>
  <c r="AF23" i="4"/>
  <c r="AG23" i="4"/>
  <c r="AB23" i="4"/>
  <c r="AE23" i="4"/>
  <c r="AC23" i="4"/>
  <c r="AD23" i="4"/>
  <c r="AA23" i="4"/>
  <c r="Z23" i="4"/>
  <c r="CN24" i="4"/>
  <c r="AJ24" i="4"/>
  <c r="AO23" i="4"/>
  <c r="AL23" i="4"/>
  <c r="AR23" i="4"/>
  <c r="AU23" i="4"/>
  <c r="AS23" i="4"/>
  <c r="AT23" i="4"/>
  <c r="AV23" i="4"/>
  <c r="AM23" i="4"/>
  <c r="AN23" i="4"/>
  <c r="AK23" i="4"/>
  <c r="AP23" i="4"/>
  <c r="AQ23" i="4"/>
  <c r="DB24" i="4"/>
  <c r="BL24" i="4"/>
  <c r="BQ23" i="4"/>
  <c r="BT23" i="4"/>
  <c r="BS23" i="4"/>
  <c r="BU23" i="4"/>
  <c r="BV23" i="4"/>
  <c r="BX23" i="4"/>
  <c r="BN23" i="4"/>
  <c r="BO23" i="4"/>
  <c r="BM23" i="4"/>
  <c r="BP23" i="4"/>
  <c r="BR23" i="4"/>
  <c r="BW23" i="4"/>
  <c r="BZ24" i="4"/>
  <c r="Z9" i="4"/>
  <c r="AA9" i="4"/>
  <c r="AB9" i="4"/>
  <c r="AC9" i="4"/>
  <c r="AD9" i="4"/>
  <c r="Y9" i="4"/>
  <c r="AE9" i="4"/>
  <c r="AF9" i="4"/>
  <c r="AG9" i="4"/>
  <c r="G55" i="153" l="1"/>
  <c r="P55" i="153" s="1"/>
  <c r="U55" i="153" s="1"/>
  <c r="G55" i="154"/>
  <c r="P55" i="154" s="1"/>
  <c r="H55" i="38"/>
  <c r="N55" i="38" s="1"/>
  <c r="H55" i="28"/>
  <c r="K55" i="75"/>
  <c r="CP10" i="4"/>
  <c r="CQ10" i="4"/>
  <c r="CS10" i="4"/>
  <c r="CO10" i="4"/>
  <c r="CV10" i="4"/>
  <c r="CX10" i="4"/>
  <c r="CY10" i="4"/>
  <c r="CZ10" i="4"/>
  <c r="CT10" i="4"/>
  <c r="CR10" i="4"/>
  <c r="CU10" i="4"/>
  <c r="CW10" i="4"/>
  <c r="DK10" i="4"/>
  <c r="DE10" i="4"/>
  <c r="DL10" i="4"/>
  <c r="DM10" i="4"/>
  <c r="DD10" i="4"/>
  <c r="DN10" i="4"/>
  <c r="DI10" i="4"/>
  <c r="DC10" i="4"/>
  <c r="DH10" i="4"/>
  <c r="DF10" i="4"/>
  <c r="DG10" i="4"/>
  <c r="DJ10" i="4"/>
  <c r="CQ24" i="4"/>
  <c r="CO24" i="4"/>
  <c r="CR24" i="4"/>
  <c r="CS24" i="4"/>
  <c r="CU24" i="4"/>
  <c r="CV24" i="4"/>
  <c r="CW24" i="4"/>
  <c r="CY24" i="4"/>
  <c r="CZ24" i="4"/>
  <c r="CP24" i="4"/>
  <c r="CT24" i="4"/>
  <c r="CX24" i="4"/>
  <c r="CB11" i="4"/>
  <c r="CD11" i="4"/>
  <c r="CE11" i="4"/>
  <c r="CF11" i="4"/>
  <c r="CH11" i="4"/>
  <c r="CK11" i="4"/>
  <c r="CA11" i="4"/>
  <c r="CC11" i="4"/>
  <c r="CG11" i="4"/>
  <c r="CI11" i="4"/>
  <c r="CJ11" i="4"/>
  <c r="CL11" i="4"/>
  <c r="CA24" i="4"/>
  <c r="CB24" i="4"/>
  <c r="CC24" i="4"/>
  <c r="CE24" i="4"/>
  <c r="CF24" i="4"/>
  <c r="CG24" i="4"/>
  <c r="CH24" i="4"/>
  <c r="CI24" i="4"/>
  <c r="CJ24" i="4"/>
  <c r="CK24" i="4"/>
  <c r="CL24" i="4"/>
  <c r="CD24" i="4"/>
  <c r="DI24" i="4"/>
  <c r="DJ24" i="4"/>
  <c r="DK24" i="4"/>
  <c r="DL24" i="4"/>
  <c r="DM24" i="4"/>
  <c r="DN24" i="4"/>
  <c r="DC24" i="4"/>
  <c r="DD24" i="4"/>
  <c r="DE24" i="4"/>
  <c r="DF24" i="4"/>
  <c r="DG24" i="4"/>
  <c r="DH24" i="4"/>
  <c r="CC56" i="67"/>
  <c r="I56" i="156" s="1"/>
  <c r="N55" i="36"/>
  <c r="N55" i="32"/>
  <c r="AW9" i="4"/>
  <c r="AW23" i="4"/>
  <c r="DB11" i="4"/>
  <c r="BL11" i="4"/>
  <c r="BW10" i="4"/>
  <c r="BX10" i="4"/>
  <c r="BP10" i="4"/>
  <c r="BQ10" i="4"/>
  <c r="BR10" i="4"/>
  <c r="BS10" i="4"/>
  <c r="BT10" i="4"/>
  <c r="BU10" i="4"/>
  <c r="BM10" i="4"/>
  <c r="BN10" i="4"/>
  <c r="BO10" i="4"/>
  <c r="BV10" i="4"/>
  <c r="AJ11" i="4"/>
  <c r="AQ10" i="4"/>
  <c r="AR10" i="4"/>
  <c r="AS10" i="4"/>
  <c r="AT10" i="4"/>
  <c r="AU10" i="4"/>
  <c r="AV10" i="4"/>
  <c r="AK10" i="4"/>
  <c r="AL10" i="4"/>
  <c r="AO10" i="4"/>
  <c r="AM10" i="4"/>
  <c r="AN10" i="4"/>
  <c r="AP10" i="4"/>
  <c r="CN11" i="4"/>
  <c r="AX11" i="4"/>
  <c r="BB10" i="4"/>
  <c r="AZ10" i="4"/>
  <c r="BA10" i="4"/>
  <c r="BF10" i="4"/>
  <c r="BG10" i="4"/>
  <c r="BH10" i="4"/>
  <c r="BI10" i="4"/>
  <c r="BJ10" i="4"/>
  <c r="BD10" i="4"/>
  <c r="BE10" i="4"/>
  <c r="BC10" i="4"/>
  <c r="AY10" i="4"/>
  <c r="BZ12" i="4"/>
  <c r="DB25" i="4"/>
  <c r="BZ25" i="4"/>
  <c r="AD24" i="4"/>
  <c r="Y24" i="4"/>
  <c r="AB24" i="4"/>
  <c r="AA24" i="4"/>
  <c r="Z24" i="4"/>
  <c r="AF24" i="4"/>
  <c r="AC24" i="4"/>
  <c r="AE24" i="4"/>
  <c r="AG24" i="4"/>
  <c r="CN25" i="4"/>
  <c r="AJ25" i="4"/>
  <c r="AJ26" i="4" s="1"/>
  <c r="AT24" i="4"/>
  <c r="AN24" i="4"/>
  <c r="AO24" i="4"/>
  <c r="AR24" i="4"/>
  <c r="AM24" i="4"/>
  <c r="AP24" i="4"/>
  <c r="AQ24" i="4"/>
  <c r="AU24" i="4"/>
  <c r="AK24" i="4"/>
  <c r="AS24" i="4"/>
  <c r="AV24" i="4"/>
  <c r="AL24" i="4"/>
  <c r="BL25" i="4"/>
  <c r="BL26" i="4" s="1"/>
  <c r="BV24" i="4"/>
  <c r="BM24" i="4"/>
  <c r="BW24" i="4"/>
  <c r="BX24" i="4"/>
  <c r="BS24" i="4"/>
  <c r="BT24" i="4"/>
  <c r="BU24" i="4"/>
  <c r="BN24" i="4"/>
  <c r="BQ24" i="4"/>
  <c r="BO24" i="4"/>
  <c r="BP24" i="4"/>
  <c r="BR24" i="4"/>
  <c r="AX25" i="4"/>
  <c r="BH24" i="4"/>
  <c r="BD24" i="4"/>
  <c r="BE24" i="4"/>
  <c r="BF24" i="4"/>
  <c r="BI24" i="4"/>
  <c r="BG24" i="4"/>
  <c r="BJ24" i="4"/>
  <c r="BA24" i="4"/>
  <c r="AZ24" i="4"/>
  <c r="BB24" i="4"/>
  <c r="BC24" i="4"/>
  <c r="AY24" i="4"/>
  <c r="AB10" i="4"/>
  <c r="AE10" i="4"/>
  <c r="AF10" i="4"/>
  <c r="AG10" i="4"/>
  <c r="AC10" i="4"/>
  <c r="AD10" i="4"/>
  <c r="Y10" i="4"/>
  <c r="Z10" i="4"/>
  <c r="AA10" i="4"/>
  <c r="V55" i="153" l="1"/>
  <c r="W55" i="153" s="1"/>
  <c r="G56" i="154"/>
  <c r="P56" i="154" s="1"/>
  <c r="G56" i="153"/>
  <c r="P56" i="153" s="1"/>
  <c r="U56" i="153" s="1"/>
  <c r="V56" i="153" s="1"/>
  <c r="W56" i="153" s="1"/>
  <c r="H56" i="38"/>
  <c r="N56" i="38" s="1"/>
  <c r="K56" i="75"/>
  <c r="H56" i="28"/>
  <c r="DF11" i="4"/>
  <c r="DG11" i="4"/>
  <c r="DE11" i="4"/>
  <c r="DI11" i="4"/>
  <c r="DM11" i="4"/>
  <c r="DL11" i="4"/>
  <c r="DC11" i="4"/>
  <c r="DN11" i="4"/>
  <c r="DD11" i="4"/>
  <c r="DH11" i="4"/>
  <c r="DJ11" i="4"/>
  <c r="DK11" i="4"/>
  <c r="BG25" i="4"/>
  <c r="BH25" i="4"/>
  <c r="BI25" i="4"/>
  <c r="BJ25" i="4"/>
  <c r="AX26" i="4"/>
  <c r="BA25" i="4"/>
  <c r="BB25" i="4"/>
  <c r="BC25" i="4"/>
  <c r="BD25" i="4"/>
  <c r="BE25" i="4"/>
  <c r="BF25" i="4"/>
  <c r="BZ26" i="4"/>
  <c r="CA25" i="4"/>
  <c r="CB25" i="4"/>
  <c r="CC25" i="4"/>
  <c r="CE25" i="4"/>
  <c r="CF25" i="4"/>
  <c r="CG25" i="4"/>
  <c r="CI25" i="4"/>
  <c r="CJ25" i="4"/>
  <c r="CK25" i="4"/>
  <c r="CL25" i="4"/>
  <c r="CD25" i="4"/>
  <c r="CH25" i="4"/>
  <c r="CT11" i="4"/>
  <c r="CU11" i="4"/>
  <c r="CV11" i="4"/>
  <c r="CW11" i="4"/>
  <c r="CZ11" i="4"/>
  <c r="CX11" i="4"/>
  <c r="CY11" i="4"/>
  <c r="CP11" i="4"/>
  <c r="CQ11" i="4"/>
  <c r="CR11" i="4"/>
  <c r="CS11" i="4"/>
  <c r="CO11" i="4"/>
  <c r="DG25" i="4"/>
  <c r="DH25" i="4"/>
  <c r="DI25" i="4"/>
  <c r="DJ25" i="4"/>
  <c r="DK25" i="4"/>
  <c r="DL25" i="4"/>
  <c r="DM25" i="4"/>
  <c r="DN25" i="4"/>
  <c r="DC25" i="4"/>
  <c r="DD25" i="4"/>
  <c r="DE25" i="4"/>
  <c r="DF25" i="4"/>
  <c r="BZ13" i="4"/>
  <c r="CE12" i="4"/>
  <c r="CF12" i="4"/>
  <c r="CG12" i="4"/>
  <c r="CI12" i="4"/>
  <c r="CJ12" i="4"/>
  <c r="CK12" i="4"/>
  <c r="CL12" i="4"/>
  <c r="CB12" i="4"/>
  <c r="CC12" i="4"/>
  <c r="CA12" i="4"/>
  <c r="CH12" i="4"/>
  <c r="CD12" i="4"/>
  <c r="CN26" i="4"/>
  <c r="CV25" i="4"/>
  <c r="CW25" i="4"/>
  <c r="CX25" i="4"/>
  <c r="CY25" i="4"/>
  <c r="CT25" i="4"/>
  <c r="CZ25" i="4"/>
  <c r="CS25" i="4"/>
  <c r="CU25" i="4"/>
  <c r="CO25" i="4"/>
  <c r="CP25" i="4"/>
  <c r="CQ25" i="4"/>
  <c r="CR25" i="4"/>
  <c r="AJ27" i="4"/>
  <c r="AQ26" i="4"/>
  <c r="AT26" i="4"/>
  <c r="AU26" i="4"/>
  <c r="AV26" i="4"/>
  <c r="AS26" i="4"/>
  <c r="AR26" i="4"/>
  <c r="AO26" i="4"/>
  <c r="AP26" i="4"/>
  <c r="BL27" i="4"/>
  <c r="BR26" i="4"/>
  <c r="BW26" i="4"/>
  <c r="BX26" i="4"/>
  <c r="BV26" i="4"/>
  <c r="BS26" i="4"/>
  <c r="BU26" i="4"/>
  <c r="BT26" i="4"/>
  <c r="BP26" i="4"/>
  <c r="BQ26" i="4"/>
  <c r="CC57" i="67"/>
  <c r="I57" i="156" s="1"/>
  <c r="N56" i="36"/>
  <c r="N56" i="32"/>
  <c r="AW10" i="4"/>
  <c r="AW24" i="4"/>
  <c r="BL12" i="4"/>
  <c r="BQ11" i="4"/>
  <c r="BN11" i="4"/>
  <c r="BP11" i="4"/>
  <c r="BM11" i="4"/>
  <c r="BR11" i="4"/>
  <c r="BS11" i="4"/>
  <c r="BW11" i="4"/>
  <c r="BX11" i="4"/>
  <c r="BV11" i="4"/>
  <c r="BU11" i="4"/>
  <c r="BT11" i="4"/>
  <c r="BO11" i="4"/>
  <c r="AJ12" i="4"/>
  <c r="AJ13" i="4" s="1"/>
  <c r="AM11" i="4"/>
  <c r="AP11" i="4"/>
  <c r="AV11" i="4"/>
  <c r="AL11" i="4"/>
  <c r="AN11" i="4"/>
  <c r="AO11" i="4"/>
  <c r="AQ11" i="4"/>
  <c r="AR11" i="4"/>
  <c r="AT11" i="4"/>
  <c r="AS11" i="4"/>
  <c r="AK11" i="4"/>
  <c r="AU11" i="4"/>
  <c r="CN12" i="4"/>
  <c r="AX12" i="4"/>
  <c r="AX13" i="4" s="1"/>
  <c r="BG11" i="4"/>
  <c r="AY11" i="4"/>
  <c r="BB11" i="4"/>
  <c r="BC11" i="4"/>
  <c r="BD11" i="4"/>
  <c r="BF11" i="4"/>
  <c r="BH11" i="4"/>
  <c r="BI11" i="4"/>
  <c r="AZ11" i="4"/>
  <c r="BA11" i="4"/>
  <c r="BE11" i="4"/>
  <c r="BJ11" i="4"/>
  <c r="BZ14" i="4"/>
  <c r="BZ15" i="4" s="1"/>
  <c r="DB12" i="4"/>
  <c r="AZ25" i="4"/>
  <c r="AY25" i="4"/>
  <c r="AA25" i="4"/>
  <c r="AA28" i="4" s="1"/>
  <c r="AA29" i="4" s="1"/>
  <c r="AB25" i="4"/>
  <c r="AB28" i="4" s="1"/>
  <c r="AB29" i="4" s="1"/>
  <c r="AC25" i="4"/>
  <c r="AC28" i="4" s="1"/>
  <c r="AC29" i="4" s="1"/>
  <c r="AE25" i="4"/>
  <c r="AE28" i="4" s="1"/>
  <c r="AE29" i="4" s="1"/>
  <c r="AD25" i="4"/>
  <c r="AD28" i="4" s="1"/>
  <c r="AD29" i="4" s="1"/>
  <c r="AF25" i="4"/>
  <c r="AF28" i="4" s="1"/>
  <c r="AF29" i="4" s="1"/>
  <c r="AG25" i="4"/>
  <c r="AG28" i="4" s="1"/>
  <c r="AG29" i="4" s="1"/>
  <c r="Y25" i="4"/>
  <c r="Z25" i="4"/>
  <c r="Z28" i="4" s="1"/>
  <c r="Z29" i="4" s="1"/>
  <c r="BN25" i="4"/>
  <c r="BP25" i="4"/>
  <c r="BQ25" i="4"/>
  <c r="BM25" i="4"/>
  <c r="BR25" i="4"/>
  <c r="BT25" i="4"/>
  <c r="BS25" i="4"/>
  <c r="BO25" i="4"/>
  <c r="BU25" i="4"/>
  <c r="BV25" i="4"/>
  <c r="BW25" i="4"/>
  <c r="BX25" i="4"/>
  <c r="AT25" i="4"/>
  <c r="AU25" i="4"/>
  <c r="AV25" i="4"/>
  <c r="AL25" i="4"/>
  <c r="AP25" i="4"/>
  <c r="AS25" i="4"/>
  <c r="AN25" i="4"/>
  <c r="AQ25" i="4"/>
  <c r="AR25" i="4"/>
  <c r="AK25" i="4"/>
  <c r="AM25" i="4"/>
  <c r="AO25" i="4"/>
  <c r="DB26" i="4"/>
  <c r="AG11" i="4"/>
  <c r="AE11" i="4"/>
  <c r="AF11" i="4"/>
  <c r="Y11" i="4"/>
  <c r="Z11" i="4"/>
  <c r="AA11" i="4"/>
  <c r="AB11" i="4"/>
  <c r="AC11" i="4"/>
  <c r="AD11" i="4"/>
  <c r="G57" i="153" l="1"/>
  <c r="P57" i="153" s="1"/>
  <c r="U57" i="153" s="1"/>
  <c r="V57" i="153" s="1"/>
  <c r="W57" i="153" s="1"/>
  <c r="G57" i="154"/>
  <c r="P57" i="154" s="1"/>
  <c r="K57" i="75"/>
  <c r="H57" i="28"/>
  <c r="H57" i="38"/>
  <c r="N57" i="38" s="1"/>
  <c r="BL28" i="4"/>
  <c r="BL29" i="4" s="1"/>
  <c r="BQ27" i="4"/>
  <c r="BQ28" i="4" s="1"/>
  <c r="BQ29" i="4" s="1"/>
  <c r="BR27" i="4"/>
  <c r="BR28" i="4" s="1"/>
  <c r="BR29" i="4" s="1"/>
  <c r="BW27" i="4"/>
  <c r="BW28" i="4" s="1"/>
  <c r="BW29" i="4" s="1"/>
  <c r="BX27" i="4"/>
  <c r="BX28" i="4" s="1"/>
  <c r="BX29" i="4" s="1"/>
  <c r="BT27" i="4"/>
  <c r="BT28" i="4" s="1"/>
  <c r="BT29" i="4" s="1"/>
  <c r="BU27" i="4"/>
  <c r="BU28" i="4" s="1"/>
  <c r="BU29" i="4" s="1"/>
  <c r="BV27" i="4"/>
  <c r="BV28" i="4" s="1"/>
  <c r="BV29" i="4" s="1"/>
  <c r="BP27" i="4"/>
  <c r="BP28" i="4" s="1"/>
  <c r="BP29" i="4" s="1"/>
  <c r="BS27" i="4"/>
  <c r="BS28" i="4" s="1"/>
  <c r="BS29" i="4" s="1"/>
  <c r="BM27" i="4"/>
  <c r="BN27" i="4"/>
  <c r="BO27" i="4"/>
  <c r="BA13" i="4"/>
  <c r="AX14" i="4"/>
  <c r="AX15" i="4" s="1"/>
  <c r="BE13" i="4"/>
  <c r="BH13" i="4"/>
  <c r="BC13" i="4"/>
  <c r="BD13" i="4"/>
  <c r="AZ13" i="4"/>
  <c r="BG13" i="4"/>
  <c r="BF13" i="4"/>
  <c r="BJ13" i="4"/>
  <c r="BI13" i="4"/>
  <c r="BB13" i="4"/>
  <c r="AY13" i="4"/>
  <c r="DC12" i="4"/>
  <c r="DD12" i="4"/>
  <c r="DH12" i="4"/>
  <c r="DE12" i="4"/>
  <c r="DF12" i="4"/>
  <c r="DG12" i="4"/>
  <c r="DI12" i="4"/>
  <c r="DK12" i="4"/>
  <c r="DL12" i="4"/>
  <c r="DJ12" i="4"/>
  <c r="DM12" i="4"/>
  <c r="DN12" i="4"/>
  <c r="DK26" i="4"/>
  <c r="DL26" i="4"/>
  <c r="DC26" i="4"/>
  <c r="DM26" i="4"/>
  <c r="DN26" i="4"/>
  <c r="DE26" i="4"/>
  <c r="DI26" i="4"/>
  <c r="DD26" i="4"/>
  <c r="DF26" i="4"/>
  <c r="DB27" i="4"/>
  <c r="DG26" i="4"/>
  <c r="DH26" i="4"/>
  <c r="DJ26" i="4"/>
  <c r="AK13" i="4"/>
  <c r="AJ14" i="4"/>
  <c r="AJ15" i="4" s="1"/>
  <c r="AP13" i="4"/>
  <c r="AQ13" i="4"/>
  <c r="AR13" i="4"/>
  <c r="AN13" i="4"/>
  <c r="AO13" i="4"/>
  <c r="AV13" i="4"/>
  <c r="AS13" i="4"/>
  <c r="AM13" i="4"/>
  <c r="AL13" i="4"/>
  <c r="AU13" i="4"/>
  <c r="AT13" i="4"/>
  <c r="CF13" i="4"/>
  <c r="CF14" i="4" s="1"/>
  <c r="CI13" i="4"/>
  <c r="CI14" i="4" s="1"/>
  <c r="CK13" i="4"/>
  <c r="CK14" i="4" s="1"/>
  <c r="CJ13" i="4"/>
  <c r="CJ14" i="4" s="1"/>
  <c r="CL13" i="4"/>
  <c r="CL14" i="4" s="1"/>
  <c r="CH13" i="4"/>
  <c r="CH14" i="4" s="1"/>
  <c r="CG13" i="4"/>
  <c r="CG14" i="4" s="1"/>
  <c r="CA13" i="4"/>
  <c r="CA14" i="4" s="1"/>
  <c r="CB13" i="4"/>
  <c r="CB14" i="4" s="1"/>
  <c r="CC13" i="4"/>
  <c r="CC14" i="4" s="1"/>
  <c r="CD13" i="4"/>
  <c r="CD14" i="4" s="1"/>
  <c r="CE13" i="4"/>
  <c r="CE14" i="4" s="1"/>
  <c r="CU12" i="4"/>
  <c r="CY12" i="4"/>
  <c r="CN13" i="4"/>
  <c r="CN14" i="4" s="1"/>
  <c r="CN15" i="4" s="1"/>
  <c r="CT12" i="4"/>
  <c r="CV12" i="4"/>
  <c r="CW12" i="4"/>
  <c r="CZ12" i="4"/>
  <c r="CX12" i="4"/>
  <c r="CP12" i="4"/>
  <c r="CQ12" i="4"/>
  <c r="CR12" i="4"/>
  <c r="CO12" i="4"/>
  <c r="CS12" i="4"/>
  <c r="CN27" i="4"/>
  <c r="CS26" i="4"/>
  <c r="CX26" i="4"/>
  <c r="CT26" i="4"/>
  <c r="CU26" i="4"/>
  <c r="CW26" i="4"/>
  <c r="CV26" i="4"/>
  <c r="CY26" i="4"/>
  <c r="CZ26" i="4"/>
  <c r="CO26" i="4"/>
  <c r="CP26" i="4"/>
  <c r="CQ26" i="4"/>
  <c r="CR26" i="4"/>
  <c r="CJ26" i="4"/>
  <c r="CK26" i="4"/>
  <c r="BZ27" i="4"/>
  <c r="CL26" i="4"/>
  <c r="CD26" i="4"/>
  <c r="CC26" i="4"/>
  <c r="CE26" i="4"/>
  <c r="CF26" i="4"/>
  <c r="CH26" i="4"/>
  <c r="CG26" i="4"/>
  <c r="CI26" i="4"/>
  <c r="CA26" i="4"/>
  <c r="CB26" i="4"/>
  <c r="AJ28" i="4"/>
  <c r="AJ29" i="4" s="1"/>
  <c r="AV27" i="4"/>
  <c r="AV28" i="4" s="1"/>
  <c r="AV29" i="4" s="1"/>
  <c r="AO27" i="4"/>
  <c r="AO28" i="4" s="1"/>
  <c r="AO29" i="4" s="1"/>
  <c r="AP27" i="4"/>
  <c r="AP28" i="4" s="1"/>
  <c r="AP29" i="4" s="1"/>
  <c r="AR27" i="4"/>
  <c r="AR28" i="4" s="1"/>
  <c r="AR29" i="4" s="1"/>
  <c r="AQ27" i="4"/>
  <c r="AQ28" i="4" s="1"/>
  <c r="AQ29" i="4" s="1"/>
  <c r="AS27" i="4"/>
  <c r="AS28" i="4" s="1"/>
  <c r="AS29" i="4" s="1"/>
  <c r="AU27" i="4"/>
  <c r="AU28" i="4" s="1"/>
  <c r="AU29" i="4" s="1"/>
  <c r="AT27" i="4"/>
  <c r="AT28" i="4" s="1"/>
  <c r="AT29" i="4" s="1"/>
  <c r="AK27" i="4"/>
  <c r="AL27" i="4"/>
  <c r="AM27" i="4"/>
  <c r="AN27" i="4"/>
  <c r="AX27" i="4"/>
  <c r="BA26" i="4"/>
  <c r="BB26" i="4"/>
  <c r="BH26" i="4"/>
  <c r="BG26" i="4"/>
  <c r="BD26" i="4"/>
  <c r="BC26" i="4"/>
  <c r="BJ26" i="4"/>
  <c r="BF26" i="4"/>
  <c r="BE26" i="4"/>
  <c r="BI26" i="4"/>
  <c r="CC58" i="67"/>
  <c r="I58" i="156" s="1"/>
  <c r="N57" i="32"/>
  <c r="N57" i="36"/>
  <c r="AW11" i="4"/>
  <c r="AW25" i="4"/>
  <c r="AR12" i="4"/>
  <c r="AU12" i="4"/>
  <c r="AL12" i="4"/>
  <c r="AM12" i="4"/>
  <c r="AN12" i="4"/>
  <c r="AO12" i="4"/>
  <c r="AP12" i="4"/>
  <c r="AK12" i="4"/>
  <c r="AQ12" i="4"/>
  <c r="AS12" i="4"/>
  <c r="AT12" i="4"/>
  <c r="AV12" i="4"/>
  <c r="BG12" i="4"/>
  <c r="BJ12" i="4"/>
  <c r="AY12" i="4"/>
  <c r="BB12" i="4"/>
  <c r="BC12" i="4"/>
  <c r="BD12" i="4"/>
  <c r="BE12" i="4"/>
  <c r="BF12" i="4"/>
  <c r="BH12" i="4"/>
  <c r="AZ12" i="4"/>
  <c r="BA12" i="4"/>
  <c r="BI12" i="4"/>
  <c r="DB13" i="4"/>
  <c r="BV12" i="4"/>
  <c r="BQ12" i="4"/>
  <c r="BT12" i="4"/>
  <c r="BU12" i="4"/>
  <c r="BX12" i="4"/>
  <c r="BM12" i="4"/>
  <c r="BN12" i="4"/>
  <c r="BO12" i="4"/>
  <c r="BP12" i="4"/>
  <c r="BR12" i="4"/>
  <c r="BS12" i="4"/>
  <c r="BW12" i="4"/>
  <c r="BL13" i="4"/>
  <c r="BM26" i="4"/>
  <c r="BN26" i="4"/>
  <c r="BO26" i="4"/>
  <c r="Y26" i="4"/>
  <c r="Y28" i="4" s="1"/>
  <c r="Y29" i="4" s="1"/>
  <c r="AN26" i="4"/>
  <c r="AM26" i="4"/>
  <c r="AK26" i="4"/>
  <c r="AL26" i="4"/>
  <c r="AZ26" i="4"/>
  <c r="AY26" i="4"/>
  <c r="Y12" i="4"/>
  <c r="Y14" i="4" s="1"/>
  <c r="Y15" i="4" s="1"/>
  <c r="Z12" i="4"/>
  <c r="Z14" i="4" s="1"/>
  <c r="Z15" i="4" s="1"/>
  <c r="AA12" i="4"/>
  <c r="AA14" i="4" s="1"/>
  <c r="AA15" i="4" s="1"/>
  <c r="AB12" i="4"/>
  <c r="AC12" i="4"/>
  <c r="AD12" i="4"/>
  <c r="AE12" i="4"/>
  <c r="AF12" i="4"/>
  <c r="AG12" i="4"/>
  <c r="G58" i="154" l="1"/>
  <c r="P58" i="154" s="1"/>
  <c r="G58" i="153"/>
  <c r="P58" i="153" s="1"/>
  <c r="U58" i="153" s="1"/>
  <c r="V58" i="153" s="1"/>
  <c r="W58" i="153" s="1"/>
  <c r="K58" i="75"/>
  <c r="H58" i="28"/>
  <c r="H58" i="38"/>
  <c r="N58" i="38" s="1"/>
  <c r="AR14" i="4"/>
  <c r="AR15" i="4" s="1"/>
  <c r="DB14" i="4"/>
  <c r="DB15" i="4" s="1"/>
  <c r="DG13" i="4"/>
  <c r="DG14" i="4" s="1"/>
  <c r="DG15" i="4" s="1"/>
  <c r="DH13" i="4"/>
  <c r="DH14" i="4" s="1"/>
  <c r="DH15" i="4" s="1"/>
  <c r="DI13" i="4"/>
  <c r="DI14" i="4" s="1"/>
  <c r="DI15" i="4" s="1"/>
  <c r="DL13" i="4"/>
  <c r="DL14" i="4" s="1"/>
  <c r="DL15" i="4" s="1"/>
  <c r="DN13" i="4"/>
  <c r="DN14" i="4" s="1"/>
  <c r="DN15" i="4" s="1"/>
  <c r="DJ13" i="4"/>
  <c r="DJ14" i="4" s="1"/>
  <c r="DJ15" i="4" s="1"/>
  <c r="DM13" i="4"/>
  <c r="DM14" i="4" s="1"/>
  <c r="DM15" i="4" s="1"/>
  <c r="DK13" i="4"/>
  <c r="DK14" i="4" s="1"/>
  <c r="DK15" i="4" s="1"/>
  <c r="DD13" i="4"/>
  <c r="DD14" i="4" s="1"/>
  <c r="DD15" i="4" s="1"/>
  <c r="DE13" i="4"/>
  <c r="DE14" i="4" s="1"/>
  <c r="DE15" i="4" s="1"/>
  <c r="DC13" i="4"/>
  <c r="DC14" i="4" s="1"/>
  <c r="DC15" i="4" s="1"/>
  <c r="DF13" i="4"/>
  <c r="DF14" i="4" s="1"/>
  <c r="DF15" i="4" s="1"/>
  <c r="AN28" i="4"/>
  <c r="AN29" i="4" s="1"/>
  <c r="AT14" i="4"/>
  <c r="AT15" i="4" s="1"/>
  <c r="DC27" i="4"/>
  <c r="DC28" i="4" s="1"/>
  <c r="DC29" i="4" s="1"/>
  <c r="DB28" i="4"/>
  <c r="DB29" i="4" s="1"/>
  <c r="DE27" i="4"/>
  <c r="DE28" i="4" s="1"/>
  <c r="DE29" i="4" s="1"/>
  <c r="DD27" i="4"/>
  <c r="DD28" i="4" s="1"/>
  <c r="DD29" i="4" s="1"/>
  <c r="DG27" i="4"/>
  <c r="DG28" i="4" s="1"/>
  <c r="DG29" i="4" s="1"/>
  <c r="DH27" i="4"/>
  <c r="DH28" i="4" s="1"/>
  <c r="DH29" i="4" s="1"/>
  <c r="DL27" i="4"/>
  <c r="DL28" i="4" s="1"/>
  <c r="DL29" i="4" s="1"/>
  <c r="DK27" i="4"/>
  <c r="DK28" i="4" s="1"/>
  <c r="DK29" i="4" s="1"/>
  <c r="DN27" i="4"/>
  <c r="DN28" i="4" s="1"/>
  <c r="DN29" i="4" s="1"/>
  <c r="DM27" i="4"/>
  <c r="DM28" i="4" s="1"/>
  <c r="DM29" i="4" s="1"/>
  <c r="DJ27" i="4"/>
  <c r="DJ28" i="4" s="1"/>
  <c r="DJ29" i="4" s="1"/>
  <c r="DI27" i="4"/>
  <c r="DI28" i="4" s="1"/>
  <c r="DI29" i="4" s="1"/>
  <c r="DF27" i="4"/>
  <c r="DF28" i="4" s="1"/>
  <c r="DF29" i="4" s="1"/>
  <c r="BE14" i="4"/>
  <c r="BE15" i="4" s="1"/>
  <c r="AM28" i="4"/>
  <c r="AM29" i="4" s="1"/>
  <c r="CU13" i="4"/>
  <c r="CU14" i="4" s="1"/>
  <c r="CV13" i="4"/>
  <c r="CV14" i="4" s="1"/>
  <c r="CY13" i="4"/>
  <c r="CY14" i="4" s="1"/>
  <c r="CW13" i="4"/>
  <c r="CW14" i="4" s="1"/>
  <c r="CX13" i="4"/>
  <c r="CX14" i="4" s="1"/>
  <c r="CZ13" i="4"/>
  <c r="CZ14" i="4" s="1"/>
  <c r="CT13" i="4"/>
  <c r="CT14" i="4" s="1"/>
  <c r="CO13" i="4"/>
  <c r="CO14" i="4" s="1"/>
  <c r="CO15" i="4" s="1"/>
  <c r="CT34" i="4" s="1"/>
  <c r="CP13" i="4"/>
  <c r="CP14" i="4" s="1"/>
  <c r="CQ13" i="4"/>
  <c r="CQ14" i="4" s="1"/>
  <c r="CR13" i="4"/>
  <c r="CR14" i="4" s="1"/>
  <c r="CS13" i="4"/>
  <c r="CS14" i="4" s="1"/>
  <c r="AU14" i="4"/>
  <c r="AU15" i="4" s="1"/>
  <c r="AL28" i="4"/>
  <c r="AL29" i="4" s="1"/>
  <c r="AW13" i="4"/>
  <c r="AL14" i="4"/>
  <c r="AL15" i="4" s="1"/>
  <c r="BA14" i="4"/>
  <c r="BA15" i="4" s="1"/>
  <c r="AK28" i="4"/>
  <c r="AK29" i="4" s="1"/>
  <c r="AM14" i="4"/>
  <c r="AM15" i="4" s="1"/>
  <c r="BO28" i="4"/>
  <c r="BO29" i="4" s="1"/>
  <c r="AE14" i="4"/>
  <c r="AE15" i="4" s="1"/>
  <c r="AA43" i="4" s="1"/>
  <c r="AS14" i="4"/>
  <c r="AS15" i="4" s="1"/>
  <c r="BN28" i="4"/>
  <c r="BN29" i="4" s="1"/>
  <c r="AV14" i="4"/>
  <c r="AV15" i="4" s="1"/>
  <c r="BM28" i="4"/>
  <c r="BM29" i="4" s="1"/>
  <c r="CN28" i="4"/>
  <c r="CN29" i="4" s="1"/>
  <c r="CZ27" i="4"/>
  <c r="CZ28" i="4" s="1"/>
  <c r="CZ29" i="4" s="1"/>
  <c r="CT27" i="4"/>
  <c r="CT28" i="4" s="1"/>
  <c r="CT29" i="4" s="1"/>
  <c r="CW27" i="4"/>
  <c r="CW28" i="4" s="1"/>
  <c r="CW29" i="4" s="1"/>
  <c r="CS27" i="4"/>
  <c r="CS28" i="4" s="1"/>
  <c r="CS29" i="4" s="1"/>
  <c r="CY27" i="4"/>
  <c r="CY28" i="4" s="1"/>
  <c r="CY29" i="4" s="1"/>
  <c r="CX27" i="4"/>
  <c r="CX28" i="4" s="1"/>
  <c r="CX29" i="4" s="1"/>
  <c r="CU27" i="4"/>
  <c r="CU28" i="4" s="1"/>
  <c r="CU29" i="4" s="1"/>
  <c r="CV27" i="4"/>
  <c r="CV28" i="4" s="1"/>
  <c r="CV29" i="4" s="1"/>
  <c r="CO27" i="4"/>
  <c r="CO28" i="4" s="1"/>
  <c r="CO29" i="4" s="1"/>
  <c r="CP27" i="4"/>
  <c r="CP28" i="4" s="1"/>
  <c r="CP29" i="4" s="1"/>
  <c r="CQ27" i="4"/>
  <c r="CQ28" i="4" s="1"/>
  <c r="CQ29" i="4" s="1"/>
  <c r="CR27" i="4"/>
  <c r="CR28" i="4" s="1"/>
  <c r="CR29" i="4" s="1"/>
  <c r="AO14" i="4"/>
  <c r="AO15" i="4" s="1"/>
  <c r="AY14" i="4"/>
  <c r="AY15" i="4" s="1"/>
  <c r="CD27" i="4"/>
  <c r="CD28" i="4" s="1"/>
  <c r="CD29" i="4" s="1"/>
  <c r="BZ28" i="4"/>
  <c r="BZ29" i="4" s="1"/>
  <c r="CC27" i="4"/>
  <c r="CC28" i="4" s="1"/>
  <c r="CC29" i="4" s="1"/>
  <c r="CE27" i="4"/>
  <c r="CE28" i="4" s="1"/>
  <c r="CE29" i="4" s="1"/>
  <c r="CK27" i="4"/>
  <c r="CK28" i="4" s="1"/>
  <c r="CK29" i="4" s="1"/>
  <c r="CF27" i="4"/>
  <c r="CF28" i="4" s="1"/>
  <c r="CF29" i="4" s="1"/>
  <c r="CG27" i="4"/>
  <c r="CG28" i="4" s="1"/>
  <c r="CG29" i="4" s="1"/>
  <c r="CH27" i="4"/>
  <c r="CH28" i="4" s="1"/>
  <c r="CH29" i="4" s="1"/>
  <c r="CI27" i="4"/>
  <c r="CI28" i="4" s="1"/>
  <c r="CI29" i="4" s="1"/>
  <c r="CJ27" i="4"/>
  <c r="CJ28" i="4" s="1"/>
  <c r="CJ29" i="4" s="1"/>
  <c r="CL27" i="4"/>
  <c r="CL28" i="4" s="1"/>
  <c r="CL29" i="4" s="1"/>
  <c r="CA27" i="4"/>
  <c r="CA28" i="4" s="1"/>
  <c r="CA29" i="4" s="1"/>
  <c r="CB27" i="4"/>
  <c r="CB28" i="4" s="1"/>
  <c r="CB29" i="4" s="1"/>
  <c r="AN14" i="4"/>
  <c r="AN15" i="4" s="1"/>
  <c r="BB14" i="4"/>
  <c r="BB15" i="4" s="1"/>
  <c r="BI14" i="4"/>
  <c r="BI15" i="4" s="1"/>
  <c r="AF14" i="4"/>
  <c r="AF15" i="4" s="1"/>
  <c r="AA44" i="4" s="1"/>
  <c r="AQ14" i="4"/>
  <c r="AQ15" i="4" s="1"/>
  <c r="BJ14" i="4"/>
  <c r="BJ15" i="4" s="1"/>
  <c r="AP14" i="4"/>
  <c r="AP15" i="4" s="1"/>
  <c r="BF14" i="4"/>
  <c r="BF15" i="4" s="1"/>
  <c r="AG14" i="4"/>
  <c r="AG15" i="4" s="1"/>
  <c r="AA45" i="4" s="1"/>
  <c r="BG14" i="4"/>
  <c r="BG15" i="4" s="1"/>
  <c r="AC14" i="4"/>
  <c r="AC15" i="4" s="1"/>
  <c r="AA41" i="4" s="1"/>
  <c r="AK14" i="4"/>
  <c r="AK15" i="4" s="1"/>
  <c r="AZ14" i="4"/>
  <c r="AZ15" i="4" s="1"/>
  <c r="AB14" i="4"/>
  <c r="AB15" i="4" s="1"/>
  <c r="AA40" i="4" s="1"/>
  <c r="BD14" i="4"/>
  <c r="BD15" i="4" s="1"/>
  <c r="AD14" i="4"/>
  <c r="AD15" i="4" s="1"/>
  <c r="AA42" i="4" s="1"/>
  <c r="BL14" i="4"/>
  <c r="BL15" i="4" s="1"/>
  <c r="BS13" i="4"/>
  <c r="BS14" i="4" s="1"/>
  <c r="BS15" i="4" s="1"/>
  <c r="BV13" i="4"/>
  <c r="BV14" i="4" s="1"/>
  <c r="BV15" i="4" s="1"/>
  <c r="BR13" i="4"/>
  <c r="BR14" i="4" s="1"/>
  <c r="BR15" i="4" s="1"/>
  <c r="BX13" i="4"/>
  <c r="BX14" i="4" s="1"/>
  <c r="BX15" i="4" s="1"/>
  <c r="BU13" i="4"/>
  <c r="BU14" i="4" s="1"/>
  <c r="BU15" i="4" s="1"/>
  <c r="BW13" i="4"/>
  <c r="BW14" i="4" s="1"/>
  <c r="BW15" i="4" s="1"/>
  <c r="BT13" i="4"/>
  <c r="BT14" i="4" s="1"/>
  <c r="BT15" i="4" s="1"/>
  <c r="BP13" i="4"/>
  <c r="BP14" i="4" s="1"/>
  <c r="BP15" i="4" s="1"/>
  <c r="BM13" i="4"/>
  <c r="BM14" i="4" s="1"/>
  <c r="BM15" i="4" s="1"/>
  <c r="BN13" i="4"/>
  <c r="BN14" i="4" s="1"/>
  <c r="BN15" i="4" s="1"/>
  <c r="BO13" i="4"/>
  <c r="BO14" i="4" s="1"/>
  <c r="BO15" i="4" s="1"/>
  <c r="BQ13" i="4"/>
  <c r="BQ14" i="4" s="1"/>
  <c r="BQ15" i="4" s="1"/>
  <c r="BC14" i="4"/>
  <c r="BC15" i="4" s="1"/>
  <c r="AX28" i="4"/>
  <c r="AX29" i="4" s="1"/>
  <c r="BI27" i="4"/>
  <c r="BI28" i="4" s="1"/>
  <c r="BI29" i="4" s="1"/>
  <c r="BJ27" i="4"/>
  <c r="BJ28" i="4" s="1"/>
  <c r="BJ29" i="4" s="1"/>
  <c r="BG27" i="4"/>
  <c r="BG28" i="4" s="1"/>
  <c r="BG29" i="4" s="1"/>
  <c r="BB27" i="4"/>
  <c r="BB28" i="4" s="1"/>
  <c r="BB29" i="4" s="1"/>
  <c r="BC27" i="4"/>
  <c r="BC28" i="4" s="1"/>
  <c r="BC29" i="4" s="1"/>
  <c r="BD27" i="4"/>
  <c r="BD28" i="4" s="1"/>
  <c r="BD29" i="4" s="1"/>
  <c r="BH27" i="4"/>
  <c r="BH28" i="4" s="1"/>
  <c r="BH29" i="4" s="1"/>
  <c r="BF27" i="4"/>
  <c r="BF28" i="4" s="1"/>
  <c r="BF29" i="4" s="1"/>
  <c r="BA27" i="4"/>
  <c r="BA28" i="4" s="1"/>
  <c r="BA29" i="4" s="1"/>
  <c r="BE27" i="4"/>
  <c r="BE28" i="4" s="1"/>
  <c r="BE29" i="4" s="1"/>
  <c r="AZ27" i="4"/>
  <c r="AZ28" i="4" s="1"/>
  <c r="AZ29" i="4" s="1"/>
  <c r="AY27" i="4"/>
  <c r="AY28" i="4" s="1"/>
  <c r="AY29" i="4" s="1"/>
  <c r="BH14" i="4"/>
  <c r="BH15" i="4" s="1"/>
  <c r="AA38" i="4"/>
  <c r="AA35" i="4"/>
  <c r="AA36" i="4"/>
  <c r="AA37" i="4"/>
  <c r="AA34" i="4"/>
  <c r="AA39" i="4"/>
  <c r="CC59" i="67"/>
  <c r="I59" i="156" s="1"/>
  <c r="N58" i="36"/>
  <c r="N58" i="32"/>
  <c r="AW26" i="4"/>
  <c r="AW12" i="4"/>
  <c r="G59" i="154" l="1"/>
  <c r="P59" i="154" s="1"/>
  <c r="G59" i="153"/>
  <c r="P59" i="153" s="1"/>
  <c r="U59" i="153" s="1"/>
  <c r="V59" i="153" s="1"/>
  <c r="W59" i="153" s="1"/>
  <c r="K59" i="75"/>
  <c r="H59" i="38"/>
  <c r="N59" i="38" s="1"/>
  <c r="H59" i="28"/>
  <c r="CC60" i="67"/>
  <c r="I60" i="156" s="1"/>
  <c r="N59" i="36"/>
  <c r="N59" i="32"/>
  <c r="AC5" i="57"/>
  <c r="G60" i="154" l="1"/>
  <c r="P60" i="154" s="1"/>
  <c r="G60" i="153"/>
  <c r="P60" i="153" s="1"/>
  <c r="U60" i="153" s="1"/>
  <c r="V60" i="153" s="1"/>
  <c r="W60" i="153" s="1"/>
  <c r="K60" i="75"/>
  <c r="H60" i="38"/>
  <c r="N60" i="38" s="1"/>
  <c r="H60" i="28"/>
  <c r="CC61" i="67"/>
  <c r="I61" i="156" s="1"/>
  <c r="N60" i="36"/>
  <c r="N60" i="32"/>
  <c r="AA6" i="57"/>
  <c r="AC6" i="57" s="1"/>
  <c r="B6" i="57"/>
  <c r="G61" i="154" l="1"/>
  <c r="P61" i="154" s="1"/>
  <c r="G61" i="153"/>
  <c r="P61" i="153" s="1"/>
  <c r="U61" i="153" s="1"/>
  <c r="V61" i="153" s="1"/>
  <c r="W61" i="153" s="1"/>
  <c r="K61" i="75"/>
  <c r="H61" i="38"/>
  <c r="N61" i="38" s="1"/>
  <c r="H61" i="28"/>
  <c r="CC62" i="67"/>
  <c r="I62" i="156" s="1"/>
  <c r="N61" i="36"/>
  <c r="N61" i="32"/>
  <c r="B7" i="57"/>
  <c r="AA7" i="57"/>
  <c r="G62" i="154" l="1"/>
  <c r="P62" i="154" s="1"/>
  <c r="G62" i="153"/>
  <c r="P62" i="153" s="1"/>
  <c r="U62" i="153" s="1"/>
  <c r="H62" i="28"/>
  <c r="K62" i="75"/>
  <c r="H62" i="38"/>
  <c r="N62" i="38" s="1"/>
  <c r="AC7" i="57"/>
  <c r="CC63" i="67"/>
  <c r="I63" i="156" s="1"/>
  <c r="N62" i="36"/>
  <c r="N62" i="32"/>
  <c r="Q62" i="32" s="1"/>
  <c r="AA8" i="57"/>
  <c r="AC8" i="57" s="1"/>
  <c r="B8" i="57"/>
  <c r="V62" i="153" l="1"/>
  <c r="W62" i="153" s="1"/>
  <c r="G63" i="153"/>
  <c r="P63" i="153" s="1"/>
  <c r="U63" i="153" s="1"/>
  <c r="V63" i="153" s="1"/>
  <c r="W63" i="153" s="1"/>
  <c r="G63" i="154"/>
  <c r="P63" i="154" s="1"/>
  <c r="H63" i="38"/>
  <c r="N63" i="38" s="1"/>
  <c r="H63" i="28"/>
  <c r="K63" i="75"/>
  <c r="CC64" i="67"/>
  <c r="I64" i="156" s="1"/>
  <c r="N63" i="36"/>
  <c r="N63" i="32"/>
  <c r="Q63" i="32" s="1"/>
  <c r="B9" i="57"/>
  <c r="AA9" i="57"/>
  <c r="G64" i="154" l="1"/>
  <c r="P64" i="154" s="1"/>
  <c r="G64" i="153"/>
  <c r="P64" i="153" s="1"/>
  <c r="U64" i="153" s="1"/>
  <c r="V64" i="153" s="1"/>
  <c r="W64" i="153" s="1"/>
  <c r="H64" i="38"/>
  <c r="N64" i="38" s="1"/>
  <c r="H64" i="28"/>
  <c r="K64" i="75"/>
  <c r="AA10" i="57"/>
  <c r="AC10" i="57" s="1"/>
  <c r="AC9" i="57"/>
  <c r="CC65" i="67"/>
  <c r="I65" i="156" s="1"/>
  <c r="N64" i="36"/>
  <c r="N64" i="32"/>
  <c r="Q64" i="32" s="1"/>
  <c r="AA11" i="57"/>
  <c r="AC11" i="57" s="1"/>
  <c r="B10" i="57"/>
  <c r="G65" i="153" l="1"/>
  <c r="P65" i="153" s="1"/>
  <c r="U65" i="153" s="1"/>
  <c r="V65" i="153" s="1"/>
  <c r="W65" i="153" s="1"/>
  <c r="G65" i="154"/>
  <c r="P65" i="154" s="1"/>
  <c r="K65" i="75"/>
  <c r="H65" i="28"/>
  <c r="H65" i="38"/>
  <c r="N65" i="38" s="1"/>
  <c r="CC66" i="67"/>
  <c r="I66" i="156" s="1"/>
  <c r="N65" i="32"/>
  <c r="Q65" i="32" s="1"/>
  <c r="N65" i="36"/>
  <c r="B11" i="57"/>
  <c r="B12" i="57" s="1"/>
  <c r="B13" i="57" s="1"/>
  <c r="B14" i="57" s="1"/>
  <c r="AA12" i="57"/>
  <c r="AC12" i="57" s="1"/>
  <c r="G66" i="154" l="1"/>
  <c r="P66" i="154" s="1"/>
  <c r="G66" i="153"/>
  <c r="P66" i="153" s="1"/>
  <c r="U66" i="153" s="1"/>
  <c r="K66" i="75"/>
  <c r="H66" i="28"/>
  <c r="H66" i="38"/>
  <c r="N66" i="38" s="1"/>
  <c r="CC67" i="67"/>
  <c r="I67" i="156" s="1"/>
  <c r="N66" i="36"/>
  <c r="N66" i="32"/>
  <c r="Q66" i="32" s="1"/>
  <c r="AA13" i="57"/>
  <c r="N1"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5" i="38"/>
  <c r="C44" i="38"/>
  <c r="B43" i="38"/>
  <c r="C42" i="38"/>
  <c r="B41" i="38"/>
  <c r="C40" i="38"/>
  <c r="B39" i="38"/>
  <c r="C38" i="38"/>
  <c r="C36" i="38"/>
  <c r="C34" i="38"/>
  <c r="C32" i="38"/>
  <c r="C30" i="38"/>
  <c r="B29" i="38"/>
  <c r="C28" i="38"/>
  <c r="B27" i="38"/>
  <c r="C26" i="38"/>
  <c r="B25" i="38"/>
  <c r="C24" i="38"/>
  <c r="C22" i="38"/>
  <c r="B21" i="38"/>
  <c r="C20" i="38"/>
  <c r="B19" i="38"/>
  <c r="C18" i="38"/>
  <c r="B17" i="38"/>
  <c r="C16" i="38"/>
  <c r="C14" i="38"/>
  <c r="B13" i="38"/>
  <c r="C12" i="38"/>
  <c r="B11" i="38"/>
  <c r="C10" i="38"/>
  <c r="B9" i="38"/>
  <c r="C8" i="38"/>
  <c r="C6" i="38"/>
  <c r="B5" i="38"/>
  <c r="C4" i="38"/>
  <c r="B3" i="38"/>
  <c r="C2" i="38"/>
  <c r="V66" i="153" l="1"/>
  <c r="W66" i="153" s="1"/>
  <c r="G67" i="154"/>
  <c r="P67" i="154" s="1"/>
  <c r="G67" i="153"/>
  <c r="P67" i="153" s="1"/>
  <c r="U67" i="153" s="1"/>
  <c r="V67" i="153" s="1"/>
  <c r="W67" i="153" s="1"/>
  <c r="K67" i="75"/>
  <c r="H67" i="38"/>
  <c r="N67" i="38" s="1"/>
  <c r="H67" i="28"/>
  <c r="AC13" i="57"/>
  <c r="AA14" i="57"/>
  <c r="CC68" i="67"/>
  <c r="I68" i="156" s="1"/>
  <c r="N67" i="36"/>
  <c r="N67" i="32"/>
  <c r="Q67" i="32" s="1"/>
  <c r="B42" i="38"/>
  <c r="C25" i="38"/>
  <c r="C3" i="38"/>
  <c r="B34" i="38"/>
  <c r="C11" i="38"/>
  <c r="C27" i="38"/>
  <c r="B36" i="38"/>
  <c r="C9" i="38"/>
  <c r="C19" i="38"/>
  <c r="B32" i="38"/>
  <c r="C17" i="38"/>
  <c r="B33" i="38"/>
  <c r="C33" i="38"/>
  <c r="B38" i="38"/>
  <c r="B46" i="38"/>
  <c r="C37" i="38"/>
  <c r="B37" i="38"/>
  <c r="B7" i="38"/>
  <c r="C7" i="38"/>
  <c r="B23" i="38"/>
  <c r="C23" i="38"/>
  <c r="B35" i="38"/>
  <c r="C35" i="38"/>
  <c r="B40" i="38"/>
  <c r="B15" i="38"/>
  <c r="C15" i="38"/>
  <c r="B31" i="38"/>
  <c r="C31" i="38"/>
  <c r="B44" i="38"/>
  <c r="C5" i="38"/>
  <c r="C13" i="38"/>
  <c r="C21" i="38"/>
  <c r="C29" i="38"/>
  <c r="C39" i="38"/>
  <c r="C41" i="38"/>
  <c r="C43" i="38"/>
  <c r="C45" i="38"/>
  <c r="B2" i="38"/>
  <c r="B4" i="38"/>
  <c r="B6" i="38"/>
  <c r="B8" i="38"/>
  <c r="B10" i="38"/>
  <c r="B12" i="38"/>
  <c r="B14" i="38"/>
  <c r="B16" i="38"/>
  <c r="B18" i="38"/>
  <c r="B20" i="38"/>
  <c r="B22" i="38"/>
  <c r="B24" i="38"/>
  <c r="B26" i="38"/>
  <c r="B28" i="38"/>
  <c r="B30" i="38"/>
  <c r="G68" i="154" l="1"/>
  <c r="P68" i="154" s="1"/>
  <c r="G68" i="153"/>
  <c r="P68" i="153" s="1"/>
  <c r="U68" i="153" s="1"/>
  <c r="K68" i="75"/>
  <c r="H68" i="38"/>
  <c r="N68" i="38" s="1"/>
  <c r="H68" i="28"/>
  <c r="AC14" i="57"/>
  <c r="CC69" i="67"/>
  <c r="I69" i="156" s="1"/>
  <c r="N68" i="36"/>
  <c r="N68" i="32"/>
  <c r="Q68" i="32" s="1"/>
  <c r="K2" i="34"/>
  <c r="K3" i="34"/>
  <c r="K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39" i="34"/>
  <c r="K40" i="34"/>
  <c r="K41" i="34"/>
  <c r="K42" i="34"/>
  <c r="K43" i="34"/>
  <c r="K44" i="34"/>
  <c r="K45" i="34"/>
  <c r="K46" i="34"/>
  <c r="K47" i="34"/>
  <c r="K48" i="34"/>
  <c r="K49" i="34"/>
  <c r="K50" i="34"/>
  <c r="K51" i="34"/>
  <c r="K52" i="34"/>
  <c r="K53" i="34"/>
  <c r="K54" i="34"/>
  <c r="K55" i="34"/>
  <c r="K56" i="34"/>
  <c r="K57" i="34"/>
  <c r="K58" i="34"/>
  <c r="K59" i="34"/>
  <c r="K60" i="34"/>
  <c r="K61" i="34"/>
  <c r="K62" i="34"/>
  <c r="K63" i="34"/>
  <c r="K64" i="34"/>
  <c r="K65" i="34"/>
  <c r="K66" i="34"/>
  <c r="K67" i="34"/>
  <c r="K68" i="34"/>
  <c r="K69" i="34"/>
  <c r="K70" i="34"/>
  <c r="K71" i="34"/>
  <c r="K72" i="34"/>
  <c r="K73" i="34"/>
  <c r="K74" i="34"/>
  <c r="K75" i="34"/>
  <c r="K76" i="34"/>
  <c r="K77" i="34"/>
  <c r="K78" i="34"/>
  <c r="K79" i="34"/>
  <c r="K80" i="34"/>
  <c r="K81" i="34"/>
  <c r="K82" i="34"/>
  <c r="K83" i="34"/>
  <c r="K84" i="34"/>
  <c r="K85" i="34"/>
  <c r="P3" i="34"/>
  <c r="P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N1" i="34"/>
  <c r="C85" i="34"/>
  <c r="B85" i="34"/>
  <c r="C84" i="34"/>
  <c r="B84" i="34"/>
  <c r="C83" i="34"/>
  <c r="B83" i="34"/>
  <c r="C82" i="34"/>
  <c r="B82" i="34"/>
  <c r="C81" i="34"/>
  <c r="B81" i="34"/>
  <c r="C80" i="34"/>
  <c r="B80" i="34"/>
  <c r="C79" i="34"/>
  <c r="B79"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C63" i="34"/>
  <c r="B63" i="34"/>
  <c r="C62" i="34"/>
  <c r="B62" i="34"/>
  <c r="C61" i="34"/>
  <c r="B61" i="34"/>
  <c r="C60" i="34"/>
  <c r="B60" i="34"/>
  <c r="C59" i="34"/>
  <c r="B59" i="34"/>
  <c r="C58" i="34"/>
  <c r="B58" i="34"/>
  <c r="C57" i="34"/>
  <c r="B57" i="34"/>
  <c r="C56" i="34"/>
  <c r="B56" i="34"/>
  <c r="C55" i="34"/>
  <c r="B55" i="34"/>
  <c r="C54" i="34"/>
  <c r="B54" i="34"/>
  <c r="C53" i="34"/>
  <c r="B53" i="34"/>
  <c r="C52" i="34"/>
  <c r="B52" i="34"/>
  <c r="C51" i="34"/>
  <c r="B51" i="34"/>
  <c r="C50" i="34"/>
  <c r="B50" i="34"/>
  <c r="C49" i="34"/>
  <c r="B49" i="34"/>
  <c r="C48" i="34"/>
  <c r="B48" i="34"/>
  <c r="C47" i="34"/>
  <c r="B47" i="34"/>
  <c r="C46" i="34"/>
  <c r="C45" i="34"/>
  <c r="C44" i="34"/>
  <c r="C43" i="34"/>
  <c r="C42" i="34"/>
  <c r="B41" i="34"/>
  <c r="C40" i="34"/>
  <c r="B39" i="34"/>
  <c r="C38" i="34"/>
  <c r="B37" i="34"/>
  <c r="C36" i="34"/>
  <c r="B35" i="34"/>
  <c r="C34" i="34"/>
  <c r="B33" i="34"/>
  <c r="B32" i="34"/>
  <c r="C30" i="34"/>
  <c r="C29" i="34"/>
  <c r="C28" i="34"/>
  <c r="C27" i="34"/>
  <c r="C26" i="34"/>
  <c r="C25" i="34"/>
  <c r="C24" i="34"/>
  <c r="C22" i="34"/>
  <c r="C21" i="34"/>
  <c r="C20" i="34"/>
  <c r="C19" i="34"/>
  <c r="C18" i="34"/>
  <c r="C17" i="34"/>
  <c r="C16" i="34"/>
  <c r="C14" i="34"/>
  <c r="C13" i="34"/>
  <c r="C12" i="34"/>
  <c r="C11" i="34"/>
  <c r="C10" i="34"/>
  <c r="C9" i="34"/>
  <c r="C8" i="34"/>
  <c r="C6" i="34"/>
  <c r="C5" i="34"/>
  <c r="C4" i="34"/>
  <c r="C3" i="34"/>
  <c r="C2" i="34"/>
  <c r="N2" i="28"/>
  <c r="N3" i="28"/>
  <c r="N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V68" i="153" l="1"/>
  <c r="W68" i="153" s="1"/>
  <c r="G69" i="153"/>
  <c r="P69" i="153" s="1"/>
  <c r="U69" i="153" s="1"/>
  <c r="V69" i="153" s="1"/>
  <c r="W69" i="153" s="1"/>
  <c r="G69" i="154"/>
  <c r="P69" i="154" s="1"/>
  <c r="K69" i="75"/>
  <c r="H69" i="28"/>
  <c r="H69" i="38"/>
  <c r="N69" i="38" s="1"/>
  <c r="AC33" i="57"/>
  <c r="AC34" i="57"/>
  <c r="CC70" i="67"/>
  <c r="I70" i="156" s="1"/>
  <c r="N69" i="36"/>
  <c r="N69" i="32"/>
  <c r="Q69" i="32" s="1"/>
  <c r="B30" i="34"/>
  <c r="B5" i="34"/>
  <c r="B27" i="34"/>
  <c r="B11" i="34"/>
  <c r="C32" i="34"/>
  <c r="C33" i="34"/>
  <c r="C37" i="34"/>
  <c r="B40" i="34"/>
  <c r="C41" i="34"/>
  <c r="B21" i="34"/>
  <c r="C35" i="34"/>
  <c r="B13" i="34"/>
  <c r="B29" i="34"/>
  <c r="B42" i="34"/>
  <c r="B43" i="34"/>
  <c r="B44" i="34"/>
  <c r="B45" i="34"/>
  <c r="B46" i="34"/>
  <c r="B3" i="34"/>
  <c r="B9" i="34"/>
  <c r="B19" i="34"/>
  <c r="B25" i="34"/>
  <c r="B34" i="34"/>
  <c r="B36" i="34"/>
  <c r="B38" i="34"/>
  <c r="C39" i="34"/>
  <c r="C23" i="34"/>
  <c r="B23" i="34"/>
  <c r="C31" i="34"/>
  <c r="B31" i="34"/>
  <c r="C15" i="34"/>
  <c r="B15" i="34"/>
  <c r="C7" i="34"/>
  <c r="B7" i="34"/>
  <c r="B17" i="34"/>
  <c r="B2" i="34"/>
  <c r="B6" i="34"/>
  <c r="B10" i="34"/>
  <c r="B14" i="34"/>
  <c r="B18" i="34"/>
  <c r="B22" i="34"/>
  <c r="B26" i="34"/>
  <c r="B4" i="34"/>
  <c r="B8" i="34"/>
  <c r="B12" i="34"/>
  <c r="B16" i="34"/>
  <c r="B20" i="34"/>
  <c r="B24" i="34"/>
  <c r="B28" i="34"/>
  <c r="N1" i="30"/>
  <c r="G70" i="153" l="1"/>
  <c r="P70" i="153" s="1"/>
  <c r="U70" i="153" s="1"/>
  <c r="V70" i="153" s="1"/>
  <c r="W70" i="153" s="1"/>
  <c r="K70" i="75"/>
  <c r="G70" i="154"/>
  <c r="P70" i="154" s="1"/>
  <c r="H70" i="38"/>
  <c r="N70" i="38" s="1"/>
  <c r="H70" i="28"/>
  <c r="CC71" i="67"/>
  <c r="I71" i="156" s="1"/>
  <c r="N70" i="36"/>
  <c r="N70" i="32"/>
  <c r="Q70" i="32" s="1"/>
  <c r="J13" i="15"/>
  <c r="I9" i="15"/>
  <c r="O9" i="15"/>
  <c r="C9" i="15"/>
  <c r="G71" i="153" l="1"/>
  <c r="P71" i="153" s="1"/>
  <c r="U71" i="153" s="1"/>
  <c r="V71" i="153" s="1"/>
  <c r="W71" i="153" s="1"/>
  <c r="G71" i="154"/>
  <c r="P71" i="154" s="1"/>
  <c r="H71" i="38"/>
  <c r="N71" i="38" s="1"/>
  <c r="H71" i="28"/>
  <c r="K71" i="75"/>
  <c r="CC72" i="67"/>
  <c r="I72" i="156" s="1"/>
  <c r="N71" i="36"/>
  <c r="N71" i="32"/>
  <c r="Q71" i="32" s="1"/>
  <c r="O68" i="34"/>
  <c r="O67" i="34"/>
  <c r="O66" i="34"/>
  <c r="O65" i="34"/>
  <c r="O64" i="34"/>
  <c r="O63" i="34"/>
  <c r="G72" i="154" l="1"/>
  <c r="P72" i="154" s="1"/>
  <c r="G72" i="153"/>
  <c r="P72" i="153" s="1"/>
  <c r="U72" i="153" s="1"/>
  <c r="V72" i="153" s="1"/>
  <c r="W72" i="153" s="1"/>
  <c r="H72" i="38"/>
  <c r="N72" i="38" s="1"/>
  <c r="K72" i="75"/>
  <c r="H72" i="28"/>
  <c r="CC73" i="67"/>
  <c r="I73" i="156" s="1"/>
  <c r="N72" i="36"/>
  <c r="N72" i="32"/>
  <c r="Q72" i="32" s="1"/>
  <c r="O69" i="34"/>
  <c r="O71" i="34"/>
  <c r="O73" i="34"/>
  <c r="O70" i="34"/>
  <c r="O72" i="34"/>
  <c r="O62" i="34"/>
  <c r="M47" i="32"/>
  <c r="L47" i="28"/>
  <c r="L43" i="28"/>
  <c r="M43" i="32"/>
  <c r="M41" i="32"/>
  <c r="L41" i="28"/>
  <c r="M39" i="32"/>
  <c r="L39" i="28"/>
  <c r="M37" i="32"/>
  <c r="L37" i="28"/>
  <c r="L35" i="28"/>
  <c r="M35" i="32"/>
  <c r="M23" i="32"/>
  <c r="L23" i="28"/>
  <c r="M21" i="32"/>
  <c r="L21" i="28"/>
  <c r="M19" i="32"/>
  <c r="L19" i="28"/>
  <c r="M17" i="32"/>
  <c r="L17" i="28"/>
  <c r="L11" i="28"/>
  <c r="M11" i="32"/>
  <c r="M9" i="32"/>
  <c r="L9" i="28"/>
  <c r="M61" i="32"/>
  <c r="L61" i="28"/>
  <c r="L58" i="32"/>
  <c r="M53" i="32"/>
  <c r="L53" i="28"/>
  <c r="N60" i="28"/>
  <c r="L49" i="32"/>
  <c r="Q49" i="32" s="1"/>
  <c r="L47" i="32"/>
  <c r="Q47" i="32" s="1"/>
  <c r="L45" i="32"/>
  <c r="L43" i="32"/>
  <c r="L41" i="32"/>
  <c r="L39" i="32"/>
  <c r="L37" i="32"/>
  <c r="L35" i="32"/>
  <c r="L33" i="32"/>
  <c r="Q33" i="32" s="1"/>
  <c r="L31" i="32"/>
  <c r="L29" i="32"/>
  <c r="L27" i="32"/>
  <c r="L25" i="32"/>
  <c r="L23" i="32"/>
  <c r="L21" i="32"/>
  <c r="L19" i="32"/>
  <c r="Q19" i="32" s="1"/>
  <c r="L17" i="32"/>
  <c r="Q17" i="32" s="1"/>
  <c r="L15" i="32"/>
  <c r="L13" i="32"/>
  <c r="L11" i="32"/>
  <c r="L9" i="32"/>
  <c r="L7" i="32"/>
  <c r="L5" i="32"/>
  <c r="L3" i="32"/>
  <c r="L1" i="36"/>
  <c r="L1" i="32"/>
  <c r="L61" i="32"/>
  <c r="Q61" i="32" s="1"/>
  <c r="L60" i="28"/>
  <c r="M60" i="32"/>
  <c r="L57" i="32"/>
  <c r="L56" i="28"/>
  <c r="M56" i="32"/>
  <c r="L53" i="32"/>
  <c r="Q53" i="32" s="1"/>
  <c r="L52" i="28"/>
  <c r="M52" i="32"/>
  <c r="N61" i="28"/>
  <c r="N57" i="28"/>
  <c r="N53" i="28"/>
  <c r="M49" i="32"/>
  <c r="L49" i="28"/>
  <c r="M29" i="32"/>
  <c r="L29" i="28"/>
  <c r="L27" i="28"/>
  <c r="M27" i="32"/>
  <c r="M25" i="32"/>
  <c r="L25" i="28"/>
  <c r="M15" i="32"/>
  <c r="L15" i="28"/>
  <c r="M13" i="32"/>
  <c r="L13" i="28"/>
  <c r="L1" i="38"/>
  <c r="M1" i="36"/>
  <c r="L1" i="28"/>
  <c r="M48" i="32"/>
  <c r="L48" i="28"/>
  <c r="L46" i="28"/>
  <c r="M46" i="32"/>
  <c r="M44" i="32"/>
  <c r="L44" i="28"/>
  <c r="L42" i="28"/>
  <c r="M42" i="32"/>
  <c r="M40" i="32"/>
  <c r="L40" i="28"/>
  <c r="L38" i="28"/>
  <c r="M38" i="32"/>
  <c r="M36" i="32"/>
  <c r="L36" i="28"/>
  <c r="L34" i="28"/>
  <c r="M34" i="32"/>
  <c r="M32" i="32"/>
  <c r="L32" i="28"/>
  <c r="L30" i="28"/>
  <c r="M30" i="32"/>
  <c r="M28" i="32"/>
  <c r="L28" i="28"/>
  <c r="L26" i="28"/>
  <c r="M26" i="32"/>
  <c r="M24" i="32"/>
  <c r="L24" i="28"/>
  <c r="L22" i="28"/>
  <c r="M22" i="32"/>
  <c r="M20" i="32"/>
  <c r="L20" i="28"/>
  <c r="L18" i="28"/>
  <c r="M18" i="32"/>
  <c r="M16" i="32"/>
  <c r="L16" i="28"/>
  <c r="L14" i="28"/>
  <c r="M14" i="32"/>
  <c r="M12" i="32"/>
  <c r="L12" i="28"/>
  <c r="L10" i="28"/>
  <c r="M10" i="32"/>
  <c r="M8" i="32"/>
  <c r="L8" i="28"/>
  <c r="L6" i="28"/>
  <c r="M6" i="32"/>
  <c r="M4" i="32"/>
  <c r="L4" i="28"/>
  <c r="L2" i="28"/>
  <c r="O2" i="28" s="1"/>
  <c r="M2" i="32"/>
  <c r="M1" i="34"/>
  <c r="M1" i="30"/>
  <c r="L60" i="32"/>
  <c r="M59" i="32"/>
  <c r="L59" i="28"/>
  <c r="L56" i="32"/>
  <c r="M55" i="32"/>
  <c r="L55" i="28"/>
  <c r="L52" i="32"/>
  <c r="Q52" i="32" s="1"/>
  <c r="M51" i="32"/>
  <c r="L51" i="28"/>
  <c r="N58" i="28"/>
  <c r="N54" i="28"/>
  <c r="M45" i="32"/>
  <c r="L45" i="28"/>
  <c r="M33" i="32"/>
  <c r="L33" i="28"/>
  <c r="M31" i="32"/>
  <c r="L31" i="28"/>
  <c r="M7" i="32"/>
  <c r="L7" i="28"/>
  <c r="M5" i="32"/>
  <c r="L5" i="28"/>
  <c r="L3" i="28"/>
  <c r="M3" i="32"/>
  <c r="M57" i="32"/>
  <c r="L57" i="28"/>
  <c r="L54" i="32"/>
  <c r="Q54" i="32" s="1"/>
  <c r="L50" i="32"/>
  <c r="Q50" i="32" s="1"/>
  <c r="N56" i="28"/>
  <c r="N52" i="28"/>
  <c r="L48" i="32"/>
  <c r="L46" i="32"/>
  <c r="L44" i="32"/>
  <c r="L42" i="32"/>
  <c r="L40" i="32"/>
  <c r="L38" i="32"/>
  <c r="L36" i="32"/>
  <c r="L34" i="32"/>
  <c r="Q34" i="32" s="1"/>
  <c r="L32" i="32"/>
  <c r="Q32" i="32" s="1"/>
  <c r="L30" i="32"/>
  <c r="Q30" i="32" s="1"/>
  <c r="L28" i="32"/>
  <c r="Q28" i="32" s="1"/>
  <c r="L26" i="32"/>
  <c r="Q26" i="32" s="1"/>
  <c r="L24" i="32"/>
  <c r="L22" i="32"/>
  <c r="Q22" i="32" s="1"/>
  <c r="L20" i="32"/>
  <c r="L18" i="32"/>
  <c r="L16" i="32"/>
  <c r="L14" i="32"/>
  <c r="L12" i="32"/>
  <c r="L10" i="32"/>
  <c r="L8" i="32"/>
  <c r="L6" i="32"/>
  <c r="L4" i="32"/>
  <c r="L2" i="32"/>
  <c r="Q2" i="32" s="1"/>
  <c r="K1" i="38"/>
  <c r="L1" i="34"/>
  <c r="K1" i="28"/>
  <c r="L1" i="30"/>
  <c r="L59" i="32"/>
  <c r="Q59" i="32" s="1"/>
  <c r="L58" i="28"/>
  <c r="M58" i="32"/>
  <c r="L55" i="32"/>
  <c r="L54" i="28"/>
  <c r="M54" i="32"/>
  <c r="L51" i="32"/>
  <c r="L50" i="28"/>
  <c r="M50" i="32"/>
  <c r="N50" i="28"/>
  <c r="N59" i="28"/>
  <c r="N55" i="28"/>
  <c r="N51" i="28"/>
  <c r="O58" i="34"/>
  <c r="O50" i="34"/>
  <c r="O61" i="34"/>
  <c r="O57" i="34"/>
  <c r="O53" i="34"/>
  <c r="O54" i="34"/>
  <c r="O60" i="34"/>
  <c r="O56" i="34"/>
  <c r="O52" i="34"/>
  <c r="O59" i="34"/>
  <c r="O55" i="34"/>
  <c r="O51" i="34"/>
  <c r="Q15" i="32" l="1"/>
  <c r="Q24" i="32"/>
  <c r="Q23" i="32"/>
  <c r="Q58" i="32"/>
  <c r="Q27" i="32"/>
  <c r="Q29" i="32"/>
  <c r="Q31" i="32"/>
  <c r="Q21" i="32"/>
  <c r="Q57" i="32"/>
  <c r="Q4" i="32"/>
  <c r="Q6" i="32"/>
  <c r="Q25" i="32"/>
  <c r="Q42" i="32"/>
  <c r="Q3" i="32"/>
  <c r="Q44" i="32"/>
  <c r="Q5" i="32"/>
  <c r="Q14" i="32"/>
  <c r="Q9" i="32"/>
  <c r="Q41" i="32"/>
  <c r="Q56" i="32"/>
  <c r="Q8" i="32"/>
  <c r="Q35" i="32"/>
  <c r="Q12" i="32"/>
  <c r="Q37" i="32"/>
  <c r="Q46" i="32"/>
  <c r="Q39" i="32"/>
  <c r="Q16" i="32"/>
  <c r="Q55" i="32"/>
  <c r="Q18" i="32"/>
  <c r="Q11" i="32"/>
  <c r="Q43" i="32"/>
  <c r="Q36" i="32"/>
  <c r="Q38" i="32"/>
  <c r="Q40" i="32"/>
  <c r="Q10" i="32"/>
  <c r="Q60" i="32"/>
  <c r="Q51" i="32"/>
  <c r="Q7" i="32"/>
  <c r="Q48" i="32"/>
  <c r="Q20" i="32"/>
  <c r="Q13" i="32"/>
  <c r="Q45" i="32"/>
  <c r="G73" i="153"/>
  <c r="P73" i="153" s="1"/>
  <c r="U73" i="153" s="1"/>
  <c r="V73" i="153" s="1"/>
  <c r="W73" i="153" s="1"/>
  <c r="G73" i="154"/>
  <c r="P73" i="154" s="1"/>
  <c r="K73" i="75"/>
  <c r="H73" i="28"/>
  <c r="N73" i="28" s="1"/>
  <c r="O73" i="28" s="1"/>
  <c r="H73" i="38"/>
  <c r="N73" i="38" s="1"/>
  <c r="CC74" i="67"/>
  <c r="I74" i="156" s="1"/>
  <c r="N73" i="36"/>
  <c r="N73" i="32"/>
  <c r="Q73" i="32" s="1"/>
  <c r="N69" i="28"/>
  <c r="O69" i="28" s="1"/>
  <c r="N71" i="28"/>
  <c r="O71" i="28" s="1"/>
  <c r="N68" i="28"/>
  <c r="O68" i="28" s="1"/>
  <c r="N65" i="28"/>
  <c r="O65" i="28" s="1"/>
  <c r="N67" i="28"/>
  <c r="O67" i="28" s="1"/>
  <c r="N63" i="28"/>
  <c r="O63" i="28" s="1"/>
  <c r="N62" i="28"/>
  <c r="O62" i="28" s="1"/>
  <c r="N70" i="28"/>
  <c r="O70" i="28" s="1"/>
  <c r="N72" i="28"/>
  <c r="O72" i="28" s="1"/>
  <c r="N64" i="28"/>
  <c r="O64" i="28" s="1"/>
  <c r="N66" i="28"/>
  <c r="O66" i="28" s="1"/>
  <c r="O18" i="28"/>
  <c r="O52" i="28"/>
  <c r="O33" i="28"/>
  <c r="O15" i="28"/>
  <c r="O37" i="28"/>
  <c r="O47" i="28"/>
  <c r="O57" i="28"/>
  <c r="O60" i="28"/>
  <c r="O40" i="28"/>
  <c r="O41" i="28"/>
  <c r="O22" i="28"/>
  <c r="O11" i="28"/>
  <c r="O46" i="28"/>
  <c r="O49" i="28"/>
  <c r="O45" i="28"/>
  <c r="O39" i="28"/>
  <c r="O51" i="28"/>
  <c r="O56" i="28"/>
  <c r="O9" i="28"/>
  <c r="O12" i="28"/>
  <c r="O80" i="34"/>
  <c r="O75" i="34"/>
  <c r="O82" i="34"/>
  <c r="O85" i="34"/>
  <c r="O81" i="34"/>
  <c r="O78" i="34"/>
  <c r="O76" i="34"/>
  <c r="O83" i="34"/>
  <c r="O77" i="34"/>
  <c r="O74" i="34"/>
  <c r="P56" i="34"/>
  <c r="P51" i="34"/>
  <c r="P54" i="34"/>
  <c r="P57" i="34"/>
  <c r="P59" i="34"/>
  <c r="P55" i="34"/>
  <c r="P50" i="34"/>
  <c r="P52" i="34"/>
  <c r="P58" i="34"/>
  <c r="P53" i="34"/>
  <c r="P61" i="34"/>
  <c r="P60" i="34"/>
  <c r="G74" i="154" l="1"/>
  <c r="P74" i="154" s="1"/>
  <c r="G74" i="153"/>
  <c r="P74" i="153" s="1"/>
  <c r="U74" i="153" s="1"/>
  <c r="K74" i="75"/>
  <c r="H74" i="28"/>
  <c r="N74" i="28" s="1"/>
  <c r="O74" i="28" s="1"/>
  <c r="H74" i="38"/>
  <c r="N74" i="38" s="1"/>
  <c r="CC75" i="67"/>
  <c r="I75" i="156" s="1"/>
  <c r="N74" i="36"/>
  <c r="N74" i="32"/>
  <c r="Q74" i="32" s="1"/>
  <c r="O36" i="28"/>
  <c r="O54" i="28"/>
  <c r="O38" i="28"/>
  <c r="O16" i="28"/>
  <c r="O21" i="28"/>
  <c r="O23" i="28"/>
  <c r="O19" i="28"/>
  <c r="O26" i="28"/>
  <c r="O31" i="28"/>
  <c r="O6" i="28"/>
  <c r="O35" i="28"/>
  <c r="O7" i="28"/>
  <c r="O59" i="28"/>
  <c r="O20" i="28"/>
  <c r="O3" i="28"/>
  <c r="O8" i="28"/>
  <c r="O14" i="28"/>
  <c r="O29" i="28"/>
  <c r="O55" i="28"/>
  <c r="O10" i="28"/>
  <c r="O25" i="28"/>
  <c r="O17" i="28"/>
  <c r="O58" i="28"/>
  <c r="O61" i="28"/>
  <c r="O34" i="28"/>
  <c r="O24" i="28"/>
  <c r="O53" i="28"/>
  <c r="O44" i="28"/>
  <c r="O43" i="28"/>
  <c r="O4" i="28"/>
  <c r="O50" i="28"/>
  <c r="O32" i="28"/>
  <c r="O48" i="28"/>
  <c r="O5" i="28"/>
  <c r="O42" i="28"/>
  <c r="O27" i="28"/>
  <c r="O13" i="28"/>
  <c r="O28" i="28"/>
  <c r="O30" i="28"/>
  <c r="O84" i="34"/>
  <c r="O79" i="34"/>
  <c r="P73" i="34"/>
  <c r="P70" i="34"/>
  <c r="P64" i="34"/>
  <c r="P66" i="34"/>
  <c r="P63" i="34"/>
  <c r="P62" i="34"/>
  <c r="P72" i="34"/>
  <c r="P65" i="34"/>
  <c r="P69" i="34"/>
  <c r="P67" i="34"/>
  <c r="P71" i="34"/>
  <c r="P68" i="34"/>
  <c r="G75" i="154" l="1"/>
  <c r="P75" i="154" s="1"/>
  <c r="G75" i="153"/>
  <c r="P75" i="153" s="1"/>
  <c r="U75" i="153" s="1"/>
  <c r="K75" i="75"/>
  <c r="H75" i="38"/>
  <c r="N75" i="38" s="1"/>
  <c r="H75" i="28"/>
  <c r="N75" i="28" s="1"/>
  <c r="O75" i="28" s="1"/>
  <c r="CC76" i="67"/>
  <c r="I76" i="156" s="1"/>
  <c r="N75" i="36"/>
  <c r="N75" i="32"/>
  <c r="Q75" i="32" s="1"/>
  <c r="P77" i="34"/>
  <c r="P84" i="34"/>
  <c r="P74" i="34"/>
  <c r="P75" i="34"/>
  <c r="P78" i="34"/>
  <c r="P76" i="34"/>
  <c r="P80" i="34"/>
  <c r="P79" i="34"/>
  <c r="P83" i="34"/>
  <c r="P82" i="34"/>
  <c r="P81" i="34"/>
  <c r="P85" i="34"/>
  <c r="AB33" i="4"/>
  <c r="AA33" i="4"/>
  <c r="DI33" i="4"/>
  <c r="DH33" i="4"/>
  <c r="CU33" i="4"/>
  <c r="CT33" i="4"/>
  <c r="G76" i="154" l="1"/>
  <c r="P76" i="154" s="1"/>
  <c r="G76" i="153"/>
  <c r="P76" i="153" s="1"/>
  <c r="U76" i="153" s="1"/>
  <c r="K76" i="75"/>
  <c r="H76" i="38"/>
  <c r="N76" i="38" s="1"/>
  <c r="H76" i="28"/>
  <c r="N76" i="28" s="1"/>
  <c r="O76" i="28" s="1"/>
  <c r="CC77" i="67"/>
  <c r="I77" i="156" s="1"/>
  <c r="N76" i="36"/>
  <c r="N76" i="32"/>
  <c r="Q76" i="32" s="1"/>
  <c r="P86" i="34"/>
  <c r="P88" i="34"/>
  <c r="P95" i="34"/>
  <c r="P90" i="34"/>
  <c r="P91" i="34"/>
  <c r="P94" i="34"/>
  <c r="P97" i="34"/>
  <c r="P92" i="34"/>
  <c r="P89" i="34"/>
  <c r="P93" i="34"/>
  <c r="P87" i="34"/>
  <c r="AQ42" i="4"/>
  <c r="BE41" i="4"/>
  <c r="E9" i="155" s="1"/>
  <c r="L9" i="155" s="1"/>
  <c r="P9" i="155" s="1"/>
  <c r="BE42" i="4"/>
  <c r="E10" i="155" s="1"/>
  <c r="L10" i="155" s="1"/>
  <c r="P10" i="155" s="1"/>
  <c r="BE39" i="4"/>
  <c r="E7" i="155" s="1"/>
  <c r="L7" i="155" s="1"/>
  <c r="P7" i="155" s="1"/>
  <c r="BE43" i="4"/>
  <c r="E11" i="155" s="1"/>
  <c r="L11" i="155" s="1"/>
  <c r="P11" i="155" s="1"/>
  <c r="BE38" i="4"/>
  <c r="E6" i="155" s="1"/>
  <c r="L6" i="155" s="1"/>
  <c r="P6" i="155" s="1"/>
  <c r="BE37" i="4"/>
  <c r="E5" i="155" s="1"/>
  <c r="L5" i="155" s="1"/>
  <c r="P5" i="155" s="1"/>
  <c r="BE36" i="4"/>
  <c r="E4" i="155" s="1"/>
  <c r="L4" i="155" s="1"/>
  <c r="P4" i="155" s="1"/>
  <c r="BE45" i="4"/>
  <c r="E13" i="155" s="1"/>
  <c r="L13" i="155" s="1"/>
  <c r="P13" i="155" s="1"/>
  <c r="BE40" i="4"/>
  <c r="E8" i="155" s="1"/>
  <c r="L8" i="155" s="1"/>
  <c r="P8" i="155" s="1"/>
  <c r="BE35" i="4"/>
  <c r="E3" i="155" s="1"/>
  <c r="L3" i="155" s="1"/>
  <c r="P3" i="155" s="1"/>
  <c r="BE44" i="4"/>
  <c r="E12" i="155" s="1"/>
  <c r="L12" i="155" s="1"/>
  <c r="P12" i="155" s="1"/>
  <c r="CW15" i="4"/>
  <c r="CV15" i="4"/>
  <c r="CR15" i="4"/>
  <c r="CZ15" i="4"/>
  <c r="CU15" i="4"/>
  <c r="CP15" i="4"/>
  <c r="CY15" i="4"/>
  <c r="CT15" i="4"/>
  <c r="CS15" i="4"/>
  <c r="CQ15" i="4"/>
  <c r="CX15" i="4"/>
  <c r="CF15" i="4"/>
  <c r="CD15" i="4"/>
  <c r="CC15" i="4"/>
  <c r="CJ15" i="4"/>
  <c r="CB15" i="4"/>
  <c r="CA15" i="4"/>
  <c r="CF34" i="4" s="1"/>
  <c r="CL15" i="4"/>
  <c r="CI15" i="4"/>
  <c r="CK15" i="4"/>
  <c r="CH15" i="4"/>
  <c r="CE15" i="4"/>
  <c r="CG15" i="4"/>
  <c r="E8" i="152" l="1"/>
  <c r="E5" i="152"/>
  <c r="E7" i="152"/>
  <c r="E12" i="152"/>
  <c r="E3" i="152"/>
  <c r="E13" i="152"/>
  <c r="E4" i="152"/>
  <c r="E6" i="152"/>
  <c r="E11" i="152"/>
  <c r="E10" i="152"/>
  <c r="E9" i="152"/>
  <c r="G77" i="154"/>
  <c r="P77" i="154" s="1"/>
  <c r="G77" i="153"/>
  <c r="P77" i="153" s="1"/>
  <c r="U77" i="153" s="1"/>
  <c r="K77" i="75"/>
  <c r="H77" i="38"/>
  <c r="N77" i="38" s="1"/>
  <c r="H77" i="28"/>
  <c r="N77" i="28" s="1"/>
  <c r="O77" i="28" s="1"/>
  <c r="CC78" i="67"/>
  <c r="I78" i="156" s="1"/>
  <c r="N77" i="36"/>
  <c r="N77" i="32"/>
  <c r="Q77" i="32" s="1"/>
  <c r="AW27" i="4"/>
  <c r="P99" i="34"/>
  <c r="P105" i="34"/>
  <c r="P107" i="34"/>
  <c r="P104" i="34"/>
  <c r="P103" i="34"/>
  <c r="P108" i="34"/>
  <c r="P100" i="34"/>
  <c r="P106" i="34"/>
  <c r="P98" i="34"/>
  <c r="P102" i="34"/>
  <c r="P101" i="34"/>
  <c r="DH42" i="4"/>
  <c r="E10" i="156" s="1"/>
  <c r="DH41" i="4"/>
  <c r="E9" i="156" s="1"/>
  <c r="DI45" i="4"/>
  <c r="DH39" i="4"/>
  <c r="E7" i="156" s="1"/>
  <c r="DI41" i="4"/>
  <c r="DH44" i="4"/>
  <c r="E12" i="156" s="1"/>
  <c r="DI36" i="4"/>
  <c r="DI37" i="4"/>
  <c r="DI38" i="4"/>
  <c r="DI39" i="4"/>
  <c r="DI40" i="4"/>
  <c r="DI44" i="4"/>
  <c r="DH45" i="4"/>
  <c r="E13" i="156" s="1"/>
  <c r="DH35" i="4"/>
  <c r="E3" i="156" s="1"/>
  <c r="DH37" i="4"/>
  <c r="E5" i="156" s="1"/>
  <c r="DI35" i="4"/>
  <c r="DI42" i="4"/>
  <c r="DI43" i="4"/>
  <c r="DH38" i="4"/>
  <c r="E6" i="156" s="1"/>
  <c r="DH43" i="4"/>
  <c r="E11" i="156" s="1"/>
  <c r="DH40" i="4"/>
  <c r="E8" i="156" s="1"/>
  <c r="DH36" i="4"/>
  <c r="E4" i="156" s="1"/>
  <c r="DI34" i="4"/>
  <c r="DH34" i="4"/>
  <c r="E2" i="156" s="1"/>
  <c r="CU41" i="4"/>
  <c r="CU42" i="4"/>
  <c r="CU44" i="4"/>
  <c r="CU40" i="4"/>
  <c r="CU45" i="4"/>
  <c r="CU35" i="4"/>
  <c r="CU37" i="4"/>
  <c r="CU39" i="4"/>
  <c r="CU36" i="4"/>
  <c r="CU43" i="4"/>
  <c r="CU38" i="4"/>
  <c r="CU34" i="4"/>
  <c r="F2" i="75" s="1"/>
  <c r="CT44" i="4"/>
  <c r="CT35" i="4"/>
  <c r="CT39" i="4"/>
  <c r="CT37" i="4"/>
  <c r="CT41" i="4"/>
  <c r="CT42" i="4"/>
  <c r="CT36" i="4"/>
  <c r="CT40" i="4"/>
  <c r="CT43" i="4"/>
  <c r="CT38" i="4"/>
  <c r="CT45" i="4"/>
  <c r="CG37" i="4"/>
  <c r="CG41" i="4"/>
  <c r="CG38" i="4"/>
  <c r="CG40" i="4"/>
  <c r="CG35" i="4"/>
  <c r="CG42" i="4"/>
  <c r="CG36" i="4"/>
  <c r="CG39" i="4"/>
  <c r="CG43" i="4"/>
  <c r="CG44" i="4"/>
  <c r="CG45" i="4"/>
  <c r="CG34" i="4"/>
  <c r="CF40" i="4"/>
  <c r="CF38" i="4"/>
  <c r="CF41" i="4"/>
  <c r="CF43" i="4"/>
  <c r="CF36" i="4"/>
  <c r="CF37" i="4"/>
  <c r="CF39" i="4"/>
  <c r="CF44" i="4"/>
  <c r="CF42" i="4"/>
  <c r="CF45" i="4"/>
  <c r="CF35" i="4"/>
  <c r="BS44" i="4"/>
  <c r="F12" i="156" s="1"/>
  <c r="BR42" i="4"/>
  <c r="BS36" i="4"/>
  <c r="BS43" i="4"/>
  <c r="F11" i="156" s="1"/>
  <c r="BR36" i="4"/>
  <c r="BR35" i="4"/>
  <c r="BR41" i="4"/>
  <c r="BS39" i="4"/>
  <c r="F7" i="156" s="1"/>
  <c r="BR38" i="4"/>
  <c r="BS35" i="4"/>
  <c r="BR37" i="4"/>
  <c r="BS37" i="4"/>
  <c r="F5" i="156" s="1"/>
  <c r="BS41" i="4"/>
  <c r="F9" i="156" s="1"/>
  <c r="BS40" i="4"/>
  <c r="F8" i="156" s="1"/>
  <c r="BR40" i="4"/>
  <c r="BS45" i="4"/>
  <c r="F13" i="156" s="1"/>
  <c r="BS38" i="4"/>
  <c r="F6" i="156" s="1"/>
  <c r="BR44" i="4"/>
  <c r="BR43" i="4"/>
  <c r="BR39" i="4"/>
  <c r="BR45" i="4"/>
  <c r="BS42" i="4"/>
  <c r="F10" i="156" s="1"/>
  <c r="BS34" i="4"/>
  <c r="BR34" i="4"/>
  <c r="BD37" i="4"/>
  <c r="E17" i="155" s="1"/>
  <c r="L17" i="155" s="1"/>
  <c r="P17" i="155" s="1"/>
  <c r="BD40" i="4"/>
  <c r="E20" i="155" s="1"/>
  <c r="L20" i="155" s="1"/>
  <c r="P20" i="155" s="1"/>
  <c r="BD41" i="4"/>
  <c r="E21" i="155" s="1"/>
  <c r="L21" i="155" s="1"/>
  <c r="P21" i="155" s="1"/>
  <c r="BD39" i="4"/>
  <c r="E19" i="155" s="1"/>
  <c r="L19" i="155" s="1"/>
  <c r="P19" i="155" s="1"/>
  <c r="BD45" i="4"/>
  <c r="E25" i="155" s="1"/>
  <c r="L25" i="155" s="1"/>
  <c r="P25" i="155" s="1"/>
  <c r="BD38" i="4"/>
  <c r="E18" i="155" s="1"/>
  <c r="L18" i="155" s="1"/>
  <c r="P18" i="155" s="1"/>
  <c r="BD42" i="4"/>
  <c r="E22" i="155" s="1"/>
  <c r="L22" i="155" s="1"/>
  <c r="P22" i="155" s="1"/>
  <c r="BD35" i="4"/>
  <c r="E15" i="155" s="1"/>
  <c r="L15" i="155" s="1"/>
  <c r="P15" i="155" s="1"/>
  <c r="BD44" i="4"/>
  <c r="E24" i="155" s="1"/>
  <c r="L24" i="155" s="1"/>
  <c r="P24" i="155" s="1"/>
  <c r="BD36" i="4"/>
  <c r="E16" i="155" s="1"/>
  <c r="L16" i="155" s="1"/>
  <c r="P16" i="155" s="1"/>
  <c r="BD43" i="4"/>
  <c r="E23" i="155" s="1"/>
  <c r="L23" i="155" s="1"/>
  <c r="P23" i="155" s="1"/>
  <c r="BE34" i="4"/>
  <c r="E2" i="155" s="1"/>
  <c r="L2" i="155" s="1"/>
  <c r="P2" i="155" s="1"/>
  <c r="AN47" i="17" s="1"/>
  <c r="BD34" i="4"/>
  <c r="AQ38" i="4"/>
  <c r="AQ41" i="4"/>
  <c r="AQ45" i="4"/>
  <c r="AQ36" i="4"/>
  <c r="AP35" i="4"/>
  <c r="AP42" i="4"/>
  <c r="AQ39" i="4"/>
  <c r="AQ35" i="4"/>
  <c r="AP37" i="4"/>
  <c r="AQ40" i="4"/>
  <c r="AP40" i="4"/>
  <c r="AP43" i="4"/>
  <c r="AQ37" i="4"/>
  <c r="AP41" i="4"/>
  <c r="AP39" i="4"/>
  <c r="AP38" i="4"/>
  <c r="AP44" i="4"/>
  <c r="AQ43" i="4"/>
  <c r="AP36" i="4"/>
  <c r="AP45" i="4"/>
  <c r="AQ44" i="4"/>
  <c r="AB45" i="4"/>
  <c r="AB42" i="4"/>
  <c r="AB36" i="4"/>
  <c r="AB41" i="4"/>
  <c r="AB44" i="4"/>
  <c r="AB35" i="4"/>
  <c r="AB39" i="4"/>
  <c r="AB43" i="4"/>
  <c r="AB37" i="4"/>
  <c r="AB38" i="4"/>
  <c r="AB40" i="4"/>
  <c r="AB34" i="4"/>
  <c r="AN48" i="17" l="1"/>
  <c r="E17" i="156"/>
  <c r="P5" i="156"/>
  <c r="F23" i="156"/>
  <c r="Q11" i="156"/>
  <c r="F19" i="156"/>
  <c r="Q7" i="156"/>
  <c r="E15" i="156"/>
  <c r="P3" i="156"/>
  <c r="E25" i="156"/>
  <c r="P13" i="156"/>
  <c r="F22" i="156"/>
  <c r="Q10" i="156"/>
  <c r="F18" i="156"/>
  <c r="Q6" i="156"/>
  <c r="F24" i="156"/>
  <c r="Q12" i="156"/>
  <c r="E24" i="156"/>
  <c r="P12" i="156"/>
  <c r="E20" i="156"/>
  <c r="P8" i="156"/>
  <c r="E19" i="156"/>
  <c r="P7" i="156"/>
  <c r="F25" i="156"/>
  <c r="Q13" i="156"/>
  <c r="F21" i="156"/>
  <c r="Q9" i="156"/>
  <c r="E18" i="156"/>
  <c r="P6" i="156"/>
  <c r="F17" i="156"/>
  <c r="Q5" i="156"/>
  <c r="E21" i="156"/>
  <c r="P9" i="156"/>
  <c r="E16" i="156"/>
  <c r="P4" i="156"/>
  <c r="F20" i="156"/>
  <c r="Q8" i="156"/>
  <c r="E23" i="156"/>
  <c r="P11" i="156"/>
  <c r="E22" i="156"/>
  <c r="P10" i="156"/>
  <c r="E14" i="156"/>
  <c r="P2" i="156"/>
  <c r="F4" i="156"/>
  <c r="F3" i="156"/>
  <c r="F2" i="156"/>
  <c r="E3" i="77"/>
  <c r="E29" i="155"/>
  <c r="L29" i="155" s="1"/>
  <c r="P29" i="155" s="1"/>
  <c r="E35" i="155"/>
  <c r="E28" i="155"/>
  <c r="L28" i="155" s="1"/>
  <c r="P28" i="155" s="1"/>
  <c r="E27" i="155"/>
  <c r="L27" i="155" s="1"/>
  <c r="P27" i="155" s="1"/>
  <c r="E36" i="155"/>
  <c r="E32" i="155"/>
  <c r="E30" i="155"/>
  <c r="L30" i="155" s="1"/>
  <c r="P30" i="155" s="1"/>
  <c r="E34" i="155"/>
  <c r="E37" i="155"/>
  <c r="E31" i="155"/>
  <c r="E33" i="155"/>
  <c r="E2" i="76"/>
  <c r="E26" i="155"/>
  <c r="E7" i="154"/>
  <c r="N7" i="154" s="1"/>
  <c r="E9" i="154"/>
  <c r="N9" i="154" s="1"/>
  <c r="E10" i="154"/>
  <c r="N10" i="154" s="1"/>
  <c r="E5" i="154"/>
  <c r="N5" i="154" s="1"/>
  <c r="E3" i="154"/>
  <c r="N3" i="154" s="1"/>
  <c r="E6" i="154"/>
  <c r="N6" i="154" s="1"/>
  <c r="E13" i="154"/>
  <c r="N13" i="154" s="1"/>
  <c r="E8" i="154"/>
  <c r="N8" i="154" s="1"/>
  <c r="E2" i="152"/>
  <c r="K2" i="152" s="1"/>
  <c r="E2" i="154"/>
  <c r="N2" i="154" s="1"/>
  <c r="E11" i="154"/>
  <c r="N11" i="154" s="1"/>
  <c r="E4" i="154"/>
  <c r="N4" i="154" s="1"/>
  <c r="E12" i="154"/>
  <c r="N12" i="154" s="1"/>
  <c r="E13" i="36"/>
  <c r="E13" i="77"/>
  <c r="E4" i="36"/>
  <c r="E4" i="77"/>
  <c r="E12" i="36"/>
  <c r="E12" i="77"/>
  <c r="E6" i="36"/>
  <c r="E6" i="77"/>
  <c r="E7" i="36"/>
  <c r="E7" i="77"/>
  <c r="E9" i="36"/>
  <c r="E9" i="77"/>
  <c r="E11" i="36"/>
  <c r="E11" i="77"/>
  <c r="E8" i="36"/>
  <c r="E8" i="77"/>
  <c r="E5" i="36"/>
  <c r="E5" i="77"/>
  <c r="E10" i="36"/>
  <c r="E10" i="77"/>
  <c r="E3" i="36"/>
  <c r="F11" i="154"/>
  <c r="F23" i="154" s="1"/>
  <c r="O23" i="154" s="1"/>
  <c r="F11" i="77"/>
  <c r="F4" i="154"/>
  <c r="O4" i="154" s="1"/>
  <c r="F4" i="77"/>
  <c r="F12" i="154"/>
  <c r="O12" i="154" s="1"/>
  <c r="F12" i="77"/>
  <c r="F6" i="154"/>
  <c r="O6" i="154" s="1"/>
  <c r="F6" i="77"/>
  <c r="F8" i="154"/>
  <c r="F20" i="154" s="1"/>
  <c r="O20" i="154" s="1"/>
  <c r="F8" i="77"/>
  <c r="F9" i="154"/>
  <c r="F21" i="154" s="1"/>
  <c r="O21" i="154" s="1"/>
  <c r="F9" i="77"/>
  <c r="F5" i="154"/>
  <c r="F17" i="154" s="1"/>
  <c r="O17" i="154" s="1"/>
  <c r="F5" i="77"/>
  <c r="F7" i="154"/>
  <c r="O7" i="154" s="1"/>
  <c r="F7" i="77"/>
  <c r="F3" i="154"/>
  <c r="O3" i="154" s="1"/>
  <c r="F3" i="77"/>
  <c r="F10" i="154"/>
  <c r="O10" i="154" s="1"/>
  <c r="F10" i="77"/>
  <c r="F13" i="154"/>
  <c r="F25" i="154" s="1"/>
  <c r="O25" i="154" s="1"/>
  <c r="F13" i="77"/>
  <c r="F2" i="154"/>
  <c r="F14" i="154" s="1"/>
  <c r="O14" i="154" s="1"/>
  <c r="F2" i="77"/>
  <c r="O2" i="77" s="1"/>
  <c r="E4" i="34"/>
  <c r="E4" i="76"/>
  <c r="E3" i="34"/>
  <c r="E3" i="76"/>
  <c r="E10" i="34"/>
  <c r="E10" i="76"/>
  <c r="E11" i="34"/>
  <c r="E11" i="76"/>
  <c r="E12" i="34"/>
  <c r="E12" i="76"/>
  <c r="E6" i="34"/>
  <c r="E6" i="76"/>
  <c r="E13" i="34"/>
  <c r="E13" i="76"/>
  <c r="E9" i="34"/>
  <c r="E9" i="76"/>
  <c r="E7" i="34"/>
  <c r="E7" i="76"/>
  <c r="E5" i="34"/>
  <c r="E5" i="76"/>
  <c r="E8" i="34"/>
  <c r="E8" i="76"/>
  <c r="E2" i="34"/>
  <c r="G78" i="154"/>
  <c r="P78" i="154" s="1"/>
  <c r="G78" i="153"/>
  <c r="P78" i="153" s="1"/>
  <c r="U78" i="153" s="1"/>
  <c r="H78" i="28"/>
  <c r="N78" i="28" s="1"/>
  <c r="O78" i="28" s="1"/>
  <c r="K78" i="75"/>
  <c r="H78" i="38"/>
  <c r="N78" i="38" s="1"/>
  <c r="K13" i="152"/>
  <c r="K6" i="152"/>
  <c r="K11" i="152"/>
  <c r="K8" i="152"/>
  <c r="K4" i="152"/>
  <c r="K10" i="152"/>
  <c r="K9" i="152"/>
  <c r="K5" i="152"/>
  <c r="K7" i="152"/>
  <c r="K3" i="152"/>
  <c r="K12" i="152"/>
  <c r="F2" i="36"/>
  <c r="M2" i="36" s="1"/>
  <c r="L2" i="152"/>
  <c r="F13" i="36"/>
  <c r="L13" i="152"/>
  <c r="F12" i="36"/>
  <c r="L12" i="152"/>
  <c r="F11" i="36"/>
  <c r="L11" i="152"/>
  <c r="F7" i="36"/>
  <c r="L7" i="152"/>
  <c r="F4" i="36"/>
  <c r="L4" i="152"/>
  <c r="F10" i="36"/>
  <c r="L10" i="152"/>
  <c r="F3" i="36"/>
  <c r="L3" i="152"/>
  <c r="F8" i="36"/>
  <c r="L8" i="152"/>
  <c r="F6" i="36"/>
  <c r="L6" i="152"/>
  <c r="F9" i="36"/>
  <c r="L9" i="152"/>
  <c r="F5" i="36"/>
  <c r="L5" i="152"/>
  <c r="E23" i="152"/>
  <c r="K23" i="152" s="1"/>
  <c r="E20" i="152"/>
  <c r="K20" i="152" s="1"/>
  <c r="E24" i="152"/>
  <c r="K24" i="152" s="1"/>
  <c r="E13" i="38"/>
  <c r="K13" i="38" s="1"/>
  <c r="E13" i="75"/>
  <c r="E7" i="38"/>
  <c r="K7" i="38" s="1"/>
  <c r="E7" i="75"/>
  <c r="E11" i="38"/>
  <c r="K11" i="38" s="1"/>
  <c r="E11" i="75"/>
  <c r="E12" i="38"/>
  <c r="K12" i="38" s="1"/>
  <c r="E12" i="75"/>
  <c r="E8" i="38"/>
  <c r="K8" i="38" s="1"/>
  <c r="E8" i="75"/>
  <c r="E5" i="38"/>
  <c r="K5" i="38" s="1"/>
  <c r="E5" i="75"/>
  <c r="E6" i="38"/>
  <c r="K6" i="38" s="1"/>
  <c r="E6" i="75"/>
  <c r="E9" i="38"/>
  <c r="K9" i="38" s="1"/>
  <c r="E9" i="75"/>
  <c r="E3" i="38"/>
  <c r="K3" i="38" s="1"/>
  <c r="E3" i="75"/>
  <c r="E4" i="38"/>
  <c r="K4" i="38" s="1"/>
  <c r="E4" i="75"/>
  <c r="E10" i="38"/>
  <c r="K10" i="38" s="1"/>
  <c r="E10" i="75"/>
  <c r="F6" i="38"/>
  <c r="L6" i="38" s="1"/>
  <c r="F6" i="75"/>
  <c r="F11" i="38"/>
  <c r="F23" i="38" s="1"/>
  <c r="F11" i="75"/>
  <c r="F4" i="38"/>
  <c r="L4" i="38" s="1"/>
  <c r="F4" i="75"/>
  <c r="F7" i="38"/>
  <c r="L7" i="38" s="1"/>
  <c r="F7" i="75"/>
  <c r="F5" i="38"/>
  <c r="L5" i="38" s="1"/>
  <c r="F5" i="75"/>
  <c r="F3" i="38"/>
  <c r="L3" i="38" s="1"/>
  <c r="F3" i="75"/>
  <c r="F13" i="38"/>
  <c r="F25" i="38" s="1"/>
  <c r="F13" i="75"/>
  <c r="F8" i="38"/>
  <c r="L8" i="38" s="1"/>
  <c r="F8" i="75"/>
  <c r="F12" i="38"/>
  <c r="L12" i="38" s="1"/>
  <c r="F12" i="75"/>
  <c r="F10" i="38"/>
  <c r="L10" i="38" s="1"/>
  <c r="F10" i="75"/>
  <c r="F9" i="38"/>
  <c r="L9" i="38" s="1"/>
  <c r="F9" i="75"/>
  <c r="E2" i="38"/>
  <c r="K2" i="38" s="1"/>
  <c r="E2" i="75"/>
  <c r="N2" i="75" s="1"/>
  <c r="F2" i="38"/>
  <c r="F14" i="38" s="1"/>
  <c r="L14" i="38" s="1"/>
  <c r="CC79" i="67"/>
  <c r="I79" i="156" s="1"/>
  <c r="N78" i="36"/>
  <c r="N78" i="32"/>
  <c r="Q78" i="32" s="1"/>
  <c r="F8" i="34"/>
  <c r="F10" i="34"/>
  <c r="F5" i="34"/>
  <c r="F3" i="34"/>
  <c r="F7" i="34"/>
  <c r="F13" i="34"/>
  <c r="F9" i="34"/>
  <c r="F11" i="34"/>
  <c r="F4" i="34"/>
  <c r="F6" i="34"/>
  <c r="F12" i="34"/>
  <c r="F2" i="34"/>
  <c r="F13" i="76"/>
  <c r="F11" i="76"/>
  <c r="F8" i="76"/>
  <c r="F9" i="76"/>
  <c r="F5" i="76"/>
  <c r="F3" i="76"/>
  <c r="F10" i="76"/>
  <c r="F4" i="76"/>
  <c r="F7" i="76"/>
  <c r="F6" i="76"/>
  <c r="F12" i="76"/>
  <c r="F2" i="76"/>
  <c r="AW14" i="4"/>
  <c r="AW28" i="4"/>
  <c r="P6" i="70"/>
  <c r="P11" i="70"/>
  <c r="P4" i="70"/>
  <c r="P5" i="70"/>
  <c r="P14" i="70"/>
  <c r="P8" i="70"/>
  <c r="P12" i="70"/>
  <c r="P13" i="70"/>
  <c r="P9" i="70"/>
  <c r="P7" i="70"/>
  <c r="P10" i="70"/>
  <c r="E38" i="155" l="1"/>
  <c r="L26" i="155"/>
  <c r="P26" i="155" s="1"/>
  <c r="W7" i="156"/>
  <c r="W11" i="156"/>
  <c r="E33" i="156"/>
  <c r="P21" i="156"/>
  <c r="F36" i="156"/>
  <c r="Q24" i="156"/>
  <c r="F29" i="156"/>
  <c r="Q17" i="156"/>
  <c r="F30" i="156"/>
  <c r="Q18" i="156"/>
  <c r="W6" i="156"/>
  <c r="E30" i="156"/>
  <c r="P18" i="156"/>
  <c r="F34" i="156"/>
  <c r="Q22" i="156"/>
  <c r="W13" i="156"/>
  <c r="E26" i="156"/>
  <c r="P14" i="156"/>
  <c r="F33" i="156"/>
  <c r="Q21" i="156"/>
  <c r="E37" i="156"/>
  <c r="P25" i="156"/>
  <c r="W10" i="156"/>
  <c r="E34" i="156"/>
  <c r="P22" i="156"/>
  <c r="F37" i="156"/>
  <c r="Q25" i="156"/>
  <c r="E27" i="156"/>
  <c r="P15" i="156"/>
  <c r="E35" i="156"/>
  <c r="P23" i="156"/>
  <c r="E31" i="156"/>
  <c r="P19" i="156"/>
  <c r="F31" i="156"/>
  <c r="Q19" i="156"/>
  <c r="F32" i="156"/>
  <c r="Q20" i="156"/>
  <c r="E32" i="156"/>
  <c r="P20" i="156"/>
  <c r="F35" i="156"/>
  <c r="Q23" i="156"/>
  <c r="E28" i="156"/>
  <c r="P16" i="156"/>
  <c r="E36" i="156"/>
  <c r="P24" i="156"/>
  <c r="E29" i="156"/>
  <c r="P17" i="156"/>
  <c r="W9" i="156"/>
  <c r="F15" i="156"/>
  <c r="Q3" i="156"/>
  <c r="W3" i="156" s="1"/>
  <c r="F16" i="156"/>
  <c r="Q4" i="156"/>
  <c r="W4" i="156" s="1"/>
  <c r="W8" i="156"/>
  <c r="W12" i="156"/>
  <c r="W5" i="156"/>
  <c r="F14" i="156"/>
  <c r="Q2" i="156"/>
  <c r="W2" i="156" s="1"/>
  <c r="E45" i="155"/>
  <c r="L33" i="155"/>
  <c r="P33" i="155" s="1"/>
  <c r="E43" i="155"/>
  <c r="L31" i="155"/>
  <c r="P31" i="155" s="1"/>
  <c r="E49" i="155"/>
  <c r="L37" i="155"/>
  <c r="P37" i="155" s="1"/>
  <c r="E46" i="155"/>
  <c r="L34" i="155"/>
  <c r="P34" i="155" s="1"/>
  <c r="E44" i="155"/>
  <c r="L32" i="155"/>
  <c r="P32" i="155" s="1"/>
  <c r="E48" i="155"/>
  <c r="L36" i="155"/>
  <c r="P36" i="155" s="1"/>
  <c r="E47" i="155"/>
  <c r="L35" i="155"/>
  <c r="P35" i="155" s="1"/>
  <c r="E42" i="155"/>
  <c r="E39" i="155"/>
  <c r="E40" i="155"/>
  <c r="E41" i="155"/>
  <c r="E14" i="152"/>
  <c r="E26" i="152" s="1"/>
  <c r="E14" i="154"/>
  <c r="E26" i="154" s="1"/>
  <c r="O5" i="154"/>
  <c r="U5" i="154" s="1"/>
  <c r="F15" i="154"/>
  <c r="O15" i="154" s="1"/>
  <c r="O11" i="154"/>
  <c r="U11" i="154" s="1"/>
  <c r="O2" i="154"/>
  <c r="U2" i="154" s="1"/>
  <c r="F18" i="154"/>
  <c r="O18" i="154" s="1"/>
  <c r="F16" i="154"/>
  <c r="O16" i="154" s="1"/>
  <c r="O13" i="154"/>
  <c r="U13" i="154" s="1"/>
  <c r="F22" i="154"/>
  <c r="O22" i="154" s="1"/>
  <c r="F24" i="154"/>
  <c r="O24" i="154" s="1"/>
  <c r="O8" i="154"/>
  <c r="U8" i="154" s="1"/>
  <c r="O9" i="154"/>
  <c r="U9" i="154" s="1"/>
  <c r="F19" i="154"/>
  <c r="O19" i="154" s="1"/>
  <c r="O7" i="152"/>
  <c r="U6" i="154"/>
  <c r="O9" i="152"/>
  <c r="O10" i="152"/>
  <c r="O4" i="152"/>
  <c r="O8" i="152"/>
  <c r="O12" i="152"/>
  <c r="O11" i="152"/>
  <c r="O3" i="152"/>
  <c r="O6" i="152"/>
  <c r="O2" i="152"/>
  <c r="O13" i="152"/>
  <c r="G79" i="153"/>
  <c r="P79" i="153" s="1"/>
  <c r="U79" i="153" s="1"/>
  <c r="G79" i="154"/>
  <c r="P79" i="154" s="1"/>
  <c r="H79" i="38"/>
  <c r="N79" i="38" s="1"/>
  <c r="H79" i="28"/>
  <c r="N79" i="28" s="1"/>
  <c r="O79" i="28" s="1"/>
  <c r="K79" i="75"/>
  <c r="O5" i="152"/>
  <c r="U12" i="154"/>
  <c r="U3" i="154"/>
  <c r="U7" i="154"/>
  <c r="U10" i="154"/>
  <c r="U4" i="154"/>
  <c r="E16" i="152"/>
  <c r="K16" i="152" s="1"/>
  <c r="E21" i="152"/>
  <c r="K21" i="152" s="1"/>
  <c r="E17" i="152"/>
  <c r="K17" i="152" s="1"/>
  <c r="E22" i="152"/>
  <c r="K22" i="152" s="1"/>
  <c r="E19" i="38"/>
  <c r="E15" i="152"/>
  <c r="K15" i="152" s="1"/>
  <c r="E19" i="152"/>
  <c r="K19" i="152" s="1"/>
  <c r="E18" i="152"/>
  <c r="K18" i="152" s="1"/>
  <c r="E25" i="152"/>
  <c r="K25" i="152" s="1"/>
  <c r="E24" i="154"/>
  <c r="N24" i="154" s="1"/>
  <c r="E15" i="154"/>
  <c r="N15" i="154" s="1"/>
  <c r="E19" i="154"/>
  <c r="N19" i="154" s="1"/>
  <c r="E17" i="154"/>
  <c r="N17" i="154" s="1"/>
  <c r="U17" i="154" s="1"/>
  <c r="E21" i="154"/>
  <c r="N21" i="154" s="1"/>
  <c r="U21" i="154" s="1"/>
  <c r="E22" i="154"/>
  <c r="N22" i="154" s="1"/>
  <c r="E16" i="154"/>
  <c r="N16" i="154" s="1"/>
  <c r="E20" i="154"/>
  <c r="N20" i="154" s="1"/>
  <c r="U20" i="154" s="1"/>
  <c r="E23" i="154"/>
  <c r="N23" i="154" s="1"/>
  <c r="U23" i="154" s="1"/>
  <c r="E18" i="154"/>
  <c r="N18" i="154" s="1"/>
  <c r="E25" i="154"/>
  <c r="N25" i="154" s="1"/>
  <c r="U25" i="154" s="1"/>
  <c r="F29" i="154"/>
  <c r="O29" i="154" s="1"/>
  <c r="F33" i="154"/>
  <c r="O33" i="154" s="1"/>
  <c r="F32" i="154"/>
  <c r="O32" i="154" s="1"/>
  <c r="F35" i="154"/>
  <c r="O35" i="154" s="1"/>
  <c r="F37" i="154"/>
  <c r="O37" i="154" s="1"/>
  <c r="F26" i="154"/>
  <c r="O26" i="154" s="1"/>
  <c r="E15" i="38"/>
  <c r="K15" i="38" s="1"/>
  <c r="F15" i="38"/>
  <c r="L15" i="38" s="1"/>
  <c r="E25" i="38"/>
  <c r="E36" i="152"/>
  <c r="K36" i="152" s="1"/>
  <c r="E32" i="152"/>
  <c r="K32" i="152" s="1"/>
  <c r="E35" i="152"/>
  <c r="K35" i="152" s="1"/>
  <c r="L17" i="152"/>
  <c r="L21" i="152"/>
  <c r="L18" i="152"/>
  <c r="L20" i="152"/>
  <c r="O20" i="152" s="1"/>
  <c r="L15" i="152"/>
  <c r="L22" i="152"/>
  <c r="L16" i="152"/>
  <c r="L19" i="152"/>
  <c r="L23" i="152"/>
  <c r="O23" i="152" s="1"/>
  <c r="L24" i="152"/>
  <c r="O24" i="152" s="1"/>
  <c r="L25" i="152"/>
  <c r="L14" i="152"/>
  <c r="E23" i="38"/>
  <c r="F16" i="38"/>
  <c r="E18" i="38"/>
  <c r="E24" i="38"/>
  <c r="F24" i="38"/>
  <c r="F18" i="38"/>
  <c r="F19" i="38"/>
  <c r="F17" i="38"/>
  <c r="L13" i="38"/>
  <c r="E21" i="38"/>
  <c r="E14" i="38"/>
  <c r="K14" i="38" s="1"/>
  <c r="F20" i="38"/>
  <c r="E22" i="38"/>
  <c r="L2" i="38"/>
  <c r="E20" i="38"/>
  <c r="L11" i="38"/>
  <c r="F22" i="38"/>
  <c r="E17" i="38"/>
  <c r="F21" i="38"/>
  <c r="E16" i="38"/>
  <c r="K16" i="38" s="1"/>
  <c r="F15" i="77"/>
  <c r="O3" i="77"/>
  <c r="E24" i="77"/>
  <c r="N12" i="77"/>
  <c r="E25" i="77"/>
  <c r="N13" i="77"/>
  <c r="F18" i="77"/>
  <c r="O6" i="77"/>
  <c r="F21" i="77"/>
  <c r="O9" i="77"/>
  <c r="F17" i="77"/>
  <c r="O5" i="77"/>
  <c r="E15" i="77"/>
  <c r="N3" i="77"/>
  <c r="E19" i="77"/>
  <c r="N7" i="77"/>
  <c r="F22" i="77"/>
  <c r="O10" i="77"/>
  <c r="F25" i="77"/>
  <c r="O13" i="77"/>
  <c r="F20" i="77"/>
  <c r="O8" i="77"/>
  <c r="E17" i="77"/>
  <c r="N5" i="77"/>
  <c r="F23" i="77"/>
  <c r="O11" i="77"/>
  <c r="F19" i="77"/>
  <c r="O7" i="77"/>
  <c r="E21" i="77"/>
  <c r="N9" i="77"/>
  <c r="F16" i="77"/>
  <c r="O4" i="77"/>
  <c r="E22" i="77"/>
  <c r="N10" i="77"/>
  <c r="E16" i="77"/>
  <c r="N4" i="77"/>
  <c r="F14" i="77"/>
  <c r="E20" i="77"/>
  <c r="N8" i="77"/>
  <c r="F24" i="77"/>
  <c r="O12" i="77"/>
  <c r="E23" i="77"/>
  <c r="N11" i="77"/>
  <c r="E18" i="77"/>
  <c r="N6" i="77"/>
  <c r="E17" i="76"/>
  <c r="N5" i="76"/>
  <c r="F20" i="76"/>
  <c r="O8" i="76"/>
  <c r="F18" i="76"/>
  <c r="O6" i="76"/>
  <c r="F23" i="76"/>
  <c r="O11" i="76"/>
  <c r="E24" i="76"/>
  <c r="N12" i="76"/>
  <c r="E20" i="76"/>
  <c r="N8" i="76"/>
  <c r="E15" i="76"/>
  <c r="N3" i="76"/>
  <c r="F24" i="76"/>
  <c r="O12" i="76"/>
  <c r="F25" i="76"/>
  <c r="O13" i="76"/>
  <c r="E19" i="76"/>
  <c r="N7" i="76"/>
  <c r="F19" i="76"/>
  <c r="O7" i="76"/>
  <c r="F16" i="76"/>
  <c r="O4" i="76"/>
  <c r="E22" i="76"/>
  <c r="N10" i="76"/>
  <c r="E23" i="76"/>
  <c r="N11" i="76"/>
  <c r="F22" i="76"/>
  <c r="O10" i="76"/>
  <c r="E14" i="76"/>
  <c r="N2" i="76"/>
  <c r="F15" i="76"/>
  <c r="O3" i="76"/>
  <c r="E18" i="76"/>
  <c r="N6" i="76"/>
  <c r="F17" i="76"/>
  <c r="O5" i="76"/>
  <c r="E25" i="76"/>
  <c r="N13" i="76"/>
  <c r="E21" i="76"/>
  <c r="N9" i="76"/>
  <c r="E16" i="76"/>
  <c r="N4" i="76"/>
  <c r="F14" i="76"/>
  <c r="O2" i="76"/>
  <c r="F21" i="76"/>
  <c r="O9" i="76"/>
  <c r="F14" i="75"/>
  <c r="F26" i="75" s="1"/>
  <c r="F38" i="75" s="1"/>
  <c r="F50" i="75" s="1"/>
  <c r="F62" i="75" s="1"/>
  <c r="F74" i="75" s="1"/>
  <c r="I74" i="75" s="1"/>
  <c r="P74" i="75" s="1"/>
  <c r="O2" i="75"/>
  <c r="F24" i="75"/>
  <c r="F36" i="75" s="1"/>
  <c r="F48" i="75" s="1"/>
  <c r="F60" i="75" s="1"/>
  <c r="F72" i="75" s="1"/>
  <c r="I72" i="75" s="1"/>
  <c r="P72" i="75" s="1"/>
  <c r="O12" i="75"/>
  <c r="F20" i="75"/>
  <c r="F32" i="75" s="1"/>
  <c r="F44" i="75" s="1"/>
  <c r="F56" i="75" s="1"/>
  <c r="F68" i="75" s="1"/>
  <c r="I68" i="75" s="1"/>
  <c r="P68" i="75" s="1"/>
  <c r="O8" i="75"/>
  <c r="F23" i="75"/>
  <c r="F35" i="75" s="1"/>
  <c r="F47" i="75" s="1"/>
  <c r="F59" i="75" s="1"/>
  <c r="F71" i="75" s="1"/>
  <c r="I71" i="75" s="1"/>
  <c r="P71" i="75" s="1"/>
  <c r="O11" i="75"/>
  <c r="F21" i="75"/>
  <c r="F33" i="75" s="1"/>
  <c r="F45" i="75" s="1"/>
  <c r="F57" i="75" s="1"/>
  <c r="F69" i="75" s="1"/>
  <c r="I69" i="75" s="1"/>
  <c r="P69" i="75" s="1"/>
  <c r="O9" i="75"/>
  <c r="F18" i="75"/>
  <c r="F30" i="75" s="1"/>
  <c r="F42" i="75" s="1"/>
  <c r="F54" i="75" s="1"/>
  <c r="F66" i="75" s="1"/>
  <c r="I66" i="75" s="1"/>
  <c r="P66" i="75" s="1"/>
  <c r="O6" i="75"/>
  <c r="E24" i="75"/>
  <c r="E36" i="75" s="1"/>
  <c r="E48" i="75" s="1"/>
  <c r="E60" i="75" s="1"/>
  <c r="E72" i="75" s="1"/>
  <c r="E84" i="75" s="1"/>
  <c r="E96" i="75" s="1"/>
  <c r="E108" i="75" s="1"/>
  <c r="E120" i="75" s="1"/>
  <c r="N12" i="75"/>
  <c r="E22" i="75"/>
  <c r="E34" i="75" s="1"/>
  <c r="E46" i="75" s="1"/>
  <c r="E58" i="75" s="1"/>
  <c r="E70" i="75" s="1"/>
  <c r="E82" i="75" s="1"/>
  <c r="E94" i="75" s="1"/>
  <c r="E106" i="75" s="1"/>
  <c r="E118" i="75" s="1"/>
  <c r="N10" i="75"/>
  <c r="E25" i="75"/>
  <c r="E37" i="75" s="1"/>
  <c r="E49" i="75" s="1"/>
  <c r="E61" i="75" s="1"/>
  <c r="E73" i="75" s="1"/>
  <c r="E85" i="75" s="1"/>
  <c r="E97" i="75" s="1"/>
  <c r="E109" i="75" s="1"/>
  <c r="E121" i="75" s="1"/>
  <c r="N13" i="75"/>
  <c r="F19" i="75"/>
  <c r="F31" i="75" s="1"/>
  <c r="F43" i="75" s="1"/>
  <c r="F55" i="75" s="1"/>
  <c r="F67" i="75" s="1"/>
  <c r="I67" i="75" s="1"/>
  <c r="P67" i="75" s="1"/>
  <c r="O7" i="75"/>
  <c r="F25" i="75"/>
  <c r="F37" i="75" s="1"/>
  <c r="F49" i="75" s="1"/>
  <c r="F61" i="75" s="1"/>
  <c r="F73" i="75" s="1"/>
  <c r="I73" i="75" s="1"/>
  <c r="P73" i="75" s="1"/>
  <c r="O13" i="75"/>
  <c r="E14" i="75"/>
  <c r="E26" i="75" s="1"/>
  <c r="E38" i="75" s="1"/>
  <c r="E50" i="75" s="1"/>
  <c r="E62" i="75" s="1"/>
  <c r="E74" i="75" s="1"/>
  <c r="E86" i="75" s="1"/>
  <c r="E98" i="75" s="1"/>
  <c r="E110" i="75" s="1"/>
  <c r="E23" i="75"/>
  <c r="E35" i="75" s="1"/>
  <c r="E47" i="75" s="1"/>
  <c r="E59" i="75" s="1"/>
  <c r="E71" i="75" s="1"/>
  <c r="E83" i="75" s="1"/>
  <c r="E95" i="75" s="1"/>
  <c r="E107" i="75" s="1"/>
  <c r="E119" i="75" s="1"/>
  <c r="N11" i="75"/>
  <c r="E16" i="75"/>
  <c r="E28" i="75" s="1"/>
  <c r="E40" i="75" s="1"/>
  <c r="E52" i="75" s="1"/>
  <c r="E64" i="75" s="1"/>
  <c r="N4" i="75"/>
  <c r="F16" i="75"/>
  <c r="F28" i="75" s="1"/>
  <c r="F40" i="75" s="1"/>
  <c r="F52" i="75" s="1"/>
  <c r="F64" i="75" s="1"/>
  <c r="O4" i="75"/>
  <c r="E19" i="75"/>
  <c r="E31" i="75" s="1"/>
  <c r="E43" i="75" s="1"/>
  <c r="E55" i="75" s="1"/>
  <c r="E67" i="75" s="1"/>
  <c r="E79" i="75" s="1"/>
  <c r="E91" i="75" s="1"/>
  <c r="E103" i="75" s="1"/>
  <c r="E115" i="75" s="1"/>
  <c r="N7" i="75"/>
  <c r="E17" i="75"/>
  <c r="E29" i="75" s="1"/>
  <c r="E41" i="75" s="1"/>
  <c r="E53" i="75" s="1"/>
  <c r="E65" i="75" s="1"/>
  <c r="E77" i="75" s="1"/>
  <c r="E89" i="75" s="1"/>
  <c r="E101" i="75" s="1"/>
  <c r="E113" i="75" s="1"/>
  <c r="N5" i="75"/>
  <c r="F22" i="75"/>
  <c r="F34" i="75" s="1"/>
  <c r="F46" i="75" s="1"/>
  <c r="F58" i="75" s="1"/>
  <c r="F70" i="75" s="1"/>
  <c r="I70" i="75" s="1"/>
  <c r="P70" i="75" s="1"/>
  <c r="O10" i="75"/>
  <c r="E20" i="75"/>
  <c r="E32" i="75" s="1"/>
  <c r="E44" i="75" s="1"/>
  <c r="E56" i="75" s="1"/>
  <c r="E68" i="75" s="1"/>
  <c r="E80" i="75" s="1"/>
  <c r="E92" i="75" s="1"/>
  <c r="E104" i="75" s="1"/>
  <c r="E116" i="75" s="1"/>
  <c r="N8" i="75"/>
  <c r="F15" i="75"/>
  <c r="F27" i="75" s="1"/>
  <c r="F39" i="75" s="1"/>
  <c r="F51" i="75" s="1"/>
  <c r="F63" i="75" s="1"/>
  <c r="O3" i="75"/>
  <c r="E15" i="75"/>
  <c r="E27" i="75" s="1"/>
  <c r="E39" i="75" s="1"/>
  <c r="E51" i="75" s="1"/>
  <c r="E63" i="75" s="1"/>
  <c r="E75" i="75" s="1"/>
  <c r="E87" i="75" s="1"/>
  <c r="E99" i="75" s="1"/>
  <c r="E111" i="75" s="1"/>
  <c r="N3" i="75"/>
  <c r="E18" i="75"/>
  <c r="E30" i="75" s="1"/>
  <c r="E42" i="75" s="1"/>
  <c r="E54" i="75" s="1"/>
  <c r="E66" i="75" s="1"/>
  <c r="N6" i="75"/>
  <c r="E21" i="75"/>
  <c r="E33" i="75" s="1"/>
  <c r="E45" i="75" s="1"/>
  <c r="E57" i="75" s="1"/>
  <c r="E69" i="75" s="1"/>
  <c r="E81" i="75" s="1"/>
  <c r="E93" i="75" s="1"/>
  <c r="E105" i="75" s="1"/>
  <c r="E117" i="75" s="1"/>
  <c r="N9" i="75"/>
  <c r="F17" i="75"/>
  <c r="F29" i="75" s="1"/>
  <c r="F41" i="75" s="1"/>
  <c r="F53" i="75" s="1"/>
  <c r="F65" i="75" s="1"/>
  <c r="O5" i="75"/>
  <c r="M3" i="36"/>
  <c r="F15" i="36"/>
  <c r="L9" i="36"/>
  <c r="E21" i="36"/>
  <c r="M8" i="36"/>
  <c r="F20" i="36"/>
  <c r="M7" i="36"/>
  <c r="F19" i="36"/>
  <c r="L10" i="36"/>
  <c r="E22" i="36"/>
  <c r="M4" i="36"/>
  <c r="F16" i="36"/>
  <c r="L3" i="36"/>
  <c r="E15" i="36"/>
  <c r="M13" i="36"/>
  <c r="F25" i="36"/>
  <c r="L4" i="36"/>
  <c r="E16" i="36"/>
  <c r="L7" i="36"/>
  <c r="E19" i="36"/>
  <c r="L8" i="36"/>
  <c r="E20" i="36"/>
  <c r="L11" i="36"/>
  <c r="E23" i="36"/>
  <c r="M11" i="36"/>
  <c r="F23" i="36"/>
  <c r="M10" i="36"/>
  <c r="F22" i="36"/>
  <c r="L13" i="36"/>
  <c r="E25" i="36"/>
  <c r="L6" i="36"/>
  <c r="E18" i="36"/>
  <c r="M12" i="36"/>
  <c r="F24" i="36"/>
  <c r="M9" i="36"/>
  <c r="F21" i="36"/>
  <c r="L5" i="36"/>
  <c r="E17" i="36"/>
  <c r="M5" i="36"/>
  <c r="F17" i="36"/>
  <c r="M6" i="36"/>
  <c r="F18" i="36"/>
  <c r="L12" i="36"/>
  <c r="E24" i="36"/>
  <c r="F14" i="36"/>
  <c r="E22" i="34"/>
  <c r="L10" i="34"/>
  <c r="F21" i="34"/>
  <c r="M9" i="34"/>
  <c r="F17" i="34"/>
  <c r="M5" i="34"/>
  <c r="E24" i="34"/>
  <c r="L12" i="34"/>
  <c r="E20" i="34"/>
  <c r="L8" i="34"/>
  <c r="E15" i="34"/>
  <c r="L3" i="34"/>
  <c r="F22" i="34"/>
  <c r="M10" i="34"/>
  <c r="F20" i="34"/>
  <c r="M8" i="34"/>
  <c r="F25" i="34"/>
  <c r="M13" i="34"/>
  <c r="F19" i="34"/>
  <c r="M7" i="34"/>
  <c r="E19" i="34"/>
  <c r="L7" i="34"/>
  <c r="E23" i="34"/>
  <c r="L11" i="34"/>
  <c r="E14" i="34"/>
  <c r="L2" i="34"/>
  <c r="F24" i="34"/>
  <c r="M12" i="34"/>
  <c r="E21" i="34"/>
  <c r="L9" i="34"/>
  <c r="E16" i="34"/>
  <c r="L4" i="34"/>
  <c r="F23" i="34"/>
  <c r="M11" i="34"/>
  <c r="F14" i="34"/>
  <c r="M2" i="34"/>
  <c r="E25" i="34"/>
  <c r="L13" i="34"/>
  <c r="E18" i="34"/>
  <c r="L6" i="34"/>
  <c r="F16" i="34"/>
  <c r="M4" i="34"/>
  <c r="F18" i="34"/>
  <c r="M6" i="34"/>
  <c r="E17" i="34"/>
  <c r="L5" i="34"/>
  <c r="F15" i="34"/>
  <c r="M3" i="34"/>
  <c r="CC80" i="67"/>
  <c r="I80" i="156" s="1"/>
  <c r="N79" i="36"/>
  <c r="N79" i="32"/>
  <c r="Q79" i="32" s="1"/>
  <c r="AQ34" i="4"/>
  <c r="AW29" i="4"/>
  <c r="AP34" i="4"/>
  <c r="AW15" i="4"/>
  <c r="B59" i="25"/>
  <c r="B7" i="160" s="1"/>
  <c r="B58" i="25"/>
  <c r="B6" i="160" s="1"/>
  <c r="B36" i="25"/>
  <c r="B22" i="25"/>
  <c r="B52" i="25" s="1"/>
  <c r="B64" i="25" s="1"/>
  <c r="B12" i="160" s="1"/>
  <c r="B16" i="25"/>
  <c r="B46" i="25" s="1"/>
  <c r="B15" i="25"/>
  <c r="B45" i="25" s="1"/>
  <c r="B57" i="25" s="1"/>
  <c r="B5" i="160" s="1"/>
  <c r="BE6" i="17"/>
  <c r="E50" i="155" l="1"/>
  <c r="L38" i="155"/>
  <c r="P38" i="155" s="1"/>
  <c r="W19" i="156"/>
  <c r="AY47" i="17"/>
  <c r="BA47" i="17" s="1"/>
  <c r="AN49" i="17"/>
  <c r="W20" i="156"/>
  <c r="W24" i="156"/>
  <c r="AP47" i="17"/>
  <c r="W23" i="156"/>
  <c r="W17" i="156"/>
  <c r="E47" i="156"/>
  <c r="P35" i="156"/>
  <c r="W18" i="156"/>
  <c r="E48" i="156"/>
  <c r="P36" i="156"/>
  <c r="F49" i="156"/>
  <c r="Q37" i="156"/>
  <c r="F47" i="156"/>
  <c r="Q35" i="156"/>
  <c r="E49" i="156"/>
  <c r="P37" i="156"/>
  <c r="F48" i="156"/>
  <c r="Q36" i="156"/>
  <c r="F43" i="156"/>
  <c r="Q31" i="156"/>
  <c r="F27" i="156"/>
  <c r="Q15" i="156"/>
  <c r="W15" i="156" s="1"/>
  <c r="E38" i="156"/>
  <c r="P26" i="156"/>
  <c r="E41" i="156"/>
  <c r="P29" i="156"/>
  <c r="F46" i="156"/>
  <c r="Q34" i="156"/>
  <c r="E39" i="156"/>
  <c r="P27" i="156"/>
  <c r="E42" i="156"/>
  <c r="P30" i="156"/>
  <c r="E43" i="156"/>
  <c r="P31" i="156"/>
  <c r="F26" i="156"/>
  <c r="Q14" i="156"/>
  <c r="W14" i="156" s="1"/>
  <c r="E40" i="156"/>
  <c r="P28" i="156"/>
  <c r="W22" i="156"/>
  <c r="F42" i="156"/>
  <c r="Q30" i="156"/>
  <c r="E46" i="156"/>
  <c r="P34" i="156"/>
  <c r="F41" i="156"/>
  <c r="Q29" i="156"/>
  <c r="E44" i="156"/>
  <c r="P32" i="156"/>
  <c r="W25" i="156"/>
  <c r="F44" i="156"/>
  <c r="Q32" i="156"/>
  <c r="W21" i="156"/>
  <c r="F28" i="156"/>
  <c r="Q16" i="156"/>
  <c r="W16" i="156" s="1"/>
  <c r="F45" i="156"/>
  <c r="Q33" i="156"/>
  <c r="E45" i="156"/>
  <c r="P33" i="156"/>
  <c r="N14" i="154"/>
  <c r="U14" i="154" s="1"/>
  <c r="K14" i="152"/>
  <c r="O14" i="152" s="1"/>
  <c r="E51" i="155"/>
  <c r="L39" i="155"/>
  <c r="P39" i="155" s="1"/>
  <c r="E54" i="155"/>
  <c r="L42" i="155"/>
  <c r="P42" i="155" s="1"/>
  <c r="E59" i="155"/>
  <c r="L47" i="155"/>
  <c r="P47" i="155" s="1"/>
  <c r="E60" i="155"/>
  <c r="L48" i="155"/>
  <c r="P48" i="155" s="1"/>
  <c r="E56" i="155"/>
  <c r="L44" i="155"/>
  <c r="P44" i="155" s="1"/>
  <c r="E58" i="155"/>
  <c r="L46" i="155"/>
  <c r="P46" i="155" s="1"/>
  <c r="E61" i="155"/>
  <c r="L49" i="155"/>
  <c r="P49" i="155" s="1"/>
  <c r="E55" i="155"/>
  <c r="L43" i="155"/>
  <c r="P43" i="155" s="1"/>
  <c r="E53" i="155"/>
  <c r="L41" i="155"/>
  <c r="P41" i="155" s="1"/>
  <c r="E52" i="155"/>
  <c r="L40" i="155"/>
  <c r="P40" i="155" s="1"/>
  <c r="E57" i="155"/>
  <c r="L45" i="155"/>
  <c r="P45" i="155" s="1"/>
  <c r="F36" i="154"/>
  <c r="O36" i="154" s="1"/>
  <c r="U15" i="154"/>
  <c r="F30" i="154"/>
  <c r="O30" i="154" s="1"/>
  <c r="F27" i="154"/>
  <c r="O27" i="154" s="1"/>
  <c r="U18" i="154"/>
  <c r="F34" i="154"/>
  <c r="O34" i="154" s="1"/>
  <c r="U16" i="154"/>
  <c r="F28" i="154"/>
  <c r="O28" i="154" s="1"/>
  <c r="S3" i="77"/>
  <c r="U22" i="154"/>
  <c r="U24" i="154"/>
  <c r="F31" i="154"/>
  <c r="O31" i="154" s="1"/>
  <c r="U19" i="154"/>
  <c r="E2" i="36"/>
  <c r="E14" i="36" s="1"/>
  <c r="L14" i="36" s="1"/>
  <c r="E2" i="77"/>
  <c r="O18" i="152"/>
  <c r="Q10" i="36"/>
  <c r="Q8" i="36"/>
  <c r="O19" i="152"/>
  <c r="Q7" i="36"/>
  <c r="O16" i="152"/>
  <c r="Q11" i="36"/>
  <c r="Q4" i="36"/>
  <c r="Q12" i="36"/>
  <c r="Q5" i="36"/>
  <c r="Q9" i="36"/>
  <c r="Q6" i="36"/>
  <c r="Q13" i="36"/>
  <c r="Q3" i="36"/>
  <c r="AN5" i="17"/>
  <c r="AP5" i="17" s="1"/>
  <c r="AR5" i="17" s="1"/>
  <c r="K18" i="57" s="1"/>
  <c r="G80" i="154"/>
  <c r="P80" i="154" s="1"/>
  <c r="G80" i="153"/>
  <c r="P80" i="153" s="1"/>
  <c r="U80" i="153" s="1"/>
  <c r="H80" i="38"/>
  <c r="N80" i="38" s="1"/>
  <c r="H80" i="28"/>
  <c r="N80" i="28" s="1"/>
  <c r="O80" i="28" s="1"/>
  <c r="K80" i="75"/>
  <c r="O25" i="152"/>
  <c r="O15" i="152"/>
  <c r="O22" i="152"/>
  <c r="O17" i="152"/>
  <c r="O21" i="152"/>
  <c r="AY5" i="17"/>
  <c r="BA5" i="17" s="1"/>
  <c r="E28" i="152"/>
  <c r="K28" i="152" s="1"/>
  <c r="N26" i="154"/>
  <c r="U26" i="154" s="1"/>
  <c r="E38" i="154"/>
  <c r="E33" i="152"/>
  <c r="K33" i="152" s="1"/>
  <c r="E29" i="152"/>
  <c r="K29" i="152" s="1"/>
  <c r="K26" i="152"/>
  <c r="E38" i="152"/>
  <c r="E34" i="152"/>
  <c r="K34" i="152" s="1"/>
  <c r="E37" i="152"/>
  <c r="K37" i="152" s="1"/>
  <c r="E31" i="152"/>
  <c r="K31" i="152" s="1"/>
  <c r="E30" i="152"/>
  <c r="K30" i="152" s="1"/>
  <c r="E27" i="152"/>
  <c r="K27" i="152" s="1"/>
  <c r="F38" i="154"/>
  <c r="O38" i="154" s="1"/>
  <c r="F49" i="154"/>
  <c r="O49" i="154" s="1"/>
  <c r="F47" i="154"/>
  <c r="O47" i="154" s="1"/>
  <c r="F44" i="154"/>
  <c r="O44" i="154" s="1"/>
  <c r="F45" i="154"/>
  <c r="O45" i="154" s="1"/>
  <c r="F41" i="154"/>
  <c r="O41" i="154" s="1"/>
  <c r="E37" i="154"/>
  <c r="N37" i="154" s="1"/>
  <c r="U37" i="154" s="1"/>
  <c r="E30" i="154"/>
  <c r="N30" i="154" s="1"/>
  <c r="E35" i="154"/>
  <c r="N35" i="154" s="1"/>
  <c r="U35" i="154" s="1"/>
  <c r="E32" i="154"/>
  <c r="N32" i="154" s="1"/>
  <c r="U32" i="154" s="1"/>
  <c r="E28" i="154"/>
  <c r="N28" i="154" s="1"/>
  <c r="E34" i="154"/>
  <c r="N34" i="154" s="1"/>
  <c r="E33" i="154"/>
  <c r="N33" i="154" s="1"/>
  <c r="U33" i="154" s="1"/>
  <c r="E29" i="154"/>
  <c r="N29" i="154" s="1"/>
  <c r="U29" i="154" s="1"/>
  <c r="E31" i="154"/>
  <c r="N31" i="154" s="1"/>
  <c r="E27" i="154"/>
  <c r="N27" i="154" s="1"/>
  <c r="E36" i="154"/>
  <c r="N36" i="154" s="1"/>
  <c r="L26" i="152"/>
  <c r="L37" i="152"/>
  <c r="L36" i="152"/>
  <c r="O36" i="152" s="1"/>
  <c r="L35" i="152"/>
  <c r="O35" i="152" s="1"/>
  <c r="L31" i="152"/>
  <c r="L28" i="152"/>
  <c r="L34" i="152"/>
  <c r="L27" i="152"/>
  <c r="L32" i="152"/>
  <c r="O32" i="152" s="1"/>
  <c r="L30" i="152"/>
  <c r="L33" i="152"/>
  <c r="L29" i="152"/>
  <c r="E47" i="152"/>
  <c r="K47" i="152" s="1"/>
  <c r="E44" i="152"/>
  <c r="K44" i="152" s="1"/>
  <c r="E48" i="152"/>
  <c r="K48" i="152" s="1"/>
  <c r="O64" i="75"/>
  <c r="I65" i="75"/>
  <c r="P65" i="75" s="1"/>
  <c r="O65" i="75"/>
  <c r="I64" i="75"/>
  <c r="P64" i="75" s="1"/>
  <c r="E76" i="75"/>
  <c r="E88" i="75" s="1"/>
  <c r="E100" i="75" s="1"/>
  <c r="E112" i="75" s="1"/>
  <c r="N64" i="75"/>
  <c r="F77" i="75"/>
  <c r="I77" i="75" s="1"/>
  <c r="P77" i="75" s="1"/>
  <c r="F75" i="75"/>
  <c r="I75" i="75" s="1"/>
  <c r="P75" i="75" s="1"/>
  <c r="F76" i="75"/>
  <c r="I76" i="75" s="1"/>
  <c r="P76" i="75" s="1"/>
  <c r="F81" i="75"/>
  <c r="I81" i="75" s="1"/>
  <c r="P81" i="75" s="1"/>
  <c r="F83" i="75"/>
  <c r="I83" i="75" s="1"/>
  <c r="P83" i="75" s="1"/>
  <c r="F80" i="75"/>
  <c r="I80" i="75" s="1"/>
  <c r="P80" i="75" s="1"/>
  <c r="F84" i="75"/>
  <c r="I84" i="75" s="1"/>
  <c r="P84" i="75" s="1"/>
  <c r="F79" i="75"/>
  <c r="I79" i="75" s="1"/>
  <c r="P79" i="75" s="1"/>
  <c r="F82" i="75"/>
  <c r="I82" i="75" s="1"/>
  <c r="P82" i="75" s="1"/>
  <c r="F85" i="75"/>
  <c r="I85" i="75" s="1"/>
  <c r="P85" i="75" s="1"/>
  <c r="F86" i="75"/>
  <c r="I86" i="75" s="1"/>
  <c r="P86" i="75" s="1"/>
  <c r="F78" i="75"/>
  <c r="I78" i="75" s="1"/>
  <c r="P78" i="75" s="1"/>
  <c r="E78" i="75"/>
  <c r="E90" i="75" s="1"/>
  <c r="E102" i="75" s="1"/>
  <c r="E114" i="75" s="1"/>
  <c r="BE7" i="17"/>
  <c r="BF6" i="17"/>
  <c r="N14" i="75"/>
  <c r="M14" i="36"/>
  <c r="F26" i="36"/>
  <c r="F38" i="36" s="1"/>
  <c r="F50" i="36" s="1"/>
  <c r="F62" i="36" s="1"/>
  <c r="F74" i="36" s="1"/>
  <c r="F86" i="36" s="1"/>
  <c r="F98" i="36" s="1"/>
  <c r="F110" i="36" s="1"/>
  <c r="F122" i="36" s="1"/>
  <c r="F134" i="36" s="1"/>
  <c r="M25" i="36"/>
  <c r="F37" i="36"/>
  <c r="L15" i="36"/>
  <c r="E27" i="36"/>
  <c r="M18" i="36"/>
  <c r="F30" i="36"/>
  <c r="F35" i="36"/>
  <c r="M23" i="36"/>
  <c r="M16" i="36"/>
  <c r="F28" i="36"/>
  <c r="M22" i="36"/>
  <c r="F34" i="36"/>
  <c r="M17" i="36"/>
  <c r="F29" i="36"/>
  <c r="L23" i="36"/>
  <c r="E35" i="36"/>
  <c r="L22" i="36"/>
  <c r="E34" i="36"/>
  <c r="F31" i="36"/>
  <c r="M19" i="36"/>
  <c r="E36" i="36"/>
  <c r="L24" i="36"/>
  <c r="M21" i="36"/>
  <c r="F33" i="36"/>
  <c r="E31" i="36"/>
  <c r="L19" i="36"/>
  <c r="M20" i="36"/>
  <c r="F32" i="36"/>
  <c r="M24" i="36"/>
  <c r="F36" i="36"/>
  <c r="E28" i="36"/>
  <c r="L16" i="36"/>
  <c r="L21" i="36"/>
  <c r="E33" i="36"/>
  <c r="E32" i="36"/>
  <c r="L20" i="36"/>
  <c r="L25" i="36"/>
  <c r="E37" i="36"/>
  <c r="L17" i="36"/>
  <c r="E29" i="36"/>
  <c r="L18" i="36"/>
  <c r="E30" i="36"/>
  <c r="F27" i="36"/>
  <c r="M15" i="36"/>
  <c r="CC81" i="67"/>
  <c r="I81" i="156" s="1"/>
  <c r="N80" i="36"/>
  <c r="N80" i="32"/>
  <c r="Q80" i="32" s="1"/>
  <c r="P3" i="70"/>
  <c r="P15" i="70" s="1"/>
  <c r="Q5" i="70" s="1"/>
  <c r="E62" i="155" l="1"/>
  <c r="L50" i="155"/>
  <c r="P50" i="155" s="1"/>
  <c r="BC5" i="17"/>
  <c r="T18" i="57"/>
  <c r="U18" i="57" s="1"/>
  <c r="BC47" i="17"/>
  <c r="C7" i="74"/>
  <c r="AR47" i="17"/>
  <c r="C6" i="74"/>
  <c r="AY48" i="17"/>
  <c r="BA48" i="17" s="1"/>
  <c r="W34" i="156"/>
  <c r="AN50" i="17"/>
  <c r="AP48" i="17"/>
  <c r="W30" i="156"/>
  <c r="W37" i="156"/>
  <c r="W33" i="156"/>
  <c r="W31" i="156"/>
  <c r="F55" i="156"/>
  <c r="Q43" i="156"/>
  <c r="F56" i="156"/>
  <c r="Q44" i="156"/>
  <c r="E55" i="156"/>
  <c r="P43" i="156"/>
  <c r="F60" i="156"/>
  <c r="Q48" i="156"/>
  <c r="W32" i="156"/>
  <c r="E54" i="156"/>
  <c r="P42" i="156"/>
  <c r="E56" i="156"/>
  <c r="P44" i="156"/>
  <c r="E61" i="156"/>
  <c r="P49" i="156"/>
  <c r="E51" i="156"/>
  <c r="P39" i="156"/>
  <c r="F53" i="156"/>
  <c r="Q41" i="156"/>
  <c r="F59" i="156"/>
  <c r="Q47" i="156"/>
  <c r="E58" i="156"/>
  <c r="P46" i="156"/>
  <c r="F58" i="156"/>
  <c r="Q46" i="156"/>
  <c r="F61" i="156"/>
  <c r="Q49" i="156"/>
  <c r="W36" i="156"/>
  <c r="E57" i="156"/>
  <c r="P45" i="156"/>
  <c r="F54" i="156"/>
  <c r="Q42" i="156"/>
  <c r="E53" i="156"/>
  <c r="P41" i="156"/>
  <c r="E60" i="156"/>
  <c r="P48" i="156"/>
  <c r="F57" i="156"/>
  <c r="Q45" i="156"/>
  <c r="E50" i="156"/>
  <c r="P38" i="156"/>
  <c r="W35" i="156"/>
  <c r="E52" i="156"/>
  <c r="P40" i="156"/>
  <c r="E59" i="156"/>
  <c r="P47" i="156"/>
  <c r="W29" i="156"/>
  <c r="F40" i="156"/>
  <c r="Q28" i="156"/>
  <c r="W28" i="156" s="1"/>
  <c r="F38" i="156"/>
  <c r="Q26" i="156"/>
  <c r="W26" i="156" s="1"/>
  <c r="F39" i="156"/>
  <c r="Q27" i="156"/>
  <c r="W27" i="156" s="1"/>
  <c r="U30" i="154"/>
  <c r="F48" i="154"/>
  <c r="O48" i="154" s="1"/>
  <c r="U36" i="154"/>
  <c r="E67" i="155"/>
  <c r="L55" i="155"/>
  <c r="P55" i="155" s="1"/>
  <c r="E73" i="155"/>
  <c r="L61" i="155"/>
  <c r="P61" i="155" s="1"/>
  <c r="E70" i="155"/>
  <c r="L58" i="155"/>
  <c r="P58" i="155" s="1"/>
  <c r="E68" i="155"/>
  <c r="L56" i="155"/>
  <c r="P56" i="155" s="1"/>
  <c r="E72" i="155"/>
  <c r="L60" i="155"/>
  <c r="E69" i="155"/>
  <c r="L57" i="155"/>
  <c r="P57" i="155" s="1"/>
  <c r="E71" i="155"/>
  <c r="L59" i="155"/>
  <c r="F42" i="154"/>
  <c r="O42" i="154" s="1"/>
  <c r="E64" i="155"/>
  <c r="L52" i="155"/>
  <c r="P52" i="155" s="1"/>
  <c r="E66" i="155"/>
  <c r="L54" i="155"/>
  <c r="P54" i="155" s="1"/>
  <c r="E65" i="155"/>
  <c r="L53" i="155"/>
  <c r="P53" i="155" s="1"/>
  <c r="E63" i="155"/>
  <c r="L51" i="155"/>
  <c r="P51" i="155" s="1"/>
  <c r="F39" i="154"/>
  <c r="O39" i="154" s="1"/>
  <c r="U34" i="154"/>
  <c r="U27" i="154"/>
  <c r="L2" i="36"/>
  <c r="Q2" i="36" s="1"/>
  <c r="F46" i="154"/>
  <c r="O46" i="154" s="1"/>
  <c r="F40" i="154"/>
  <c r="O40" i="154" s="1"/>
  <c r="U28" i="154"/>
  <c r="AY6" i="17"/>
  <c r="BA6" i="17" s="1"/>
  <c r="E26" i="36"/>
  <c r="E38" i="36" s="1"/>
  <c r="E50" i="36" s="1"/>
  <c r="E62" i="36" s="1"/>
  <c r="E74" i="36" s="1"/>
  <c r="E86" i="36" s="1"/>
  <c r="E98" i="36" s="1"/>
  <c r="E110" i="36" s="1"/>
  <c r="E122" i="36" s="1"/>
  <c r="E134" i="36" s="1"/>
  <c r="Q14" i="36"/>
  <c r="U31" i="154"/>
  <c r="F43" i="154"/>
  <c r="O43" i="154" s="1"/>
  <c r="N2" i="77"/>
  <c r="E14" i="77"/>
  <c r="Q25" i="36"/>
  <c r="O27" i="152"/>
  <c r="O34" i="152"/>
  <c r="Q19" i="36"/>
  <c r="Q18" i="36"/>
  <c r="Q17" i="36"/>
  <c r="Q20" i="36"/>
  <c r="Q15" i="36"/>
  <c r="Q21" i="36"/>
  <c r="Q24" i="36"/>
  <c r="Q22" i="36"/>
  <c r="Q16" i="36"/>
  <c r="Q23" i="36"/>
  <c r="E40" i="152"/>
  <c r="K40" i="152" s="1"/>
  <c r="O30" i="152"/>
  <c r="O31" i="152"/>
  <c r="O37" i="152"/>
  <c r="O26" i="152"/>
  <c r="O29" i="152"/>
  <c r="O33" i="152"/>
  <c r="G81" i="153"/>
  <c r="P81" i="153" s="1"/>
  <c r="U81" i="153" s="1"/>
  <c r="G81" i="154"/>
  <c r="P81" i="154" s="1"/>
  <c r="K81" i="75"/>
  <c r="H81" i="28"/>
  <c r="N81" i="28" s="1"/>
  <c r="O81" i="28" s="1"/>
  <c r="H81" i="38"/>
  <c r="N81" i="38" s="1"/>
  <c r="O28" i="152"/>
  <c r="E45" i="152"/>
  <c r="K45" i="152" s="1"/>
  <c r="E49" i="152"/>
  <c r="K49" i="152" s="1"/>
  <c r="E46" i="152"/>
  <c r="K46" i="152" s="1"/>
  <c r="N38" i="154"/>
  <c r="U38" i="154" s="1"/>
  <c r="E50" i="154"/>
  <c r="E41" i="152"/>
  <c r="K41" i="152" s="1"/>
  <c r="E43" i="152"/>
  <c r="K43" i="152" s="1"/>
  <c r="E39" i="152"/>
  <c r="K39" i="152" s="1"/>
  <c r="K38" i="152"/>
  <c r="E50" i="152"/>
  <c r="E42" i="152"/>
  <c r="K42" i="152" s="1"/>
  <c r="E48" i="154"/>
  <c r="N48" i="154" s="1"/>
  <c r="E39" i="154"/>
  <c r="N39" i="154" s="1"/>
  <c r="E43" i="154"/>
  <c r="N43" i="154" s="1"/>
  <c r="E41" i="154"/>
  <c r="N41" i="154" s="1"/>
  <c r="U41" i="154" s="1"/>
  <c r="E45" i="154"/>
  <c r="N45" i="154" s="1"/>
  <c r="U45" i="154" s="1"/>
  <c r="E46" i="154"/>
  <c r="N46" i="154" s="1"/>
  <c r="E40" i="154"/>
  <c r="N40" i="154" s="1"/>
  <c r="E44" i="154"/>
  <c r="N44" i="154" s="1"/>
  <c r="U44" i="154" s="1"/>
  <c r="E47" i="154"/>
  <c r="N47" i="154" s="1"/>
  <c r="U47" i="154" s="1"/>
  <c r="E42" i="154"/>
  <c r="N42" i="154" s="1"/>
  <c r="E49" i="154"/>
  <c r="N49" i="154" s="1"/>
  <c r="U49" i="154" s="1"/>
  <c r="F53" i="154"/>
  <c r="O53" i="154" s="1"/>
  <c r="F57" i="154"/>
  <c r="O57" i="154" s="1"/>
  <c r="F56" i="154"/>
  <c r="O56" i="154" s="1"/>
  <c r="F59" i="154"/>
  <c r="O59" i="154" s="1"/>
  <c r="F61" i="154"/>
  <c r="O61" i="154" s="1"/>
  <c r="F50" i="154"/>
  <c r="O50" i="154" s="1"/>
  <c r="E60" i="152"/>
  <c r="K60" i="152" s="1"/>
  <c r="E56" i="152"/>
  <c r="K56" i="152" s="1"/>
  <c r="E59" i="152"/>
  <c r="K59" i="152" s="1"/>
  <c r="L41" i="152"/>
  <c r="L45" i="152"/>
  <c r="L42" i="152"/>
  <c r="L44" i="152"/>
  <c r="O44" i="152" s="1"/>
  <c r="L39" i="152"/>
  <c r="L46" i="152"/>
  <c r="L40" i="152"/>
  <c r="L43" i="152"/>
  <c r="L47" i="152"/>
  <c r="O47" i="152" s="1"/>
  <c r="L48" i="152"/>
  <c r="O48" i="152" s="1"/>
  <c r="L49" i="152"/>
  <c r="L38" i="152"/>
  <c r="F89" i="75"/>
  <c r="I89" i="75" s="1"/>
  <c r="P89" i="75" s="1"/>
  <c r="F87" i="75"/>
  <c r="I87" i="75" s="1"/>
  <c r="P87" i="75" s="1"/>
  <c r="F88" i="75"/>
  <c r="I88" i="75" s="1"/>
  <c r="P88" i="75" s="1"/>
  <c r="F96" i="75"/>
  <c r="I96" i="75" s="1"/>
  <c r="P96" i="75" s="1"/>
  <c r="F91" i="75"/>
  <c r="I91" i="75" s="1"/>
  <c r="P91" i="75" s="1"/>
  <c r="F92" i="75"/>
  <c r="I92" i="75" s="1"/>
  <c r="P92" i="75" s="1"/>
  <c r="F95" i="75"/>
  <c r="I95" i="75" s="1"/>
  <c r="P95" i="75" s="1"/>
  <c r="F97" i="75"/>
  <c r="I97" i="75" s="1"/>
  <c r="P97" i="75" s="1"/>
  <c r="F93" i="75"/>
  <c r="I93" i="75" s="1"/>
  <c r="P93" i="75" s="1"/>
  <c r="F90" i="75"/>
  <c r="I90" i="75" s="1"/>
  <c r="P90" i="75" s="1"/>
  <c r="F98" i="75"/>
  <c r="I98" i="75" s="1"/>
  <c r="P98" i="75" s="1"/>
  <c r="F94" i="75"/>
  <c r="I94" i="75" s="1"/>
  <c r="P94" i="75" s="1"/>
  <c r="D8" i="25"/>
  <c r="D8" i="74"/>
  <c r="BE8" i="17"/>
  <c r="BF7" i="17"/>
  <c r="M28" i="36"/>
  <c r="F40" i="36"/>
  <c r="M35" i="36"/>
  <c r="F47" i="36"/>
  <c r="M29" i="36"/>
  <c r="F41" i="36"/>
  <c r="M34" i="36"/>
  <c r="F46" i="36"/>
  <c r="M33" i="36"/>
  <c r="F45" i="36"/>
  <c r="M30" i="36"/>
  <c r="F42" i="36"/>
  <c r="E48" i="36"/>
  <c r="L36" i="36"/>
  <c r="E39" i="36"/>
  <c r="L27" i="36"/>
  <c r="E44" i="36"/>
  <c r="L32" i="36"/>
  <c r="F43" i="36"/>
  <c r="M31" i="36"/>
  <c r="E45" i="36"/>
  <c r="L33" i="36"/>
  <c r="L34" i="36"/>
  <c r="E46" i="36"/>
  <c r="M37" i="36"/>
  <c r="F49" i="36"/>
  <c r="E47" i="36"/>
  <c r="L35" i="36"/>
  <c r="F48" i="36"/>
  <c r="M36" i="36"/>
  <c r="F44" i="36"/>
  <c r="M32" i="36"/>
  <c r="F39" i="36"/>
  <c r="M27" i="36"/>
  <c r="L30" i="36"/>
  <c r="E42" i="36"/>
  <c r="L31" i="36"/>
  <c r="E43" i="36"/>
  <c r="L29" i="36"/>
  <c r="E41" i="36"/>
  <c r="L37" i="36"/>
  <c r="E49" i="36"/>
  <c r="L28" i="36"/>
  <c r="E40" i="36"/>
  <c r="CC82" i="67"/>
  <c r="I82" i="156" s="1"/>
  <c r="N81" i="36"/>
  <c r="N81" i="32"/>
  <c r="Q81" i="32" s="1"/>
  <c r="Q7" i="70"/>
  <c r="Q9" i="70"/>
  <c r="Q4" i="70"/>
  <c r="Q12" i="70"/>
  <c r="Q6" i="70"/>
  <c r="Q11" i="70"/>
  <c r="Q14" i="70"/>
  <c r="Q3" i="70"/>
  <c r="Q10" i="70"/>
  <c r="Q8" i="70"/>
  <c r="Q13" i="70"/>
  <c r="E74" i="155" l="1"/>
  <c r="L62" i="155"/>
  <c r="P62" i="155" s="1"/>
  <c r="Y18" i="57"/>
  <c r="C29" i="74"/>
  <c r="BC6" i="17"/>
  <c r="T19" i="57"/>
  <c r="U19" i="57" s="1"/>
  <c r="AR48" i="17"/>
  <c r="D6" i="74"/>
  <c r="BC48" i="17"/>
  <c r="D7" i="74"/>
  <c r="AY49" i="17"/>
  <c r="BA49" i="17" s="1"/>
  <c r="W43" i="156"/>
  <c r="AP49" i="17"/>
  <c r="W47" i="156"/>
  <c r="W44" i="156"/>
  <c r="W42" i="156"/>
  <c r="W45" i="156"/>
  <c r="W49" i="156"/>
  <c r="F66" i="156"/>
  <c r="Q54" i="156"/>
  <c r="E73" i="156"/>
  <c r="P61" i="156"/>
  <c r="E69" i="156"/>
  <c r="P57" i="156"/>
  <c r="E71" i="156"/>
  <c r="P59" i="156"/>
  <c r="E68" i="156"/>
  <c r="P56" i="156"/>
  <c r="E64" i="156"/>
  <c r="P52" i="156"/>
  <c r="F73" i="156"/>
  <c r="Q61" i="156"/>
  <c r="E66" i="156"/>
  <c r="P54" i="156"/>
  <c r="F70" i="156"/>
  <c r="Q58" i="156"/>
  <c r="E62" i="156"/>
  <c r="P50" i="156"/>
  <c r="W46" i="156"/>
  <c r="F72" i="156"/>
  <c r="Q60" i="156"/>
  <c r="E70" i="156"/>
  <c r="P58" i="156"/>
  <c r="F51" i="156"/>
  <c r="Q39" i="156"/>
  <c r="W39" i="156" s="1"/>
  <c r="F69" i="156"/>
  <c r="Q57" i="156"/>
  <c r="E67" i="156"/>
  <c r="P55" i="156"/>
  <c r="W48" i="156"/>
  <c r="F71" i="156"/>
  <c r="Q59" i="156"/>
  <c r="F50" i="156"/>
  <c r="Q38" i="156"/>
  <c r="W38" i="156" s="1"/>
  <c r="E72" i="156"/>
  <c r="P60" i="156"/>
  <c r="F68" i="156"/>
  <c r="Q56" i="156"/>
  <c r="W41" i="156"/>
  <c r="F65" i="156"/>
  <c r="Q53" i="156"/>
  <c r="E65" i="156"/>
  <c r="P53" i="156"/>
  <c r="F67" i="156"/>
  <c r="Q55" i="156"/>
  <c r="F52" i="156"/>
  <c r="Q40" i="156"/>
  <c r="W40" i="156" s="1"/>
  <c r="E63" i="156"/>
  <c r="P51" i="156"/>
  <c r="U48" i="154"/>
  <c r="F60" i="154"/>
  <c r="O60" i="154" s="1"/>
  <c r="F54" i="154"/>
  <c r="O54" i="154" s="1"/>
  <c r="U39" i="154"/>
  <c r="F51" i="154"/>
  <c r="O51" i="154" s="1"/>
  <c r="U42" i="154"/>
  <c r="E76" i="155"/>
  <c r="L64" i="155"/>
  <c r="P64" i="155" s="1"/>
  <c r="E83" i="155"/>
  <c r="L71" i="155"/>
  <c r="P71" i="155" s="1"/>
  <c r="E81" i="155"/>
  <c r="L69" i="155"/>
  <c r="P69" i="155" s="1"/>
  <c r="E84" i="155"/>
  <c r="L72" i="155"/>
  <c r="P72" i="155" s="1"/>
  <c r="E80" i="155"/>
  <c r="L68" i="155"/>
  <c r="P68" i="155" s="1"/>
  <c r="E75" i="155"/>
  <c r="L63" i="155"/>
  <c r="P63" i="155" s="1"/>
  <c r="E82" i="155"/>
  <c r="L70" i="155"/>
  <c r="P70" i="155" s="1"/>
  <c r="E77" i="155"/>
  <c r="L65" i="155"/>
  <c r="P65" i="155" s="1"/>
  <c r="E85" i="155"/>
  <c r="L73" i="155"/>
  <c r="P73" i="155" s="1"/>
  <c r="E78" i="155"/>
  <c r="L66" i="155"/>
  <c r="P66" i="155" s="1"/>
  <c r="E79" i="155"/>
  <c r="L67" i="155"/>
  <c r="P67" i="155" s="1"/>
  <c r="U46" i="154"/>
  <c r="F52" i="154"/>
  <c r="O52" i="154" s="1"/>
  <c r="U40" i="154"/>
  <c r="F58" i="154"/>
  <c r="O58" i="154" s="1"/>
  <c r="AY7" i="17"/>
  <c r="BA7" i="17" s="1"/>
  <c r="F55" i="154"/>
  <c r="O55" i="154" s="1"/>
  <c r="U43" i="154"/>
  <c r="Q37" i="36"/>
  <c r="Q34" i="36"/>
  <c r="O40" i="152"/>
  <c r="O43" i="152"/>
  <c r="E61" i="152"/>
  <c r="K61" i="152" s="1"/>
  <c r="Q30" i="36"/>
  <c r="Q32" i="36"/>
  <c r="Q29" i="36"/>
  <c r="E52" i="152"/>
  <c r="K52" i="152" s="1"/>
  <c r="Q27" i="36"/>
  <c r="Q35" i="36"/>
  <c r="Q28" i="36"/>
  <c r="Q36" i="36"/>
  <c r="Q33" i="36"/>
  <c r="Q31" i="36"/>
  <c r="O42" i="152"/>
  <c r="O38" i="152"/>
  <c r="O39" i="152"/>
  <c r="O41" i="152"/>
  <c r="O46" i="152"/>
  <c r="O49" i="152"/>
  <c r="O45" i="152"/>
  <c r="G82" i="154"/>
  <c r="P82" i="154" s="1"/>
  <c r="G82" i="153"/>
  <c r="P82" i="153" s="1"/>
  <c r="U82" i="153" s="1"/>
  <c r="K82" i="75"/>
  <c r="H82" i="28"/>
  <c r="N82" i="28" s="1"/>
  <c r="O82" i="28" s="1"/>
  <c r="H82" i="38"/>
  <c r="N82" i="38" s="1"/>
  <c r="E57" i="152"/>
  <c r="K57" i="152" s="1"/>
  <c r="E58" i="152"/>
  <c r="K58" i="152" s="1"/>
  <c r="E53" i="152"/>
  <c r="K53" i="152" s="1"/>
  <c r="E55" i="152"/>
  <c r="K55" i="152" s="1"/>
  <c r="E51" i="152"/>
  <c r="K51" i="152" s="1"/>
  <c r="N50" i="154"/>
  <c r="U50" i="154" s="1"/>
  <c r="E62" i="154"/>
  <c r="E54" i="152"/>
  <c r="K54" i="152" s="1"/>
  <c r="K50" i="152"/>
  <c r="E62" i="152"/>
  <c r="F99" i="75"/>
  <c r="I99" i="75" s="1"/>
  <c r="P99" i="75" s="1"/>
  <c r="F62" i="154"/>
  <c r="O62" i="154" s="1"/>
  <c r="F73" i="154"/>
  <c r="O73" i="154" s="1"/>
  <c r="F71" i="154"/>
  <c r="O71" i="154" s="1"/>
  <c r="F68" i="154"/>
  <c r="O68" i="154" s="1"/>
  <c r="F69" i="154"/>
  <c r="O69" i="154" s="1"/>
  <c r="F65" i="154"/>
  <c r="O65" i="154" s="1"/>
  <c r="E61" i="154"/>
  <c r="N61" i="154" s="1"/>
  <c r="U61" i="154" s="1"/>
  <c r="E54" i="154"/>
  <c r="N54" i="154" s="1"/>
  <c r="E59" i="154"/>
  <c r="N59" i="154" s="1"/>
  <c r="U59" i="154" s="1"/>
  <c r="E56" i="154"/>
  <c r="N56" i="154" s="1"/>
  <c r="U56" i="154" s="1"/>
  <c r="E52" i="154"/>
  <c r="N52" i="154" s="1"/>
  <c r="E58" i="154"/>
  <c r="N58" i="154" s="1"/>
  <c r="E57" i="154"/>
  <c r="N57" i="154" s="1"/>
  <c r="U57" i="154" s="1"/>
  <c r="E53" i="154"/>
  <c r="N53" i="154" s="1"/>
  <c r="U53" i="154" s="1"/>
  <c r="E55" i="154"/>
  <c r="N55" i="154" s="1"/>
  <c r="E51" i="154"/>
  <c r="N51" i="154" s="1"/>
  <c r="E60" i="154"/>
  <c r="N60" i="154" s="1"/>
  <c r="F101" i="75"/>
  <c r="I101" i="75" s="1"/>
  <c r="P101" i="75" s="1"/>
  <c r="F100" i="75"/>
  <c r="I100" i="75" s="1"/>
  <c r="P100" i="75" s="1"/>
  <c r="L50" i="152"/>
  <c r="L61" i="152"/>
  <c r="L60" i="152"/>
  <c r="O60" i="152" s="1"/>
  <c r="L59" i="152"/>
  <c r="O59" i="152" s="1"/>
  <c r="L55" i="152"/>
  <c r="L52" i="152"/>
  <c r="L58" i="152"/>
  <c r="L51" i="152"/>
  <c r="L56" i="152"/>
  <c r="O56" i="152" s="1"/>
  <c r="L54" i="152"/>
  <c r="L57" i="152"/>
  <c r="L53" i="152"/>
  <c r="E71" i="152"/>
  <c r="K71" i="152" s="1"/>
  <c r="E68" i="152"/>
  <c r="K68" i="152" s="1"/>
  <c r="E72" i="152"/>
  <c r="K72" i="152" s="1"/>
  <c r="F105" i="75"/>
  <c r="I105" i="75" s="1"/>
  <c r="P105" i="75" s="1"/>
  <c r="F109" i="75"/>
  <c r="I109" i="75" s="1"/>
  <c r="P109" i="75" s="1"/>
  <c r="F102" i="75"/>
  <c r="I102" i="75" s="1"/>
  <c r="P102" i="75" s="1"/>
  <c r="O95" i="75"/>
  <c r="F107" i="75"/>
  <c r="I107" i="75" s="1"/>
  <c r="P107" i="75" s="1"/>
  <c r="F103" i="75"/>
  <c r="I103" i="75" s="1"/>
  <c r="P103" i="75" s="1"/>
  <c r="F104" i="75"/>
  <c r="I104" i="75" s="1"/>
  <c r="P104" i="75" s="1"/>
  <c r="F106" i="75"/>
  <c r="I106" i="75" s="1"/>
  <c r="P106" i="75" s="1"/>
  <c r="F110" i="75"/>
  <c r="I110" i="75" s="1"/>
  <c r="P110" i="75" s="1"/>
  <c r="F108" i="75"/>
  <c r="I108" i="75" s="1"/>
  <c r="P108" i="75" s="1"/>
  <c r="E8" i="25"/>
  <c r="E8" i="74"/>
  <c r="BF8" i="17"/>
  <c r="BE9" i="17"/>
  <c r="M42" i="36"/>
  <c r="F54" i="36"/>
  <c r="E52" i="36"/>
  <c r="L40" i="36"/>
  <c r="L39" i="36"/>
  <c r="E51" i="36"/>
  <c r="F60" i="36"/>
  <c r="M48" i="36"/>
  <c r="E61" i="36"/>
  <c r="L49" i="36"/>
  <c r="L47" i="36"/>
  <c r="E59" i="36"/>
  <c r="L46" i="36"/>
  <c r="E58" i="36"/>
  <c r="F61" i="36"/>
  <c r="M49" i="36"/>
  <c r="M46" i="36"/>
  <c r="F58" i="36"/>
  <c r="L45" i="36"/>
  <c r="E57" i="36"/>
  <c r="F56" i="36"/>
  <c r="M44" i="36"/>
  <c r="E60" i="36"/>
  <c r="L48" i="36"/>
  <c r="M45" i="36"/>
  <c r="F57" i="36"/>
  <c r="E53" i="36"/>
  <c r="L41" i="36"/>
  <c r="L43" i="36"/>
  <c r="E55" i="36"/>
  <c r="F59" i="36"/>
  <c r="M47" i="36"/>
  <c r="F52" i="36"/>
  <c r="M40" i="36"/>
  <c r="F53" i="36"/>
  <c r="M41" i="36"/>
  <c r="E54" i="36"/>
  <c r="L42" i="36"/>
  <c r="M43" i="36"/>
  <c r="F55" i="36"/>
  <c r="F51" i="36"/>
  <c r="M39" i="36"/>
  <c r="L44" i="36"/>
  <c r="E56" i="36"/>
  <c r="CC83" i="67"/>
  <c r="I83" i="156" s="1"/>
  <c r="N82" i="36"/>
  <c r="N82" i="32"/>
  <c r="Q82" i="32" s="1"/>
  <c r="R10" i="70"/>
  <c r="R3" i="70"/>
  <c r="Q15" i="70"/>
  <c r="E86" i="155" l="1"/>
  <c r="L74" i="155"/>
  <c r="Y19" i="57"/>
  <c r="D29" i="74"/>
  <c r="BC7" i="17"/>
  <c r="T20" i="57"/>
  <c r="U20" i="57" s="1"/>
  <c r="AR49" i="17"/>
  <c r="E6" i="74"/>
  <c r="BC49" i="17"/>
  <c r="E7" i="74"/>
  <c r="AY50" i="17"/>
  <c r="BA50" i="17" s="1"/>
  <c r="AN52" i="17"/>
  <c r="W53" i="156"/>
  <c r="AP50" i="17"/>
  <c r="W58" i="156"/>
  <c r="W59" i="156"/>
  <c r="E79" i="156"/>
  <c r="P67" i="156"/>
  <c r="E78" i="156"/>
  <c r="P66" i="156"/>
  <c r="E77" i="156"/>
  <c r="P65" i="156"/>
  <c r="F81" i="156"/>
  <c r="Q69" i="156"/>
  <c r="F85" i="156"/>
  <c r="Q73" i="156"/>
  <c r="F77" i="156"/>
  <c r="Q65" i="156"/>
  <c r="F63" i="156"/>
  <c r="Q51" i="156"/>
  <c r="W51" i="156" s="1"/>
  <c r="E76" i="156"/>
  <c r="P64" i="156"/>
  <c r="U54" i="154"/>
  <c r="E82" i="156"/>
  <c r="P70" i="156"/>
  <c r="W56" i="156"/>
  <c r="E80" i="156"/>
  <c r="P68" i="156"/>
  <c r="W60" i="156"/>
  <c r="F84" i="156"/>
  <c r="Q72" i="156"/>
  <c r="F80" i="156"/>
  <c r="Q68" i="156"/>
  <c r="E84" i="156"/>
  <c r="P72" i="156"/>
  <c r="E83" i="156"/>
  <c r="P71" i="156"/>
  <c r="F66" i="154"/>
  <c r="O66" i="154" s="1"/>
  <c r="W57" i="156"/>
  <c r="E81" i="156"/>
  <c r="P69" i="156"/>
  <c r="E75" i="156"/>
  <c r="P63" i="156"/>
  <c r="W61" i="156"/>
  <c r="F62" i="156"/>
  <c r="Q50" i="156"/>
  <c r="W50" i="156" s="1"/>
  <c r="U60" i="154"/>
  <c r="F72" i="154"/>
  <c r="O72" i="154" s="1"/>
  <c r="F64" i="156"/>
  <c r="Q52" i="156"/>
  <c r="W52" i="156" s="1"/>
  <c r="F83" i="156"/>
  <c r="Q71" i="156"/>
  <c r="F82" i="156"/>
  <c r="Q70" i="156"/>
  <c r="E85" i="156"/>
  <c r="P73" i="156"/>
  <c r="E74" i="156"/>
  <c r="P62" i="156"/>
  <c r="F79" i="156"/>
  <c r="Q67" i="156"/>
  <c r="W55" i="156"/>
  <c r="W54" i="156"/>
  <c r="F78" i="156"/>
  <c r="Q66" i="156"/>
  <c r="F63" i="154"/>
  <c r="O63" i="154" s="1"/>
  <c r="U51" i="154"/>
  <c r="F70" i="154"/>
  <c r="O70" i="154" s="1"/>
  <c r="F64" i="154"/>
  <c r="O64" i="154" s="1"/>
  <c r="U52" i="154"/>
  <c r="U58" i="154"/>
  <c r="E89" i="155"/>
  <c r="L77" i="155"/>
  <c r="E94" i="155"/>
  <c r="L82" i="155"/>
  <c r="E87" i="155"/>
  <c r="L75" i="155"/>
  <c r="E92" i="155"/>
  <c r="L80" i="155"/>
  <c r="E96" i="155"/>
  <c r="L84" i="155"/>
  <c r="E91" i="155"/>
  <c r="L79" i="155"/>
  <c r="E93" i="155"/>
  <c r="L81" i="155"/>
  <c r="E90" i="155"/>
  <c r="L78" i="155"/>
  <c r="AY8" i="17"/>
  <c r="BA8" i="17" s="1"/>
  <c r="E95" i="155"/>
  <c r="L83" i="155"/>
  <c r="E97" i="155"/>
  <c r="L85" i="155"/>
  <c r="E88" i="155"/>
  <c r="L76" i="155"/>
  <c r="U55" i="154"/>
  <c r="F67" i="154"/>
  <c r="O67" i="154" s="1"/>
  <c r="Q43" i="36"/>
  <c r="E73" i="152"/>
  <c r="K73" i="152" s="1"/>
  <c r="E64" i="152"/>
  <c r="K64" i="152" s="1"/>
  <c r="Q48" i="36"/>
  <c r="O52" i="152"/>
  <c r="O61" i="152"/>
  <c r="O53" i="152"/>
  <c r="O57" i="152"/>
  <c r="Q39" i="36"/>
  <c r="O54" i="152"/>
  <c r="Q45" i="36"/>
  <c r="E65" i="152"/>
  <c r="K65" i="152" s="1"/>
  <c r="Q42" i="36"/>
  <c r="Q40" i="36"/>
  <c r="Q46" i="36"/>
  <c r="Q44" i="36"/>
  <c r="Q47" i="36"/>
  <c r="Q49" i="36"/>
  <c r="Q41" i="36"/>
  <c r="E69" i="152"/>
  <c r="K69" i="152" s="1"/>
  <c r="E70" i="152"/>
  <c r="K70" i="152" s="1"/>
  <c r="O50" i="152"/>
  <c r="O51" i="152"/>
  <c r="O55" i="152"/>
  <c r="O58" i="152"/>
  <c r="G83" i="154"/>
  <c r="P83" i="154" s="1"/>
  <c r="G83" i="153"/>
  <c r="P83" i="153" s="1"/>
  <c r="U83" i="153" s="1"/>
  <c r="K83" i="75"/>
  <c r="H83" i="38"/>
  <c r="N83" i="38" s="1"/>
  <c r="H83" i="28"/>
  <c r="N83" i="28" s="1"/>
  <c r="O83" i="28" s="1"/>
  <c r="E67" i="152"/>
  <c r="K67" i="152" s="1"/>
  <c r="E63" i="152"/>
  <c r="K63" i="152" s="1"/>
  <c r="E66" i="152"/>
  <c r="K66" i="152" s="1"/>
  <c r="F111" i="75"/>
  <c r="I111" i="75" s="1"/>
  <c r="P111" i="75" s="1"/>
  <c r="N62" i="154"/>
  <c r="U62" i="154" s="1"/>
  <c r="E74" i="154"/>
  <c r="K62" i="152"/>
  <c r="E74" i="152"/>
  <c r="E72" i="154"/>
  <c r="N72" i="154" s="1"/>
  <c r="E63" i="154"/>
  <c r="N63" i="154" s="1"/>
  <c r="E67" i="154"/>
  <c r="N67" i="154" s="1"/>
  <c r="E65" i="154"/>
  <c r="N65" i="154" s="1"/>
  <c r="U65" i="154" s="1"/>
  <c r="E69" i="154"/>
  <c r="N69" i="154" s="1"/>
  <c r="U69" i="154" s="1"/>
  <c r="E70" i="154"/>
  <c r="N70" i="154" s="1"/>
  <c r="E64" i="154"/>
  <c r="N64" i="154" s="1"/>
  <c r="E68" i="154"/>
  <c r="N68" i="154" s="1"/>
  <c r="U68" i="154" s="1"/>
  <c r="E71" i="154"/>
  <c r="N71" i="154" s="1"/>
  <c r="U71" i="154" s="1"/>
  <c r="E66" i="154"/>
  <c r="N66" i="154" s="1"/>
  <c r="E73" i="154"/>
  <c r="N73" i="154" s="1"/>
  <c r="U73" i="154" s="1"/>
  <c r="F77" i="154"/>
  <c r="O77" i="154" s="1"/>
  <c r="F81" i="154"/>
  <c r="O81" i="154" s="1"/>
  <c r="F80" i="154"/>
  <c r="O80" i="154" s="1"/>
  <c r="F83" i="154"/>
  <c r="O83" i="154" s="1"/>
  <c r="F85" i="154"/>
  <c r="O85" i="154" s="1"/>
  <c r="F74" i="154"/>
  <c r="O74" i="154" s="1"/>
  <c r="F113" i="75"/>
  <c r="I113" i="75" s="1"/>
  <c r="P113" i="75" s="1"/>
  <c r="F112" i="75"/>
  <c r="I112" i="75" s="1"/>
  <c r="P112" i="75" s="1"/>
  <c r="E84" i="152"/>
  <c r="K84" i="152" s="1"/>
  <c r="E80" i="152"/>
  <c r="K80" i="152" s="1"/>
  <c r="E83" i="152"/>
  <c r="K83" i="152" s="1"/>
  <c r="L65" i="152"/>
  <c r="L69" i="152"/>
  <c r="L66" i="152"/>
  <c r="L68" i="152"/>
  <c r="O68" i="152" s="1"/>
  <c r="L63" i="152"/>
  <c r="L70" i="152"/>
  <c r="L64" i="152"/>
  <c r="L67" i="152"/>
  <c r="L71" i="152"/>
  <c r="O71" i="152" s="1"/>
  <c r="L72" i="152"/>
  <c r="O72" i="152" s="1"/>
  <c r="L73" i="152"/>
  <c r="L62" i="152"/>
  <c r="F116" i="75"/>
  <c r="I116" i="75" s="1"/>
  <c r="P116" i="75" s="1"/>
  <c r="F121" i="75"/>
  <c r="I121" i="75" s="1"/>
  <c r="P121" i="75" s="1"/>
  <c r="F115" i="75"/>
  <c r="I115" i="75" s="1"/>
  <c r="P115" i="75" s="1"/>
  <c r="F120" i="75"/>
  <c r="I120" i="75" s="1"/>
  <c r="P120" i="75" s="1"/>
  <c r="F118" i="75"/>
  <c r="I118" i="75" s="1"/>
  <c r="P118" i="75" s="1"/>
  <c r="F119" i="75"/>
  <c r="I119" i="75" s="1"/>
  <c r="P119" i="75" s="1"/>
  <c r="F114" i="75"/>
  <c r="I114" i="75" s="1"/>
  <c r="P114" i="75" s="1"/>
  <c r="F117" i="75"/>
  <c r="I117" i="75" s="1"/>
  <c r="P117" i="75" s="1"/>
  <c r="F8" i="25"/>
  <c r="F8" i="74"/>
  <c r="BE10" i="17"/>
  <c r="BF9" i="17"/>
  <c r="E70" i="36"/>
  <c r="L58" i="36"/>
  <c r="L55" i="36"/>
  <c r="E67" i="36"/>
  <c r="L53" i="36"/>
  <c r="E65" i="36"/>
  <c r="E73" i="36"/>
  <c r="L61" i="36"/>
  <c r="E63" i="36"/>
  <c r="L51" i="36"/>
  <c r="M59" i="36"/>
  <c r="F71" i="36"/>
  <c r="E71" i="36"/>
  <c r="L59" i="36"/>
  <c r="F69" i="36"/>
  <c r="M57" i="36"/>
  <c r="M51" i="36"/>
  <c r="F63" i="36"/>
  <c r="F67" i="36"/>
  <c r="M55" i="36"/>
  <c r="F72" i="36"/>
  <c r="M60" i="36"/>
  <c r="M53" i="36"/>
  <c r="F65" i="36"/>
  <c r="L54" i="36"/>
  <c r="E66" i="36"/>
  <c r="E69" i="36"/>
  <c r="L57" i="36"/>
  <c r="F70" i="36"/>
  <c r="M58" i="36"/>
  <c r="M54" i="36"/>
  <c r="F66" i="36"/>
  <c r="M61" i="36"/>
  <c r="F73" i="36"/>
  <c r="L56" i="36"/>
  <c r="E68" i="36"/>
  <c r="L60" i="36"/>
  <c r="E72" i="36"/>
  <c r="F68" i="36"/>
  <c r="M56" i="36"/>
  <c r="L52" i="36"/>
  <c r="E64" i="36"/>
  <c r="M52" i="36"/>
  <c r="F64" i="36"/>
  <c r="I48" i="70"/>
  <c r="D47" i="70"/>
  <c r="CC84" i="67"/>
  <c r="I84" i="156" s="1"/>
  <c r="N83" i="36"/>
  <c r="N83" i="32"/>
  <c r="Q83" i="32" s="1"/>
  <c r="D43" i="70"/>
  <c r="I44" i="70"/>
  <c r="E98" i="155" l="1"/>
  <c r="L86" i="155"/>
  <c r="Y20" i="57"/>
  <c r="E29" i="74"/>
  <c r="BC8" i="17"/>
  <c r="T21" i="57"/>
  <c r="U21" i="57" s="1"/>
  <c r="AR50" i="17"/>
  <c r="F6" i="74"/>
  <c r="BC50" i="17"/>
  <c r="F7" i="74"/>
  <c r="AY51" i="17"/>
  <c r="BA51" i="17" s="1"/>
  <c r="W72" i="156"/>
  <c r="W71" i="156"/>
  <c r="U66" i="154"/>
  <c r="W69" i="156"/>
  <c r="F78" i="154"/>
  <c r="O78" i="154" s="1"/>
  <c r="F82" i="154"/>
  <c r="O82" i="154" s="1"/>
  <c r="U64" i="154"/>
  <c r="F84" i="154"/>
  <c r="O84" i="154" s="1"/>
  <c r="W70" i="156"/>
  <c r="F76" i="154"/>
  <c r="O76" i="154" s="1"/>
  <c r="U72" i="154"/>
  <c r="F95" i="156"/>
  <c r="Q83" i="156"/>
  <c r="E88" i="156"/>
  <c r="P76" i="156"/>
  <c r="E95" i="156"/>
  <c r="P83" i="156"/>
  <c r="F76" i="156"/>
  <c r="Q64" i="156"/>
  <c r="W64" i="156" s="1"/>
  <c r="F75" i="156"/>
  <c r="Q63" i="156"/>
  <c r="W63" i="156" s="1"/>
  <c r="E96" i="156"/>
  <c r="P84" i="156"/>
  <c r="F90" i="156"/>
  <c r="Q78" i="156"/>
  <c r="F89" i="156"/>
  <c r="Q77" i="156"/>
  <c r="F92" i="156"/>
  <c r="Q80" i="156"/>
  <c r="F74" i="156"/>
  <c r="Q62" i="156"/>
  <c r="W62" i="156" s="1"/>
  <c r="F96" i="156"/>
  <c r="Q84" i="156"/>
  <c r="F97" i="156"/>
  <c r="Q85" i="156"/>
  <c r="F91" i="156"/>
  <c r="Q79" i="156"/>
  <c r="E87" i="156"/>
  <c r="P75" i="156"/>
  <c r="W68" i="156"/>
  <c r="F93" i="156"/>
  <c r="Q81" i="156"/>
  <c r="E86" i="156"/>
  <c r="P74" i="156"/>
  <c r="E92" i="156"/>
  <c r="P80" i="156"/>
  <c r="W65" i="156"/>
  <c r="W73" i="156"/>
  <c r="E93" i="156"/>
  <c r="P81" i="156"/>
  <c r="E89" i="156"/>
  <c r="P77" i="156"/>
  <c r="E97" i="156"/>
  <c r="P85" i="156"/>
  <c r="W66" i="156"/>
  <c r="F75" i="154"/>
  <c r="O75" i="154" s="1"/>
  <c r="E94" i="156"/>
  <c r="P82" i="156"/>
  <c r="E90" i="156"/>
  <c r="P78" i="156"/>
  <c r="F94" i="156"/>
  <c r="Q82" i="156"/>
  <c r="W67" i="156"/>
  <c r="U63" i="154"/>
  <c r="E91" i="156"/>
  <c r="P79" i="156"/>
  <c r="U70" i="154"/>
  <c r="AY9" i="17"/>
  <c r="BA9" i="17" s="1"/>
  <c r="E102" i="155"/>
  <c r="L90" i="155"/>
  <c r="E105" i="155"/>
  <c r="L93" i="155"/>
  <c r="E103" i="155"/>
  <c r="L91" i="155"/>
  <c r="E108" i="155"/>
  <c r="L96" i="155"/>
  <c r="E104" i="155"/>
  <c r="L92" i="155"/>
  <c r="E100" i="155"/>
  <c r="L88" i="155"/>
  <c r="E99" i="155"/>
  <c r="L87" i="155"/>
  <c r="E106" i="155"/>
  <c r="L94" i="155"/>
  <c r="E109" i="155"/>
  <c r="L97" i="155"/>
  <c r="E107" i="155"/>
  <c r="L95" i="155"/>
  <c r="E101" i="155"/>
  <c r="L89" i="155"/>
  <c r="E76" i="152"/>
  <c r="K76" i="152" s="1"/>
  <c r="E85" i="152"/>
  <c r="K85" i="152" s="1"/>
  <c r="U67" i="154"/>
  <c r="F79" i="154"/>
  <c r="O79" i="154" s="1"/>
  <c r="O64" i="152"/>
  <c r="O73" i="152"/>
  <c r="O65" i="152"/>
  <c r="E81" i="152"/>
  <c r="K81" i="152" s="1"/>
  <c r="E82" i="152"/>
  <c r="K82" i="152" s="1"/>
  <c r="E77" i="152"/>
  <c r="K77" i="152" s="1"/>
  <c r="Q59" i="36"/>
  <c r="O70" i="152"/>
  <c r="Q58" i="36"/>
  <c r="O66" i="152"/>
  <c r="O69" i="152"/>
  <c r="Q52" i="36"/>
  <c r="Q61" i="36"/>
  <c r="Q53" i="36"/>
  <c r="Q54" i="36"/>
  <c r="E78" i="152"/>
  <c r="K78" i="152" s="1"/>
  <c r="Q60" i="36"/>
  <c r="Q57" i="36"/>
  <c r="Q56" i="36"/>
  <c r="Q55" i="36"/>
  <c r="Q51" i="36"/>
  <c r="E79" i="152"/>
  <c r="K79" i="152" s="1"/>
  <c r="E75" i="152"/>
  <c r="K75" i="152" s="1"/>
  <c r="O62" i="152"/>
  <c r="G84" i="154"/>
  <c r="P84" i="154" s="1"/>
  <c r="G84" i="153"/>
  <c r="P84" i="153" s="1"/>
  <c r="U84" i="153" s="1"/>
  <c r="K84" i="75"/>
  <c r="H84" i="38"/>
  <c r="N84" i="38" s="1"/>
  <c r="H84" i="28"/>
  <c r="N84" i="28" s="1"/>
  <c r="O84" i="28" s="1"/>
  <c r="O63" i="152"/>
  <c r="O67" i="152"/>
  <c r="N74" i="154"/>
  <c r="U74" i="154" s="1"/>
  <c r="E86" i="154"/>
  <c r="K74" i="152"/>
  <c r="E86" i="152"/>
  <c r="F86" i="154"/>
  <c r="O86" i="154" s="1"/>
  <c r="F97" i="154"/>
  <c r="O97" i="154" s="1"/>
  <c r="F95" i="154"/>
  <c r="O95" i="154" s="1"/>
  <c r="F92" i="154"/>
  <c r="O92" i="154" s="1"/>
  <c r="F93" i="154"/>
  <c r="O93" i="154" s="1"/>
  <c r="F89" i="154"/>
  <c r="O89" i="154" s="1"/>
  <c r="E85" i="154"/>
  <c r="N85" i="154" s="1"/>
  <c r="E78" i="154"/>
  <c r="N78" i="154" s="1"/>
  <c r="E83" i="154"/>
  <c r="N83" i="154" s="1"/>
  <c r="U83" i="154" s="1"/>
  <c r="E80" i="154"/>
  <c r="N80" i="154" s="1"/>
  <c r="U80" i="154" s="1"/>
  <c r="E76" i="154"/>
  <c r="N76" i="154" s="1"/>
  <c r="E82" i="154"/>
  <c r="N82" i="154" s="1"/>
  <c r="E81" i="154"/>
  <c r="N81" i="154" s="1"/>
  <c r="U81" i="154" s="1"/>
  <c r="E77" i="154"/>
  <c r="N77" i="154" s="1"/>
  <c r="U77" i="154" s="1"/>
  <c r="E79" i="154"/>
  <c r="N79" i="154" s="1"/>
  <c r="E75" i="154"/>
  <c r="N75" i="154" s="1"/>
  <c r="E84" i="154"/>
  <c r="N84" i="154" s="1"/>
  <c r="L74" i="152"/>
  <c r="L85" i="152"/>
  <c r="L84" i="152"/>
  <c r="O84" i="152" s="1"/>
  <c r="L83" i="152"/>
  <c r="O83" i="152" s="1"/>
  <c r="L79" i="152"/>
  <c r="L76" i="152"/>
  <c r="L82" i="152"/>
  <c r="L75" i="152"/>
  <c r="L80" i="152"/>
  <c r="O80" i="152" s="1"/>
  <c r="L78" i="152"/>
  <c r="L81" i="152"/>
  <c r="L77" i="152"/>
  <c r="E95" i="152"/>
  <c r="K95" i="152" s="1"/>
  <c r="E92" i="152"/>
  <c r="K92" i="152" s="1"/>
  <c r="E96" i="152"/>
  <c r="K96" i="152" s="1"/>
  <c r="G8" i="74"/>
  <c r="G8" i="25"/>
  <c r="BF10" i="17"/>
  <c r="BE11" i="17"/>
  <c r="M69" i="36"/>
  <c r="F81" i="36"/>
  <c r="M70" i="36"/>
  <c r="F82" i="36"/>
  <c r="F76" i="36"/>
  <c r="M64" i="36"/>
  <c r="L63" i="36"/>
  <c r="E75" i="36"/>
  <c r="F78" i="36"/>
  <c r="M66" i="36"/>
  <c r="L71" i="36"/>
  <c r="E83" i="36"/>
  <c r="M68" i="36"/>
  <c r="F80" i="36"/>
  <c r="F83" i="36"/>
  <c r="M71" i="36"/>
  <c r="L69" i="36"/>
  <c r="E81" i="36"/>
  <c r="F77" i="36"/>
  <c r="M65" i="36"/>
  <c r="E84" i="36"/>
  <c r="L72" i="36"/>
  <c r="E78" i="36"/>
  <c r="L66" i="36"/>
  <c r="L65" i="36"/>
  <c r="E77" i="36"/>
  <c r="E80" i="36"/>
  <c r="L68" i="36"/>
  <c r="E79" i="36"/>
  <c r="L67" i="36"/>
  <c r="M73" i="36"/>
  <c r="F85" i="36"/>
  <c r="F75" i="36"/>
  <c r="M63" i="36"/>
  <c r="E76" i="36"/>
  <c r="L64" i="36"/>
  <c r="E85" i="36"/>
  <c r="L73" i="36"/>
  <c r="F84" i="36"/>
  <c r="M72" i="36"/>
  <c r="F79" i="36"/>
  <c r="M67" i="36"/>
  <c r="L70" i="36"/>
  <c r="E82" i="36"/>
  <c r="CC85" i="67"/>
  <c r="I85" i="156" s="1"/>
  <c r="N84" i="36"/>
  <c r="N84" i="32"/>
  <c r="Q84" i="32" s="1"/>
  <c r="N25" i="76"/>
  <c r="N21" i="77"/>
  <c r="N24" i="77"/>
  <c r="O21" i="77"/>
  <c r="O24" i="77"/>
  <c r="N25" i="77"/>
  <c r="O25" i="76"/>
  <c r="N23" i="77"/>
  <c r="N24" i="76"/>
  <c r="O22" i="77"/>
  <c r="O22" i="76"/>
  <c r="O24" i="76"/>
  <c r="O23" i="76"/>
  <c r="N23" i="76"/>
  <c r="O23" i="77"/>
  <c r="N22" i="77"/>
  <c r="O25" i="77"/>
  <c r="N22" i="76"/>
  <c r="BQ6" i="17"/>
  <c r="BR6" i="17" s="1"/>
  <c r="D10" i="74" s="1"/>
  <c r="O74" i="152" l="1"/>
  <c r="E110" i="155"/>
  <c r="L98" i="155"/>
  <c r="Y21" i="57"/>
  <c r="F29" i="74"/>
  <c r="BC9" i="17"/>
  <c r="T22" i="57"/>
  <c r="U22" i="57" s="1"/>
  <c r="BC51" i="17"/>
  <c r="G7" i="74"/>
  <c r="AY52" i="17"/>
  <c r="BA52" i="17" s="1"/>
  <c r="F94" i="154"/>
  <c r="O94" i="154" s="1"/>
  <c r="F90" i="154"/>
  <c r="O90" i="154" s="1"/>
  <c r="U78" i="154"/>
  <c r="U76" i="154"/>
  <c r="U82" i="154"/>
  <c r="AP52" i="17"/>
  <c r="AY10" i="17"/>
  <c r="BA10" i="17" s="1"/>
  <c r="U84" i="154"/>
  <c r="U75" i="154"/>
  <c r="F88" i="154"/>
  <c r="O88" i="154" s="1"/>
  <c r="F96" i="154"/>
  <c r="O96" i="154" s="1"/>
  <c r="E106" i="156"/>
  <c r="P94" i="156"/>
  <c r="F105" i="156"/>
  <c r="Q93" i="156"/>
  <c r="F101" i="156"/>
  <c r="Q89" i="156"/>
  <c r="E99" i="156"/>
  <c r="P87" i="156"/>
  <c r="F102" i="156"/>
  <c r="Q90" i="156"/>
  <c r="E108" i="156"/>
  <c r="P96" i="156"/>
  <c r="E101" i="156"/>
  <c r="P89" i="156"/>
  <c r="F87" i="156"/>
  <c r="Q75" i="156"/>
  <c r="F109" i="156"/>
  <c r="Q97" i="156"/>
  <c r="F88" i="156"/>
  <c r="Q76" i="156"/>
  <c r="F108" i="156"/>
  <c r="Q96" i="156"/>
  <c r="E107" i="156"/>
  <c r="P95" i="156"/>
  <c r="E109" i="156"/>
  <c r="P97" i="156"/>
  <c r="F106" i="156"/>
  <c r="Q94" i="156"/>
  <c r="E104" i="156"/>
  <c r="P92" i="156"/>
  <c r="F86" i="156"/>
  <c r="Q74" i="156"/>
  <c r="E100" i="156"/>
  <c r="P88" i="156"/>
  <c r="E103" i="156"/>
  <c r="P91" i="156"/>
  <c r="E105" i="156"/>
  <c r="P93" i="156"/>
  <c r="E102" i="156"/>
  <c r="P90" i="156"/>
  <c r="E98" i="156"/>
  <c r="P86" i="156"/>
  <c r="F103" i="156"/>
  <c r="Q91" i="156"/>
  <c r="F87" i="154"/>
  <c r="O87" i="154" s="1"/>
  <c r="F104" i="156"/>
  <c r="Q92" i="156"/>
  <c r="F107" i="156"/>
  <c r="Q95" i="156"/>
  <c r="O76" i="152"/>
  <c r="O85" i="152"/>
  <c r="E97" i="152"/>
  <c r="K97" i="152" s="1"/>
  <c r="E118" i="155"/>
  <c r="L106" i="155"/>
  <c r="E111" i="155"/>
  <c r="L99" i="155"/>
  <c r="E112" i="155"/>
  <c r="L100" i="155"/>
  <c r="E116" i="155"/>
  <c r="L104" i="155"/>
  <c r="E120" i="155"/>
  <c r="L108" i="155"/>
  <c r="E113" i="155"/>
  <c r="L101" i="155"/>
  <c r="E115" i="155"/>
  <c r="L103" i="155"/>
  <c r="E88" i="152"/>
  <c r="K88" i="152" s="1"/>
  <c r="U79" i="154"/>
  <c r="F91" i="154"/>
  <c r="O91" i="154" s="1"/>
  <c r="E119" i="155"/>
  <c r="L107" i="155"/>
  <c r="E117" i="155"/>
  <c r="L105" i="155"/>
  <c r="E121" i="155"/>
  <c r="L109" i="155"/>
  <c r="E114" i="155"/>
  <c r="L102" i="155"/>
  <c r="E93" i="152"/>
  <c r="K93" i="152" s="1"/>
  <c r="O81" i="152"/>
  <c r="O77" i="152"/>
  <c r="E89" i="152"/>
  <c r="K89" i="152" s="1"/>
  <c r="E94" i="152"/>
  <c r="K94" i="152" s="1"/>
  <c r="Q67" i="36"/>
  <c r="O82" i="152"/>
  <c r="O78" i="152"/>
  <c r="O75" i="152"/>
  <c r="Q69" i="36"/>
  <c r="E90" i="152"/>
  <c r="K90" i="152" s="1"/>
  <c r="Q64" i="36"/>
  <c r="Q70" i="36"/>
  <c r="E91" i="152"/>
  <c r="K91" i="152" s="1"/>
  <c r="Q68" i="36"/>
  <c r="Q71" i="36"/>
  <c r="O79" i="152"/>
  <c r="Q65" i="36"/>
  <c r="E87" i="152"/>
  <c r="K87" i="152" s="1"/>
  <c r="Q63" i="36"/>
  <c r="Q66" i="36"/>
  <c r="Q73" i="36"/>
  <c r="Q72" i="36"/>
  <c r="G85" i="154"/>
  <c r="P85" i="154" s="1"/>
  <c r="U85" i="154" s="1"/>
  <c r="G85" i="153"/>
  <c r="P85" i="153" s="1"/>
  <c r="U85" i="153" s="1"/>
  <c r="K85" i="75"/>
  <c r="H85" i="28"/>
  <c r="N85" i="28" s="1"/>
  <c r="O85" i="28" s="1"/>
  <c r="H85" i="38"/>
  <c r="N85" i="38" s="1"/>
  <c r="N86" i="154"/>
  <c r="E98" i="154"/>
  <c r="K86" i="152"/>
  <c r="E98" i="152"/>
  <c r="E96" i="154"/>
  <c r="N96" i="154" s="1"/>
  <c r="E87" i="154"/>
  <c r="N87" i="154" s="1"/>
  <c r="E91" i="154"/>
  <c r="N91" i="154" s="1"/>
  <c r="E89" i="154"/>
  <c r="N89" i="154" s="1"/>
  <c r="E93" i="154"/>
  <c r="N93" i="154" s="1"/>
  <c r="E94" i="154"/>
  <c r="N94" i="154" s="1"/>
  <c r="E88" i="154"/>
  <c r="N88" i="154" s="1"/>
  <c r="E92" i="154"/>
  <c r="N92" i="154" s="1"/>
  <c r="E95" i="154"/>
  <c r="N95" i="154" s="1"/>
  <c r="E90" i="154"/>
  <c r="N90" i="154" s="1"/>
  <c r="E97" i="154"/>
  <c r="N97" i="154" s="1"/>
  <c r="F101" i="154"/>
  <c r="O101" i="154" s="1"/>
  <c r="F105" i="154"/>
  <c r="O105" i="154" s="1"/>
  <c r="F104" i="154"/>
  <c r="O104" i="154" s="1"/>
  <c r="F107" i="154"/>
  <c r="O107" i="154" s="1"/>
  <c r="F109" i="154"/>
  <c r="O109" i="154" s="1"/>
  <c r="F98" i="154"/>
  <c r="O98" i="154" s="1"/>
  <c r="E108" i="152"/>
  <c r="K108" i="152" s="1"/>
  <c r="E104" i="152"/>
  <c r="K104" i="152" s="1"/>
  <c r="E107" i="152"/>
  <c r="K107" i="152" s="1"/>
  <c r="L89" i="152"/>
  <c r="L93" i="152"/>
  <c r="L90" i="152"/>
  <c r="L92" i="152"/>
  <c r="O92" i="152" s="1"/>
  <c r="L87" i="152"/>
  <c r="L94" i="152"/>
  <c r="L88" i="152"/>
  <c r="L91" i="152"/>
  <c r="L95" i="152"/>
  <c r="O95" i="152" s="1"/>
  <c r="L96" i="152"/>
  <c r="O96" i="152" s="1"/>
  <c r="L97" i="152"/>
  <c r="L86" i="152"/>
  <c r="D10" i="25"/>
  <c r="H8" i="25"/>
  <c r="H8" i="74"/>
  <c r="BF11" i="17"/>
  <c r="BE12" i="17"/>
  <c r="M78" i="36"/>
  <c r="F90" i="36"/>
  <c r="E87" i="36"/>
  <c r="L75" i="36"/>
  <c r="F95" i="36"/>
  <c r="M83" i="36"/>
  <c r="F96" i="36"/>
  <c r="M84" i="36"/>
  <c r="L78" i="36"/>
  <c r="E90" i="36"/>
  <c r="F91" i="36"/>
  <c r="M79" i="36"/>
  <c r="F92" i="36"/>
  <c r="M80" i="36"/>
  <c r="F88" i="36"/>
  <c r="M76" i="36"/>
  <c r="M85" i="36"/>
  <c r="F97" i="36"/>
  <c r="E92" i="36"/>
  <c r="L80" i="36"/>
  <c r="F94" i="36"/>
  <c r="M82" i="36"/>
  <c r="E97" i="36"/>
  <c r="L85" i="36"/>
  <c r="L79" i="36"/>
  <c r="E91" i="36"/>
  <c r="L82" i="36"/>
  <c r="E94" i="36"/>
  <c r="E95" i="36"/>
  <c r="L83" i="36"/>
  <c r="E89" i="36"/>
  <c r="L77" i="36"/>
  <c r="E93" i="36"/>
  <c r="L81" i="36"/>
  <c r="M81" i="36"/>
  <c r="F93" i="36"/>
  <c r="E96" i="36"/>
  <c r="L84" i="36"/>
  <c r="E88" i="36"/>
  <c r="L76" i="36"/>
  <c r="M77" i="36"/>
  <c r="F89" i="36"/>
  <c r="F87" i="36"/>
  <c r="M75" i="36"/>
  <c r="CC86" i="67"/>
  <c r="I86" i="156" s="1"/>
  <c r="N85" i="36"/>
  <c r="N85" i="32"/>
  <c r="Q85" i="32" s="1"/>
  <c r="E34" i="76"/>
  <c r="N34" i="76" s="1"/>
  <c r="F36" i="76"/>
  <c r="O36" i="76" s="1"/>
  <c r="E34" i="77"/>
  <c r="N34" i="77" s="1"/>
  <c r="F37" i="76"/>
  <c r="O37" i="76" s="1"/>
  <c r="F33" i="77"/>
  <c r="O33" i="77" s="1"/>
  <c r="F36" i="77"/>
  <c r="O36" i="77" s="1"/>
  <c r="E36" i="76"/>
  <c r="N36" i="76" s="1"/>
  <c r="E37" i="76"/>
  <c r="N37" i="76" s="1"/>
  <c r="E37" i="77"/>
  <c r="N37" i="77" s="1"/>
  <c r="F37" i="77"/>
  <c r="O37" i="77" s="1"/>
  <c r="F35" i="77"/>
  <c r="O35" i="77" s="1"/>
  <c r="E35" i="76"/>
  <c r="N35" i="76" s="1"/>
  <c r="F34" i="76"/>
  <c r="O34" i="76" s="1"/>
  <c r="F34" i="77"/>
  <c r="O34" i="77" s="1"/>
  <c r="E36" i="77"/>
  <c r="N36" i="77" s="1"/>
  <c r="E35" i="77"/>
  <c r="N35" i="77" s="1"/>
  <c r="F35" i="76"/>
  <c r="O35" i="76" s="1"/>
  <c r="E33" i="77"/>
  <c r="N33" i="77" s="1"/>
  <c r="BQ7" i="17"/>
  <c r="BR7" i="17" s="1"/>
  <c r="E10" i="74" s="1"/>
  <c r="B6" i="24"/>
  <c r="D6" i="24" s="1"/>
  <c r="E122" i="155" l="1"/>
  <c r="L110" i="155"/>
  <c r="Y22" i="57"/>
  <c r="G29" i="74"/>
  <c r="BC10" i="17"/>
  <c r="T23" i="57"/>
  <c r="U23" i="57" s="1"/>
  <c r="AR52" i="17"/>
  <c r="H6" i="74"/>
  <c r="BC52" i="17"/>
  <c r="H7" i="74"/>
  <c r="F102" i="154"/>
  <c r="O102" i="154" s="1"/>
  <c r="F106" i="154"/>
  <c r="O106" i="154" s="1"/>
  <c r="O97" i="152"/>
  <c r="F100" i="154"/>
  <c r="O100" i="154" s="1"/>
  <c r="F99" i="154"/>
  <c r="O99" i="154" s="1"/>
  <c r="F108" i="154"/>
  <c r="O108" i="154" s="1"/>
  <c r="E113" i="156"/>
  <c r="P101" i="156"/>
  <c r="E110" i="156"/>
  <c r="P98" i="156"/>
  <c r="F118" i="156"/>
  <c r="Q106" i="156"/>
  <c r="E120" i="156"/>
  <c r="P108" i="156"/>
  <c r="E114" i="156"/>
  <c r="P102" i="156"/>
  <c r="E121" i="156"/>
  <c r="P109" i="156"/>
  <c r="E117" i="156"/>
  <c r="P105" i="156"/>
  <c r="F114" i="156"/>
  <c r="Q102" i="156"/>
  <c r="E119" i="156"/>
  <c r="P107" i="156"/>
  <c r="E115" i="156"/>
  <c r="P103" i="156"/>
  <c r="E111" i="156"/>
  <c r="P99" i="156"/>
  <c r="F120" i="156"/>
  <c r="Q108" i="156"/>
  <c r="F119" i="156"/>
  <c r="Q107" i="156"/>
  <c r="E112" i="156"/>
  <c r="P100" i="156"/>
  <c r="F100" i="156"/>
  <c r="Q88" i="156"/>
  <c r="F116" i="156"/>
  <c r="Q104" i="156"/>
  <c r="F98" i="156"/>
  <c r="Q86" i="156"/>
  <c r="F113" i="156"/>
  <c r="Q101" i="156"/>
  <c r="F121" i="156"/>
  <c r="Q109" i="156"/>
  <c r="F117" i="156"/>
  <c r="Q105" i="156"/>
  <c r="F99" i="156"/>
  <c r="Q87" i="156"/>
  <c r="F115" i="156"/>
  <c r="Q103" i="156"/>
  <c r="E116" i="156"/>
  <c r="P104" i="156"/>
  <c r="E118" i="156"/>
  <c r="P106" i="156"/>
  <c r="E109" i="152"/>
  <c r="K109" i="152" s="1"/>
  <c r="O88" i="152"/>
  <c r="O93" i="152"/>
  <c r="F103" i="154"/>
  <c r="O103" i="154" s="1"/>
  <c r="E100" i="152"/>
  <c r="K100" i="152" s="1"/>
  <c r="E127" i="155"/>
  <c r="L115" i="155"/>
  <c r="E125" i="155"/>
  <c r="L113" i="155"/>
  <c r="E132" i="155"/>
  <c r="L120" i="155"/>
  <c r="E126" i="155"/>
  <c r="L114" i="155"/>
  <c r="AY11" i="17"/>
  <c r="E128" i="155"/>
  <c r="L116" i="155"/>
  <c r="E133" i="155"/>
  <c r="L121" i="155"/>
  <c r="E124" i="155"/>
  <c r="L112" i="155"/>
  <c r="E129" i="155"/>
  <c r="L117" i="155"/>
  <c r="E123" i="155"/>
  <c r="L111" i="155"/>
  <c r="E131" i="155"/>
  <c r="L119" i="155"/>
  <c r="E130" i="155"/>
  <c r="L118" i="155"/>
  <c r="O90" i="152"/>
  <c r="Q82" i="36"/>
  <c r="O94" i="152"/>
  <c r="O89" i="152"/>
  <c r="E105" i="152"/>
  <c r="K105" i="152" s="1"/>
  <c r="E106" i="152"/>
  <c r="K106" i="152" s="1"/>
  <c r="E101" i="152"/>
  <c r="K101" i="152" s="1"/>
  <c r="E102" i="152"/>
  <c r="K102" i="152" s="1"/>
  <c r="Q83" i="36"/>
  <c r="O91" i="152"/>
  <c r="E103" i="152"/>
  <c r="K103" i="152" s="1"/>
  <c r="O86" i="152"/>
  <c r="O87" i="152"/>
  <c r="Q77" i="36"/>
  <c r="Q80" i="36"/>
  <c r="Q75" i="36"/>
  <c r="Q81" i="36"/>
  <c r="Q79" i="36"/>
  <c r="Q78" i="36"/>
  <c r="Q85" i="36"/>
  <c r="Q84" i="36"/>
  <c r="Q76" i="36"/>
  <c r="E99" i="152"/>
  <c r="K99" i="152" s="1"/>
  <c r="G86" i="154"/>
  <c r="P86" i="154" s="1"/>
  <c r="U86" i="154" s="1"/>
  <c r="G86" i="153"/>
  <c r="P86" i="153" s="1"/>
  <c r="U86" i="153" s="1"/>
  <c r="K86" i="75"/>
  <c r="H86" i="28"/>
  <c r="N86" i="28" s="1"/>
  <c r="O86" i="28" s="1"/>
  <c r="H86" i="38"/>
  <c r="N86" i="38" s="1"/>
  <c r="N98" i="154"/>
  <c r="E110" i="154"/>
  <c r="K98" i="152"/>
  <c r="E110" i="152"/>
  <c r="F110" i="154"/>
  <c r="O110" i="154" s="1"/>
  <c r="F121" i="154"/>
  <c r="O121" i="154" s="1"/>
  <c r="F119" i="154"/>
  <c r="O119" i="154" s="1"/>
  <c r="F116" i="154"/>
  <c r="O116" i="154" s="1"/>
  <c r="F117" i="154"/>
  <c r="O117" i="154" s="1"/>
  <c r="F113" i="154"/>
  <c r="O113" i="154" s="1"/>
  <c r="E109" i="154"/>
  <c r="N109" i="154" s="1"/>
  <c r="E102" i="154"/>
  <c r="N102" i="154" s="1"/>
  <c r="E107" i="154"/>
  <c r="N107" i="154" s="1"/>
  <c r="E104" i="154"/>
  <c r="N104" i="154" s="1"/>
  <c r="E100" i="154"/>
  <c r="N100" i="154" s="1"/>
  <c r="E106" i="154"/>
  <c r="N106" i="154" s="1"/>
  <c r="E105" i="154"/>
  <c r="N105" i="154" s="1"/>
  <c r="E101" i="154"/>
  <c r="N101" i="154" s="1"/>
  <c r="E103" i="154"/>
  <c r="N103" i="154" s="1"/>
  <c r="E99" i="154"/>
  <c r="N99" i="154" s="1"/>
  <c r="E108" i="154"/>
  <c r="N108" i="154" s="1"/>
  <c r="L98" i="152"/>
  <c r="L109" i="152"/>
  <c r="L108" i="152"/>
  <c r="O108" i="152" s="1"/>
  <c r="L107" i="152"/>
  <c r="O107" i="152" s="1"/>
  <c r="L103" i="152"/>
  <c r="L100" i="152"/>
  <c r="L106" i="152"/>
  <c r="L99" i="152"/>
  <c r="L104" i="152"/>
  <c r="O104" i="152" s="1"/>
  <c r="L102" i="152"/>
  <c r="L105" i="152"/>
  <c r="L101" i="152"/>
  <c r="E119" i="152"/>
  <c r="K119" i="152" s="1"/>
  <c r="E116" i="152"/>
  <c r="K116" i="152" s="1"/>
  <c r="E120" i="152"/>
  <c r="K120" i="152" s="1"/>
  <c r="I8" i="74"/>
  <c r="I8" i="25"/>
  <c r="S9" i="25" s="1"/>
  <c r="E10" i="25"/>
  <c r="BF12" i="17"/>
  <c r="BE13" i="17"/>
  <c r="BE14" i="17" s="1"/>
  <c r="BF14" i="17" s="1"/>
  <c r="F100" i="36"/>
  <c r="M88" i="36"/>
  <c r="M89" i="36"/>
  <c r="F101" i="36"/>
  <c r="E108" i="36"/>
  <c r="L96" i="36"/>
  <c r="L90" i="36"/>
  <c r="E102" i="36"/>
  <c r="F99" i="36"/>
  <c r="M87" i="36"/>
  <c r="E103" i="36"/>
  <c r="L91" i="36"/>
  <c r="F108" i="36"/>
  <c r="M96" i="36"/>
  <c r="L87" i="36"/>
  <c r="E99" i="36"/>
  <c r="L95" i="36"/>
  <c r="E107" i="36"/>
  <c r="L94" i="36"/>
  <c r="E106" i="36"/>
  <c r="M91" i="36"/>
  <c r="F103" i="36"/>
  <c r="E109" i="36"/>
  <c r="L97" i="36"/>
  <c r="M94" i="36"/>
  <c r="F106" i="36"/>
  <c r="M93" i="36"/>
  <c r="F105" i="36"/>
  <c r="F109" i="36"/>
  <c r="M97" i="36"/>
  <c r="M90" i="36"/>
  <c r="F102" i="36"/>
  <c r="E101" i="36"/>
  <c r="L89" i="36"/>
  <c r="F104" i="36"/>
  <c r="M92" i="36"/>
  <c r="E100" i="36"/>
  <c r="L88" i="36"/>
  <c r="F107" i="36"/>
  <c r="M95" i="36"/>
  <c r="E104" i="36"/>
  <c r="L92" i="36"/>
  <c r="E105" i="36"/>
  <c r="L93" i="36"/>
  <c r="CC87" i="67"/>
  <c r="I87" i="156" s="1"/>
  <c r="N86" i="36"/>
  <c r="N86" i="32"/>
  <c r="Q86" i="32" s="1"/>
  <c r="F48" i="76"/>
  <c r="O48" i="76" s="1"/>
  <c r="F45" i="77"/>
  <c r="O45" i="77" s="1"/>
  <c r="E47" i="77"/>
  <c r="N47" i="77" s="1"/>
  <c r="F49" i="76"/>
  <c r="O49" i="76" s="1"/>
  <c r="E48" i="77"/>
  <c r="N48" i="77" s="1"/>
  <c r="F48" i="77"/>
  <c r="O48" i="77" s="1"/>
  <c r="E46" i="77"/>
  <c r="N46" i="77" s="1"/>
  <c r="F46" i="77"/>
  <c r="O46" i="77" s="1"/>
  <c r="E49" i="76"/>
  <c r="N49" i="76" s="1"/>
  <c r="F47" i="77"/>
  <c r="O47" i="77" s="1"/>
  <c r="F49" i="77"/>
  <c r="O49" i="77" s="1"/>
  <c r="F46" i="76"/>
  <c r="O46" i="76" s="1"/>
  <c r="E48" i="76"/>
  <c r="N48" i="76" s="1"/>
  <c r="E49" i="77"/>
  <c r="N49" i="77" s="1"/>
  <c r="F47" i="76"/>
  <c r="O47" i="76" s="1"/>
  <c r="E46" i="76"/>
  <c r="N46" i="76" s="1"/>
  <c r="E45" i="77"/>
  <c r="N45" i="77" s="1"/>
  <c r="E47" i="76"/>
  <c r="N47" i="76" s="1"/>
  <c r="BQ8" i="17"/>
  <c r="B7" i="24"/>
  <c r="D7" i="24" s="1"/>
  <c r="E134" i="155" l="1"/>
  <c r="L134" i="155" s="1"/>
  <c r="L122" i="155"/>
  <c r="F114" i="154"/>
  <c r="O114" i="154" s="1"/>
  <c r="Y23" i="57"/>
  <c r="H29" i="74"/>
  <c r="F118" i="154"/>
  <c r="O118" i="154" s="1"/>
  <c r="F120" i="154"/>
  <c r="O120" i="154" s="1"/>
  <c r="F112" i="154"/>
  <c r="O112" i="154" s="1"/>
  <c r="F111" i="154"/>
  <c r="O111" i="154" s="1"/>
  <c r="F127" i="156"/>
  <c r="Q115" i="156"/>
  <c r="F112" i="156"/>
  <c r="Q100" i="156"/>
  <c r="F126" i="156"/>
  <c r="Q114" i="156"/>
  <c r="E124" i="156"/>
  <c r="P112" i="156"/>
  <c r="E129" i="156"/>
  <c r="P117" i="156"/>
  <c r="F111" i="156"/>
  <c r="Q99" i="156"/>
  <c r="E133" i="156"/>
  <c r="P121" i="156"/>
  <c r="F131" i="156"/>
  <c r="Q119" i="156"/>
  <c r="O109" i="152"/>
  <c r="E126" i="156"/>
  <c r="P114" i="156"/>
  <c r="F133" i="156"/>
  <c r="Q121" i="156"/>
  <c r="E132" i="156"/>
  <c r="P120" i="156"/>
  <c r="E123" i="156"/>
  <c r="P111" i="156"/>
  <c r="E121" i="152"/>
  <c r="K121" i="152" s="1"/>
  <c r="F125" i="156"/>
  <c r="Q113" i="156"/>
  <c r="F130" i="156"/>
  <c r="Q118" i="156"/>
  <c r="E130" i="156"/>
  <c r="P118" i="156"/>
  <c r="E127" i="156"/>
  <c r="P115" i="156"/>
  <c r="F110" i="156"/>
  <c r="Q98" i="156"/>
  <c r="E122" i="156"/>
  <c r="P110" i="156"/>
  <c r="F132" i="156"/>
  <c r="Q120" i="156"/>
  <c r="F129" i="156"/>
  <c r="Q117" i="156"/>
  <c r="E128" i="156"/>
  <c r="P116" i="156"/>
  <c r="F128" i="156"/>
  <c r="Q116" i="156"/>
  <c r="E131" i="156"/>
  <c r="P119" i="156"/>
  <c r="E125" i="156"/>
  <c r="P113" i="156"/>
  <c r="O100" i="152"/>
  <c r="E112" i="152"/>
  <c r="K112" i="152" s="1"/>
  <c r="F115" i="154"/>
  <c r="O115" i="154" s="1"/>
  <c r="E141" i="155"/>
  <c r="L141" i="155" s="1"/>
  <c r="L129" i="155"/>
  <c r="E136" i="155"/>
  <c r="L136" i="155" s="1"/>
  <c r="L124" i="155"/>
  <c r="E145" i="155"/>
  <c r="L145" i="155" s="1"/>
  <c r="L133" i="155"/>
  <c r="E140" i="155"/>
  <c r="L140" i="155" s="1"/>
  <c r="L128" i="155"/>
  <c r="E138" i="155"/>
  <c r="L138" i="155" s="1"/>
  <c r="L126" i="155"/>
  <c r="E142" i="155"/>
  <c r="L142" i="155" s="1"/>
  <c r="L130" i="155"/>
  <c r="E144" i="155"/>
  <c r="L144" i="155" s="1"/>
  <c r="L132" i="155"/>
  <c r="E143" i="155"/>
  <c r="L143" i="155" s="1"/>
  <c r="L131" i="155"/>
  <c r="E137" i="155"/>
  <c r="L137" i="155" s="1"/>
  <c r="L125" i="155"/>
  <c r="E135" i="155"/>
  <c r="L135" i="155" s="1"/>
  <c r="L123" i="155"/>
  <c r="E139" i="155"/>
  <c r="L139" i="155" s="1"/>
  <c r="L127" i="155"/>
  <c r="O106" i="152"/>
  <c r="O105" i="152"/>
  <c r="E117" i="152"/>
  <c r="K117" i="152" s="1"/>
  <c r="E118" i="152"/>
  <c r="K118" i="152" s="1"/>
  <c r="E113" i="152"/>
  <c r="K113" i="152" s="1"/>
  <c r="O101" i="152"/>
  <c r="E114" i="152"/>
  <c r="K114" i="152" s="1"/>
  <c r="O102" i="152"/>
  <c r="E115" i="152"/>
  <c r="K115" i="152" s="1"/>
  <c r="O115" i="152" s="1"/>
  <c r="O103" i="152"/>
  <c r="E111" i="152"/>
  <c r="K111" i="152" s="1"/>
  <c r="O99" i="152"/>
  <c r="G87" i="153"/>
  <c r="P87" i="153" s="1"/>
  <c r="U87" i="153" s="1"/>
  <c r="G87" i="154"/>
  <c r="P87" i="154" s="1"/>
  <c r="U87" i="154" s="1"/>
  <c r="H87" i="38"/>
  <c r="N87" i="38" s="1"/>
  <c r="H87" i="28"/>
  <c r="N87" i="28" s="1"/>
  <c r="O87" i="28" s="1"/>
  <c r="K87" i="75"/>
  <c r="O98" i="152"/>
  <c r="N110" i="154"/>
  <c r="E122" i="154"/>
  <c r="K110" i="152"/>
  <c r="E122" i="152"/>
  <c r="E120" i="154"/>
  <c r="N120" i="154" s="1"/>
  <c r="E111" i="154"/>
  <c r="N111" i="154" s="1"/>
  <c r="E115" i="154"/>
  <c r="N115" i="154" s="1"/>
  <c r="E113" i="154"/>
  <c r="N113" i="154" s="1"/>
  <c r="E117" i="154"/>
  <c r="N117" i="154" s="1"/>
  <c r="E118" i="154"/>
  <c r="N118" i="154" s="1"/>
  <c r="E112" i="154"/>
  <c r="N112" i="154" s="1"/>
  <c r="E116" i="154"/>
  <c r="N116" i="154" s="1"/>
  <c r="E119" i="154"/>
  <c r="N119" i="154" s="1"/>
  <c r="E114" i="154"/>
  <c r="N114" i="154" s="1"/>
  <c r="E121" i="154"/>
  <c r="N121" i="154" s="1"/>
  <c r="F125" i="154"/>
  <c r="O125" i="154" s="1"/>
  <c r="F129" i="154"/>
  <c r="O129" i="154" s="1"/>
  <c r="F128" i="154"/>
  <c r="O128" i="154" s="1"/>
  <c r="F131" i="154"/>
  <c r="O131" i="154" s="1"/>
  <c r="F133" i="154"/>
  <c r="O133" i="154" s="1"/>
  <c r="F122" i="154"/>
  <c r="O122" i="154" s="1"/>
  <c r="E132" i="152"/>
  <c r="K132" i="152" s="1"/>
  <c r="E128" i="152"/>
  <c r="K128" i="152" s="1"/>
  <c r="E131" i="152"/>
  <c r="K131" i="152" s="1"/>
  <c r="L113" i="152"/>
  <c r="L117" i="152"/>
  <c r="L114" i="152"/>
  <c r="L116" i="152"/>
  <c r="O116" i="152" s="1"/>
  <c r="L111" i="152"/>
  <c r="L118" i="152"/>
  <c r="L112" i="152"/>
  <c r="L115" i="152"/>
  <c r="L119" i="152"/>
  <c r="O119" i="152" s="1"/>
  <c r="L120" i="152"/>
  <c r="O120" i="152" s="1"/>
  <c r="L121" i="152"/>
  <c r="L110" i="152"/>
  <c r="L8" i="74"/>
  <c r="L8" i="25"/>
  <c r="J8" i="74"/>
  <c r="J8" i="25"/>
  <c r="T9" i="25" s="1"/>
  <c r="BQ9" i="17"/>
  <c r="BR8" i="17"/>
  <c r="F10" i="74" s="1"/>
  <c r="BF13" i="17"/>
  <c r="F114" i="36"/>
  <c r="M102" i="36"/>
  <c r="L99" i="36"/>
  <c r="E111" i="36"/>
  <c r="F121" i="36"/>
  <c r="M109" i="36"/>
  <c r="F117" i="36"/>
  <c r="M105" i="36"/>
  <c r="E115" i="36"/>
  <c r="L103" i="36"/>
  <c r="L109" i="36"/>
  <c r="E121" i="36"/>
  <c r="E118" i="36"/>
  <c r="L106" i="36"/>
  <c r="E117" i="36"/>
  <c r="L105" i="36"/>
  <c r="E116" i="36"/>
  <c r="L104" i="36"/>
  <c r="F120" i="36"/>
  <c r="M108" i="36"/>
  <c r="F113" i="36"/>
  <c r="M101" i="36"/>
  <c r="F116" i="36"/>
  <c r="M104" i="36"/>
  <c r="E119" i="36"/>
  <c r="L107" i="36"/>
  <c r="F118" i="36"/>
  <c r="M106" i="36"/>
  <c r="F111" i="36"/>
  <c r="M99" i="36"/>
  <c r="E114" i="36"/>
  <c r="L102" i="36"/>
  <c r="F119" i="36"/>
  <c r="M107" i="36"/>
  <c r="F115" i="36"/>
  <c r="M103" i="36"/>
  <c r="L100" i="36"/>
  <c r="E112" i="36"/>
  <c r="E120" i="36"/>
  <c r="L108" i="36"/>
  <c r="E113" i="36"/>
  <c r="L101" i="36"/>
  <c r="F112" i="36"/>
  <c r="M100" i="36"/>
  <c r="CC88" i="67"/>
  <c r="I88" i="156" s="1"/>
  <c r="N87" i="36"/>
  <c r="Q87" i="36" s="1"/>
  <c r="N87" i="32"/>
  <c r="Q87" i="32" s="1"/>
  <c r="E58" i="76"/>
  <c r="N58" i="76" s="1"/>
  <c r="F59" i="77"/>
  <c r="O59" i="77" s="1"/>
  <c r="E60" i="76"/>
  <c r="N60" i="76" s="1"/>
  <c r="E61" i="76"/>
  <c r="N61" i="76" s="1"/>
  <c r="F58" i="76"/>
  <c r="O58" i="76" s="1"/>
  <c r="E58" i="77"/>
  <c r="N58" i="77" s="1"/>
  <c r="F57" i="77"/>
  <c r="O57" i="77" s="1"/>
  <c r="F60" i="77"/>
  <c r="O60" i="77" s="1"/>
  <c r="E59" i="77"/>
  <c r="N59" i="77" s="1"/>
  <c r="E61" i="77"/>
  <c r="N61" i="77" s="1"/>
  <c r="F60" i="76"/>
  <c r="O60" i="76" s="1"/>
  <c r="E59" i="76"/>
  <c r="N59" i="76" s="1"/>
  <c r="E57" i="77"/>
  <c r="N57" i="77" s="1"/>
  <c r="E60" i="77"/>
  <c r="N60" i="77" s="1"/>
  <c r="F61" i="76"/>
  <c r="O61" i="76" s="1"/>
  <c r="F61" i="77"/>
  <c r="O61" i="77" s="1"/>
  <c r="F58" i="77"/>
  <c r="O58" i="77" s="1"/>
  <c r="F59" i="76"/>
  <c r="O59" i="76" s="1"/>
  <c r="B8" i="24"/>
  <c r="D8" i="24" s="1"/>
  <c r="F126" i="154" l="1"/>
  <c r="O126" i="154" s="1"/>
  <c r="F130" i="154"/>
  <c r="O130" i="154" s="1"/>
  <c r="F132" i="154"/>
  <c r="O132" i="154" s="1"/>
  <c r="V9" i="25"/>
  <c r="F124" i="154"/>
  <c r="O124" i="154" s="1"/>
  <c r="F123" i="154"/>
  <c r="O123" i="154" s="1"/>
  <c r="O121" i="152"/>
  <c r="E124" i="152"/>
  <c r="K124" i="152" s="1"/>
  <c r="O112" i="152"/>
  <c r="F144" i="156"/>
  <c r="Q144" i="156" s="1"/>
  <c r="Q132" i="156"/>
  <c r="E135" i="156"/>
  <c r="P135" i="156" s="1"/>
  <c r="P123" i="156"/>
  <c r="E141" i="156"/>
  <c r="P141" i="156" s="1"/>
  <c r="P129" i="156"/>
  <c r="E144" i="156"/>
  <c r="P144" i="156" s="1"/>
  <c r="P132" i="156"/>
  <c r="E136" i="156"/>
  <c r="P136" i="156" s="1"/>
  <c r="P124" i="156"/>
  <c r="E137" i="156"/>
  <c r="P137" i="156" s="1"/>
  <c r="P125" i="156"/>
  <c r="F145" i="156"/>
  <c r="Q145" i="156" s="1"/>
  <c r="Q133" i="156"/>
  <c r="F127" i="154"/>
  <c r="O127" i="154" s="1"/>
  <c r="F138" i="156"/>
  <c r="Q138" i="156" s="1"/>
  <c r="Q126" i="156"/>
  <c r="E143" i="156"/>
  <c r="P143" i="156" s="1"/>
  <c r="P131" i="156"/>
  <c r="E139" i="156"/>
  <c r="P139" i="156" s="1"/>
  <c r="P127" i="156"/>
  <c r="F140" i="156"/>
  <c r="Q140" i="156" s="1"/>
  <c r="Q128" i="156"/>
  <c r="E142" i="156"/>
  <c r="P142" i="156" s="1"/>
  <c r="P130" i="156"/>
  <c r="F143" i="156"/>
  <c r="Q143" i="156" s="1"/>
  <c r="Q131" i="156"/>
  <c r="F139" i="156"/>
  <c r="Q139" i="156" s="1"/>
  <c r="Q127" i="156"/>
  <c r="E138" i="156"/>
  <c r="P138" i="156" s="1"/>
  <c r="P126" i="156"/>
  <c r="E140" i="156"/>
  <c r="P140" i="156" s="1"/>
  <c r="P128" i="156"/>
  <c r="F142" i="156"/>
  <c r="Q142" i="156" s="1"/>
  <c r="Q130" i="156"/>
  <c r="E145" i="156"/>
  <c r="P145" i="156" s="1"/>
  <c r="P133" i="156"/>
  <c r="F141" i="156"/>
  <c r="Q141" i="156" s="1"/>
  <c r="Q129" i="156"/>
  <c r="F137" i="156"/>
  <c r="Q137" i="156" s="1"/>
  <c r="Q125" i="156"/>
  <c r="E134" i="156"/>
  <c r="P134" i="156" s="1"/>
  <c r="P122" i="156"/>
  <c r="E133" i="152"/>
  <c r="K133" i="152" s="1"/>
  <c r="F123" i="156"/>
  <c r="Q111" i="156"/>
  <c r="F122" i="156"/>
  <c r="Q110" i="156"/>
  <c r="F124" i="156"/>
  <c r="Q112" i="156"/>
  <c r="O118" i="152"/>
  <c r="O117" i="152"/>
  <c r="E129" i="152"/>
  <c r="K129" i="152" s="1"/>
  <c r="E130" i="152"/>
  <c r="K130" i="152" s="1"/>
  <c r="O113" i="152"/>
  <c r="E125" i="152"/>
  <c r="K125" i="152" s="1"/>
  <c r="O114" i="152"/>
  <c r="E126" i="152"/>
  <c r="K126" i="152" s="1"/>
  <c r="E127" i="152"/>
  <c r="K127" i="152" s="1"/>
  <c r="P136" i="155"/>
  <c r="P124" i="155"/>
  <c r="P142" i="155"/>
  <c r="P130" i="155"/>
  <c r="P128" i="155"/>
  <c r="P140" i="155"/>
  <c r="P132" i="155"/>
  <c r="P144" i="155"/>
  <c r="P137" i="155"/>
  <c r="P125" i="155"/>
  <c r="P138" i="155"/>
  <c r="P126" i="155"/>
  <c r="P141" i="155"/>
  <c r="P129" i="155"/>
  <c r="P145" i="155"/>
  <c r="P133" i="155"/>
  <c r="P131" i="155"/>
  <c r="P143" i="155"/>
  <c r="P123" i="155"/>
  <c r="P135" i="155"/>
  <c r="P127" i="155"/>
  <c r="P139" i="155"/>
  <c r="O111" i="152"/>
  <c r="E123" i="152"/>
  <c r="K123" i="152" s="1"/>
  <c r="G88" i="154"/>
  <c r="P88" i="154" s="1"/>
  <c r="U88" i="154" s="1"/>
  <c r="H88" i="38"/>
  <c r="N88" i="38" s="1"/>
  <c r="G88" i="153"/>
  <c r="P88" i="153" s="1"/>
  <c r="U88" i="153" s="1"/>
  <c r="K88" i="75"/>
  <c r="H88" i="28"/>
  <c r="N88" i="28" s="1"/>
  <c r="O88" i="28" s="1"/>
  <c r="O110" i="152"/>
  <c r="N122" i="154"/>
  <c r="E134" i="154"/>
  <c r="N134" i="154" s="1"/>
  <c r="K122" i="152"/>
  <c r="E134" i="152"/>
  <c r="K134" i="152" s="1"/>
  <c r="F134" i="154"/>
  <c r="F145" i="154"/>
  <c r="O145" i="154" s="1"/>
  <c r="F143" i="154"/>
  <c r="O143" i="154" s="1"/>
  <c r="F140" i="154"/>
  <c r="O140" i="154" s="1"/>
  <c r="F138" i="154"/>
  <c r="O138" i="154" s="1"/>
  <c r="F141" i="154"/>
  <c r="O141" i="154" s="1"/>
  <c r="F137" i="154"/>
  <c r="O137" i="154" s="1"/>
  <c r="E133" i="154"/>
  <c r="N133" i="154" s="1"/>
  <c r="E126" i="154"/>
  <c r="N126" i="154" s="1"/>
  <c r="E131" i="154"/>
  <c r="N131" i="154" s="1"/>
  <c r="E128" i="154"/>
  <c r="N128" i="154" s="1"/>
  <c r="E124" i="154"/>
  <c r="N124" i="154" s="1"/>
  <c r="E130" i="154"/>
  <c r="N130" i="154" s="1"/>
  <c r="E129" i="154"/>
  <c r="N129" i="154" s="1"/>
  <c r="E125" i="154"/>
  <c r="N125" i="154" s="1"/>
  <c r="E127" i="154"/>
  <c r="N127" i="154" s="1"/>
  <c r="E123" i="154"/>
  <c r="N123" i="154" s="1"/>
  <c r="E132" i="154"/>
  <c r="N132" i="154" s="1"/>
  <c r="F122" i="152"/>
  <c r="L122" i="152" s="1"/>
  <c r="F133" i="152"/>
  <c r="L133" i="152" s="1"/>
  <c r="F132" i="152"/>
  <c r="L132" i="152" s="1"/>
  <c r="O132" i="152" s="1"/>
  <c r="F131" i="152"/>
  <c r="L131" i="152" s="1"/>
  <c r="O131" i="152" s="1"/>
  <c r="F127" i="152"/>
  <c r="L127" i="152" s="1"/>
  <c r="F124" i="152"/>
  <c r="L124" i="152" s="1"/>
  <c r="F130" i="152"/>
  <c r="L130" i="152" s="1"/>
  <c r="F123" i="152"/>
  <c r="L123" i="152" s="1"/>
  <c r="F128" i="152"/>
  <c r="L128" i="152" s="1"/>
  <c r="O128" i="152" s="1"/>
  <c r="F126" i="152"/>
  <c r="L126" i="152" s="1"/>
  <c r="F129" i="152"/>
  <c r="L129" i="152" s="1"/>
  <c r="F125" i="152"/>
  <c r="L125" i="152" s="1"/>
  <c r="E143" i="152"/>
  <c r="K143" i="152" s="1"/>
  <c r="E140" i="152"/>
  <c r="K140" i="152" s="1"/>
  <c r="E144" i="152"/>
  <c r="K144" i="152" s="1"/>
  <c r="F10" i="25"/>
  <c r="K8" i="74"/>
  <c r="K8" i="25"/>
  <c r="U9" i="25" s="1"/>
  <c r="BQ10" i="17"/>
  <c r="BR9" i="17"/>
  <c r="G10" i="74" s="1"/>
  <c r="AB14" i="24"/>
  <c r="AB14" i="57"/>
  <c r="BE15" i="17"/>
  <c r="BE16" i="17" s="1"/>
  <c r="L121" i="36"/>
  <c r="E133" i="36"/>
  <c r="M112" i="36"/>
  <c r="F124" i="36"/>
  <c r="M118" i="36"/>
  <c r="F130" i="36"/>
  <c r="L114" i="36"/>
  <c r="E126" i="36"/>
  <c r="L117" i="36"/>
  <c r="E129" i="36"/>
  <c r="E127" i="36"/>
  <c r="L115" i="36"/>
  <c r="F123" i="36"/>
  <c r="M111" i="36"/>
  <c r="M117" i="36"/>
  <c r="F129" i="36"/>
  <c r="M121" i="36"/>
  <c r="F133" i="36"/>
  <c r="L111" i="36"/>
  <c r="E123" i="36"/>
  <c r="L118" i="36"/>
  <c r="E130" i="36"/>
  <c r="L113" i="36"/>
  <c r="E125" i="36"/>
  <c r="M113" i="36"/>
  <c r="F125" i="36"/>
  <c r="E132" i="36"/>
  <c r="L120" i="36"/>
  <c r="M116" i="36"/>
  <c r="F128" i="36"/>
  <c r="E124" i="36"/>
  <c r="L112" i="36"/>
  <c r="M120" i="36"/>
  <c r="F132" i="36"/>
  <c r="L119" i="36"/>
  <c r="E131" i="36"/>
  <c r="M115" i="36"/>
  <c r="F127" i="36"/>
  <c r="F131" i="36"/>
  <c r="M119" i="36"/>
  <c r="L116" i="36"/>
  <c r="E128" i="36"/>
  <c r="F126" i="36"/>
  <c r="M114" i="36"/>
  <c r="CC89" i="67"/>
  <c r="I89" i="156" s="1"/>
  <c r="N88" i="36"/>
  <c r="Q88" i="36" s="1"/>
  <c r="N88" i="32"/>
  <c r="Q88" i="32" s="1"/>
  <c r="B9" i="24"/>
  <c r="D9" i="24" s="1"/>
  <c r="F71" i="77"/>
  <c r="O71" i="77" s="1"/>
  <c r="F71" i="76"/>
  <c r="O71" i="76" s="1"/>
  <c r="E69" i="77"/>
  <c r="N69" i="77" s="1"/>
  <c r="F70" i="76"/>
  <c r="O70" i="76" s="1"/>
  <c r="F69" i="77"/>
  <c r="O69" i="77" s="1"/>
  <c r="F70" i="77"/>
  <c r="O70" i="77" s="1"/>
  <c r="F73" i="77"/>
  <c r="O73" i="77" s="1"/>
  <c r="E71" i="76"/>
  <c r="N71" i="76" s="1"/>
  <c r="E73" i="77"/>
  <c r="N73" i="77" s="1"/>
  <c r="E72" i="76"/>
  <c r="N72" i="76" s="1"/>
  <c r="F72" i="76"/>
  <c r="O72" i="76" s="1"/>
  <c r="E71" i="77"/>
  <c r="N71" i="77" s="1"/>
  <c r="E70" i="76"/>
  <c r="N70" i="76" s="1"/>
  <c r="E70" i="77"/>
  <c r="N70" i="77" s="1"/>
  <c r="E72" i="77"/>
  <c r="N72" i="77" s="1"/>
  <c r="F73" i="76"/>
  <c r="O73" i="76" s="1"/>
  <c r="F72" i="77"/>
  <c r="O72" i="77" s="1"/>
  <c r="E73" i="76"/>
  <c r="N73" i="76" s="1"/>
  <c r="AD5" i="23"/>
  <c r="AD6" i="23" s="1"/>
  <c r="AD7" i="23" s="1"/>
  <c r="F142" i="154" l="1"/>
  <c r="O142" i="154" s="1"/>
  <c r="F144" i="154"/>
  <c r="O144" i="154" s="1"/>
  <c r="F136" i="154"/>
  <c r="O136" i="154" s="1"/>
  <c r="F135" i="154"/>
  <c r="O135" i="154" s="1"/>
  <c r="E136" i="152"/>
  <c r="K136" i="152" s="1"/>
  <c r="O124" i="152"/>
  <c r="AN58" i="17"/>
  <c r="O129" i="152"/>
  <c r="F135" i="156"/>
  <c r="Q135" i="156" s="1"/>
  <c r="Q123" i="156"/>
  <c r="O133" i="152"/>
  <c r="F136" i="156"/>
  <c r="Q136" i="156" s="1"/>
  <c r="Q124" i="156"/>
  <c r="F139" i="154"/>
  <c r="O139" i="154" s="1"/>
  <c r="E145" i="152"/>
  <c r="K145" i="152" s="1"/>
  <c r="F134" i="156"/>
  <c r="Q134" i="156" s="1"/>
  <c r="Q122" i="156"/>
  <c r="E141" i="152"/>
  <c r="K141" i="152" s="1"/>
  <c r="E142" i="152"/>
  <c r="K142" i="152" s="1"/>
  <c r="O125" i="152"/>
  <c r="E137" i="152"/>
  <c r="K137" i="152" s="1"/>
  <c r="O126" i="152"/>
  <c r="E138" i="152"/>
  <c r="K138" i="152" s="1"/>
  <c r="O130" i="152"/>
  <c r="E139" i="152"/>
  <c r="K139" i="152" s="1"/>
  <c r="O127" i="152"/>
  <c r="P134" i="155"/>
  <c r="P122" i="155"/>
  <c r="AN57" i="17" s="1"/>
  <c r="O123" i="152"/>
  <c r="E135" i="152"/>
  <c r="K135" i="152" s="1"/>
  <c r="G89" i="153"/>
  <c r="P89" i="153" s="1"/>
  <c r="U89" i="153" s="1"/>
  <c r="G89" i="154"/>
  <c r="P89" i="154" s="1"/>
  <c r="U89" i="154" s="1"/>
  <c r="K89" i="75"/>
  <c r="H89" i="28"/>
  <c r="N89" i="28" s="1"/>
  <c r="O89" i="28" s="1"/>
  <c r="H89" i="38"/>
  <c r="N89" i="38" s="1"/>
  <c r="O122" i="152"/>
  <c r="O134" i="154"/>
  <c r="E144" i="154"/>
  <c r="E135" i="154"/>
  <c r="E139" i="154"/>
  <c r="E137" i="154"/>
  <c r="E141" i="154"/>
  <c r="E142" i="154"/>
  <c r="E136" i="154"/>
  <c r="E140" i="154"/>
  <c r="E143" i="154"/>
  <c r="E138" i="154"/>
  <c r="E145" i="154"/>
  <c r="F137" i="152"/>
  <c r="F141" i="152"/>
  <c r="F138" i="152"/>
  <c r="F140" i="152"/>
  <c r="F135" i="152"/>
  <c r="F142" i="152"/>
  <c r="L142" i="152" s="1"/>
  <c r="F136" i="152"/>
  <c r="F139" i="152"/>
  <c r="L139" i="152" s="1"/>
  <c r="F143" i="152"/>
  <c r="F144" i="152"/>
  <c r="F145" i="152"/>
  <c r="F134" i="152"/>
  <c r="AD14" i="57"/>
  <c r="G10" i="25"/>
  <c r="BR10" i="17"/>
  <c r="H10" i="74" s="1"/>
  <c r="BQ11" i="17"/>
  <c r="M129" i="36"/>
  <c r="F141" i="36"/>
  <c r="M141" i="36" s="1"/>
  <c r="F135" i="36"/>
  <c r="M135" i="36" s="1"/>
  <c r="M123" i="36"/>
  <c r="E139" i="36"/>
  <c r="L139" i="36" s="1"/>
  <c r="L127" i="36"/>
  <c r="L124" i="36"/>
  <c r="E136" i="36"/>
  <c r="L136" i="36" s="1"/>
  <c r="E141" i="36"/>
  <c r="L141" i="36" s="1"/>
  <c r="L129" i="36"/>
  <c r="L126" i="36"/>
  <c r="E138" i="36"/>
  <c r="L138" i="36" s="1"/>
  <c r="M125" i="36"/>
  <c r="F137" i="36"/>
  <c r="M137" i="36" s="1"/>
  <c r="F139" i="36"/>
  <c r="M139" i="36" s="1"/>
  <c r="M127" i="36"/>
  <c r="L130" i="36"/>
  <c r="E142" i="36"/>
  <c r="L142" i="36" s="1"/>
  <c r="M130" i="36"/>
  <c r="F142" i="36"/>
  <c r="M142" i="36" s="1"/>
  <c r="F140" i="36"/>
  <c r="M140" i="36" s="1"/>
  <c r="M128" i="36"/>
  <c r="M131" i="36"/>
  <c r="F143" i="36"/>
  <c r="M143" i="36" s="1"/>
  <c r="L131" i="36"/>
  <c r="E143" i="36"/>
  <c r="L143" i="36" s="1"/>
  <c r="E135" i="36"/>
  <c r="L135" i="36" s="1"/>
  <c r="L123" i="36"/>
  <c r="M124" i="36"/>
  <c r="F136" i="36"/>
  <c r="M136" i="36" s="1"/>
  <c r="F144" i="36"/>
  <c r="M144" i="36" s="1"/>
  <c r="M132" i="36"/>
  <c r="M133" i="36"/>
  <c r="F145" i="36"/>
  <c r="M145" i="36" s="1"/>
  <c r="L133" i="36"/>
  <c r="E145" i="36"/>
  <c r="L145" i="36" s="1"/>
  <c r="M126" i="36"/>
  <c r="F138" i="36"/>
  <c r="M138" i="36" s="1"/>
  <c r="E144" i="36"/>
  <c r="L144" i="36" s="1"/>
  <c r="L132" i="36"/>
  <c r="E140" i="36"/>
  <c r="L140" i="36" s="1"/>
  <c r="L128" i="36"/>
  <c r="L125" i="36"/>
  <c r="E137" i="36"/>
  <c r="L137" i="36" s="1"/>
  <c r="CC90" i="67"/>
  <c r="I90" i="156" s="1"/>
  <c r="N89" i="36"/>
  <c r="Q89" i="36" s="1"/>
  <c r="N89" i="32"/>
  <c r="Q89" i="32" s="1"/>
  <c r="B10" i="24"/>
  <c r="D10" i="24" s="1"/>
  <c r="V5" i="23"/>
  <c r="J5" i="23"/>
  <c r="T5" i="23" s="1"/>
  <c r="S71" i="77"/>
  <c r="S73" i="77"/>
  <c r="S70" i="77"/>
  <c r="S69" i="77"/>
  <c r="S72" i="77"/>
  <c r="S73" i="76"/>
  <c r="S71" i="76"/>
  <c r="S70" i="76"/>
  <c r="S72" i="76"/>
  <c r="E83" i="76"/>
  <c r="N83" i="76" s="1"/>
  <c r="E84" i="76"/>
  <c r="N84" i="76" s="1"/>
  <c r="F85" i="77"/>
  <c r="O85" i="77" s="1"/>
  <c r="F81" i="77"/>
  <c r="O81" i="77" s="1"/>
  <c r="E81" i="77"/>
  <c r="N81" i="77" s="1"/>
  <c r="E84" i="77"/>
  <c r="N84" i="77" s="1"/>
  <c r="E82" i="77"/>
  <c r="N82" i="77" s="1"/>
  <c r="F84" i="76"/>
  <c r="O84" i="76" s="1"/>
  <c r="F84" i="77"/>
  <c r="O84" i="77" s="1"/>
  <c r="F83" i="76"/>
  <c r="O83" i="76" s="1"/>
  <c r="E82" i="76"/>
  <c r="N82" i="76" s="1"/>
  <c r="E83" i="77"/>
  <c r="N83" i="77" s="1"/>
  <c r="E85" i="77"/>
  <c r="N85" i="77" s="1"/>
  <c r="F83" i="77"/>
  <c r="O83" i="77" s="1"/>
  <c r="F85" i="76"/>
  <c r="O85" i="76" s="1"/>
  <c r="E85" i="76"/>
  <c r="N85" i="76" s="1"/>
  <c r="F82" i="77"/>
  <c r="O82" i="77" s="1"/>
  <c r="F82" i="76"/>
  <c r="O82" i="76" s="1"/>
  <c r="AD8" i="23"/>
  <c r="O139" i="152" l="1"/>
  <c r="O142" i="152"/>
  <c r="G90" i="154"/>
  <c r="P90" i="154" s="1"/>
  <c r="U90" i="154" s="1"/>
  <c r="G90" i="153"/>
  <c r="P90" i="153" s="1"/>
  <c r="U90" i="153" s="1"/>
  <c r="K90" i="75"/>
  <c r="H90" i="28"/>
  <c r="N90" i="28" s="1"/>
  <c r="O90" i="28" s="1"/>
  <c r="H90" i="38"/>
  <c r="N90" i="38" s="1"/>
  <c r="N145" i="154"/>
  <c r="N138" i="154"/>
  <c r="N143" i="154"/>
  <c r="N140" i="154"/>
  <c r="N136" i="154"/>
  <c r="N142" i="154"/>
  <c r="N141" i="154"/>
  <c r="N137" i="154"/>
  <c r="N139" i="154"/>
  <c r="N135" i="154"/>
  <c r="N144" i="154"/>
  <c r="L135" i="152"/>
  <c r="O135" i="152" s="1"/>
  <c r="L140" i="152"/>
  <c r="O140" i="152" s="1"/>
  <c r="L138" i="152"/>
  <c r="O138" i="152" s="1"/>
  <c r="L141" i="152"/>
  <c r="O141" i="152" s="1"/>
  <c r="L134" i="152"/>
  <c r="O134" i="152" s="1"/>
  <c r="L137" i="152"/>
  <c r="O137" i="152" s="1"/>
  <c r="L145" i="152"/>
  <c r="O145" i="152" s="1"/>
  <c r="L144" i="152"/>
  <c r="O144" i="152" s="1"/>
  <c r="L136" i="152"/>
  <c r="O136" i="152" s="1"/>
  <c r="L143" i="152"/>
  <c r="O143" i="152" s="1"/>
  <c r="H10" i="25"/>
  <c r="BR11" i="17"/>
  <c r="I10" i="74" s="1"/>
  <c r="BQ12" i="17"/>
  <c r="CC91" i="67"/>
  <c r="I91" i="156" s="1"/>
  <c r="N90" i="36"/>
  <c r="Q90" i="36" s="1"/>
  <c r="N90" i="32"/>
  <c r="Q90" i="32" s="1"/>
  <c r="B11" i="24"/>
  <c r="D11" i="24" s="1"/>
  <c r="V6" i="23"/>
  <c r="J6" i="23"/>
  <c r="T6" i="23" s="1"/>
  <c r="F5" i="23"/>
  <c r="F97" i="77"/>
  <c r="O97" i="77" s="1"/>
  <c r="E94" i="77"/>
  <c r="N94" i="77" s="1"/>
  <c r="E96" i="77"/>
  <c r="N96" i="77" s="1"/>
  <c r="E94" i="76"/>
  <c r="N94" i="76" s="1"/>
  <c r="F94" i="76"/>
  <c r="O94" i="76" s="1"/>
  <c r="E97" i="76"/>
  <c r="N97" i="76" s="1"/>
  <c r="F95" i="76"/>
  <c r="O95" i="76" s="1"/>
  <c r="E93" i="77"/>
  <c r="N93" i="77" s="1"/>
  <c r="F94" i="77"/>
  <c r="O94" i="77" s="1"/>
  <c r="F97" i="76"/>
  <c r="O97" i="76" s="1"/>
  <c r="E96" i="76"/>
  <c r="N96" i="76" s="1"/>
  <c r="F95" i="77"/>
  <c r="O95" i="77" s="1"/>
  <c r="F96" i="77"/>
  <c r="O96" i="77" s="1"/>
  <c r="F93" i="77"/>
  <c r="O93" i="77" s="1"/>
  <c r="E95" i="77"/>
  <c r="N95" i="77" s="1"/>
  <c r="F96" i="76"/>
  <c r="O96" i="76" s="1"/>
  <c r="E97" i="77"/>
  <c r="N97" i="77" s="1"/>
  <c r="E95" i="76"/>
  <c r="N95" i="76" s="1"/>
  <c r="AD9" i="23"/>
  <c r="AD10" i="23" s="1"/>
  <c r="AD11" i="23" s="1"/>
  <c r="AD12" i="23" s="1"/>
  <c r="AD13" i="23" s="1"/>
  <c r="G91" i="154" l="1"/>
  <c r="P91" i="154" s="1"/>
  <c r="U91" i="154" s="1"/>
  <c r="K91" i="75"/>
  <c r="G91" i="153"/>
  <c r="P91" i="153" s="1"/>
  <c r="U91" i="153" s="1"/>
  <c r="H91" i="38"/>
  <c r="N91" i="38" s="1"/>
  <c r="H91" i="28"/>
  <c r="N91" i="28" s="1"/>
  <c r="O91" i="28" s="1"/>
  <c r="P5" i="23"/>
  <c r="AB5" i="23"/>
  <c r="I10" i="25"/>
  <c r="S11" i="25" s="1"/>
  <c r="BR12" i="17"/>
  <c r="J10" i="74" s="1"/>
  <c r="BQ13" i="17"/>
  <c r="BQ14" i="17" s="1"/>
  <c r="BR14" i="17" s="1"/>
  <c r="L10" i="74" s="1"/>
  <c r="CC92" i="67"/>
  <c r="I92" i="156" s="1"/>
  <c r="N91" i="36"/>
  <c r="Q91" i="36" s="1"/>
  <c r="N91" i="32"/>
  <c r="Q91" i="32" s="1"/>
  <c r="B12" i="24"/>
  <c r="D12" i="24" s="1"/>
  <c r="V7" i="23"/>
  <c r="J7" i="23"/>
  <c r="T7" i="23" s="1"/>
  <c r="F6" i="23"/>
  <c r="F106" i="76"/>
  <c r="E106" i="76"/>
  <c r="F106" i="77"/>
  <c r="E105" i="77"/>
  <c r="E109" i="77"/>
  <c r="F105" i="77"/>
  <c r="F107" i="77"/>
  <c r="E108" i="77"/>
  <c r="E106" i="77"/>
  <c r="E109" i="76"/>
  <c r="E108" i="76"/>
  <c r="F108" i="77"/>
  <c r="F107" i="76"/>
  <c r="E107" i="76"/>
  <c r="E107" i="77"/>
  <c r="F108" i="76"/>
  <c r="F109" i="76"/>
  <c r="F109" i="77"/>
  <c r="AD14" i="23"/>
  <c r="AD17" i="23"/>
  <c r="G92" i="154" l="1"/>
  <c r="P92" i="154" s="1"/>
  <c r="U92" i="154" s="1"/>
  <c r="G92" i="153"/>
  <c r="P92" i="153" s="1"/>
  <c r="U92" i="153" s="1"/>
  <c r="K92" i="75"/>
  <c r="H92" i="38"/>
  <c r="N92" i="38" s="1"/>
  <c r="H92" i="28"/>
  <c r="N92" i="28" s="1"/>
  <c r="O92" i="28" s="1"/>
  <c r="P6" i="23"/>
  <c r="J10" i="25"/>
  <c r="T11" i="25" s="1"/>
  <c r="L10" i="25"/>
  <c r="BR13" i="17"/>
  <c r="K10" i="74" s="1"/>
  <c r="N105" i="77"/>
  <c r="E117" i="77"/>
  <c r="N117" i="77" s="1"/>
  <c r="O106" i="77"/>
  <c r="F118" i="77"/>
  <c r="O118" i="77" s="1"/>
  <c r="N108" i="77"/>
  <c r="E120" i="77"/>
  <c r="N120" i="77" s="1"/>
  <c r="O107" i="77"/>
  <c r="F119" i="77"/>
  <c r="O119" i="77" s="1"/>
  <c r="O105" i="77"/>
  <c r="F117" i="77"/>
  <c r="O117" i="77" s="1"/>
  <c r="N109" i="77"/>
  <c r="E121" i="77"/>
  <c r="N121" i="77" s="1"/>
  <c r="O109" i="77"/>
  <c r="F121" i="77"/>
  <c r="O121" i="77" s="1"/>
  <c r="N107" i="77"/>
  <c r="E119" i="77"/>
  <c r="N119" i="77" s="1"/>
  <c r="O108" i="77"/>
  <c r="F120" i="77"/>
  <c r="O120" i="77" s="1"/>
  <c r="N106" i="77"/>
  <c r="E118" i="77"/>
  <c r="N118" i="77" s="1"/>
  <c r="O109" i="76"/>
  <c r="F121" i="76"/>
  <c r="O121" i="76" s="1"/>
  <c r="N107" i="76"/>
  <c r="E119" i="76"/>
  <c r="N119" i="76" s="1"/>
  <c r="O107" i="76"/>
  <c r="F119" i="76"/>
  <c r="O119" i="76" s="1"/>
  <c r="N108" i="76"/>
  <c r="E120" i="76"/>
  <c r="N120" i="76" s="1"/>
  <c r="N109" i="76"/>
  <c r="E121" i="76"/>
  <c r="N121" i="76" s="1"/>
  <c r="N106" i="76"/>
  <c r="E118" i="76"/>
  <c r="N118" i="76" s="1"/>
  <c r="O106" i="76"/>
  <c r="F118" i="76"/>
  <c r="O118" i="76" s="1"/>
  <c r="O108" i="76"/>
  <c r="F120" i="76"/>
  <c r="O120" i="76" s="1"/>
  <c r="CC93" i="67"/>
  <c r="I93" i="156" s="1"/>
  <c r="N92" i="36"/>
  <c r="Q92" i="36" s="1"/>
  <c r="N92" i="32"/>
  <c r="Q92" i="32" s="1"/>
  <c r="B13" i="24"/>
  <c r="V8" i="23"/>
  <c r="J8" i="23"/>
  <c r="T8" i="23" s="1"/>
  <c r="F7" i="23"/>
  <c r="AD15" i="23"/>
  <c r="AD18" i="23"/>
  <c r="V11" i="25" l="1"/>
  <c r="G93" i="154"/>
  <c r="P93" i="154" s="1"/>
  <c r="U93" i="154" s="1"/>
  <c r="G93" i="153"/>
  <c r="P93" i="153" s="1"/>
  <c r="U93" i="153" s="1"/>
  <c r="K93" i="75"/>
  <c r="H93" i="38"/>
  <c r="N93" i="38" s="1"/>
  <c r="H93" i="28"/>
  <c r="N93" i="28" s="1"/>
  <c r="O93" i="28" s="1"/>
  <c r="P7" i="23"/>
  <c r="AB7" i="23"/>
  <c r="K10" i="25"/>
  <c r="U11" i="25" s="1"/>
  <c r="D13" i="24"/>
  <c r="B14" i="24"/>
  <c r="D14" i="24" s="1"/>
  <c r="D25" i="24" s="1"/>
  <c r="AE4" i="23"/>
  <c r="W4" i="23"/>
  <c r="G4" i="23"/>
  <c r="C4" i="23"/>
  <c r="BQ15" i="17"/>
  <c r="BQ16" i="17" s="1"/>
  <c r="CC94" i="67"/>
  <c r="I94" i="156" s="1"/>
  <c r="N93" i="36"/>
  <c r="Q93" i="36" s="1"/>
  <c r="N93" i="32"/>
  <c r="Q93" i="32" s="1"/>
  <c r="V9" i="23"/>
  <c r="J9" i="23"/>
  <c r="T9" i="23" s="1"/>
  <c r="F8" i="23"/>
  <c r="E130" i="76"/>
  <c r="E132" i="76"/>
  <c r="E131" i="77"/>
  <c r="F133" i="77"/>
  <c r="F131" i="76"/>
  <c r="F133" i="76"/>
  <c r="F130" i="77"/>
  <c r="F129" i="77"/>
  <c r="E129" i="77"/>
  <c r="F130" i="76"/>
  <c r="E130" i="77"/>
  <c r="E133" i="76"/>
  <c r="E131" i="76"/>
  <c r="F131" i="77"/>
  <c r="F132" i="77"/>
  <c r="F132" i="76"/>
  <c r="E132" i="77"/>
  <c r="E133" i="77"/>
  <c r="B5" i="23"/>
  <c r="G94" i="154" l="1"/>
  <c r="P94" i="154" s="1"/>
  <c r="U94" i="154" s="1"/>
  <c r="G94" i="153"/>
  <c r="P94" i="153" s="1"/>
  <c r="U94" i="153" s="1"/>
  <c r="H94" i="28"/>
  <c r="N94" i="28" s="1"/>
  <c r="O94" i="28" s="1"/>
  <c r="K94" i="75"/>
  <c r="H94" i="38"/>
  <c r="N94" i="38" s="1"/>
  <c r="P8" i="23"/>
  <c r="AB8" i="23"/>
  <c r="L27" i="25"/>
  <c r="D24" i="24"/>
  <c r="L30" i="25"/>
  <c r="AC25" i="24"/>
  <c r="AD14" i="24"/>
  <c r="AC24" i="24"/>
  <c r="K5" i="23"/>
  <c r="C5" i="23"/>
  <c r="G5" i="23"/>
  <c r="AE5" i="23"/>
  <c r="W5" i="23"/>
  <c r="CC95" i="67"/>
  <c r="I95" i="156" s="1"/>
  <c r="N94" i="36"/>
  <c r="Q94" i="36" s="1"/>
  <c r="N94" i="32"/>
  <c r="Q94" i="32" s="1"/>
  <c r="V10" i="23"/>
  <c r="J10" i="23"/>
  <c r="T10" i="23" s="1"/>
  <c r="F9" i="23"/>
  <c r="O133" i="77"/>
  <c r="F145" i="77"/>
  <c r="O145" i="77" s="1"/>
  <c r="E144" i="76"/>
  <c r="N144" i="76" s="1"/>
  <c r="N132" i="76"/>
  <c r="F144" i="76"/>
  <c r="O144" i="76" s="1"/>
  <c r="O132" i="76"/>
  <c r="O130" i="77"/>
  <c r="F142" i="77"/>
  <c r="O142" i="77" s="1"/>
  <c r="O132" i="77"/>
  <c r="F144" i="77"/>
  <c r="O144" i="77" s="1"/>
  <c r="O129" i="77"/>
  <c r="F141" i="77"/>
  <c r="O141" i="77" s="1"/>
  <c r="N129" i="77"/>
  <c r="E141" i="77"/>
  <c r="N141" i="77" s="1"/>
  <c r="N131" i="77"/>
  <c r="E143" i="77"/>
  <c r="N143" i="77" s="1"/>
  <c r="F145" i="76"/>
  <c r="O145" i="76" s="1"/>
  <c r="O133" i="76"/>
  <c r="O130" i="76"/>
  <c r="F142" i="76"/>
  <c r="O142" i="76" s="1"/>
  <c r="E142" i="76"/>
  <c r="N142" i="76" s="1"/>
  <c r="N130" i="76"/>
  <c r="F143" i="76"/>
  <c r="O143" i="76" s="1"/>
  <c r="O131" i="76"/>
  <c r="N130" i="77"/>
  <c r="E142" i="77"/>
  <c r="N142" i="77" s="1"/>
  <c r="E145" i="76"/>
  <c r="N145" i="76" s="1"/>
  <c r="N133" i="76"/>
  <c r="N131" i="76"/>
  <c r="E143" i="76"/>
  <c r="N143" i="76" s="1"/>
  <c r="O131" i="77"/>
  <c r="F143" i="77"/>
  <c r="O143" i="77" s="1"/>
  <c r="N133" i="77"/>
  <c r="E145" i="77"/>
  <c r="N145" i="77" s="1"/>
  <c r="N132" i="77"/>
  <c r="E144" i="77"/>
  <c r="N144" i="77" s="1"/>
  <c r="B6" i="23"/>
  <c r="L32" i="25" l="1"/>
  <c r="G95" i="153"/>
  <c r="P95" i="153" s="1"/>
  <c r="U95" i="153" s="1"/>
  <c r="G95" i="154"/>
  <c r="P95" i="154" s="1"/>
  <c r="U95" i="154" s="1"/>
  <c r="H95" i="38"/>
  <c r="N95" i="38" s="1"/>
  <c r="H95" i="28"/>
  <c r="N95" i="28" s="1"/>
  <c r="O95" i="28" s="1"/>
  <c r="K95" i="75"/>
  <c r="P9" i="23"/>
  <c r="AB9" i="23"/>
  <c r="AE6" i="23"/>
  <c r="W6" i="23"/>
  <c r="X6" i="23" s="1"/>
  <c r="K6" i="23"/>
  <c r="C6" i="23"/>
  <c r="G6" i="23"/>
  <c r="CC96" i="67"/>
  <c r="I96" i="156" s="1"/>
  <c r="N95" i="36"/>
  <c r="Q95" i="36" s="1"/>
  <c r="N95" i="32"/>
  <c r="Q95" i="32" s="1"/>
  <c r="V11" i="23"/>
  <c r="J11" i="23"/>
  <c r="T11" i="23" s="1"/>
  <c r="F10" i="23"/>
  <c r="B7" i="23"/>
  <c r="G96" i="154" l="1"/>
  <c r="P96" i="154" s="1"/>
  <c r="U96" i="154" s="1"/>
  <c r="G96" i="153"/>
  <c r="P96" i="153" s="1"/>
  <c r="U96" i="153" s="1"/>
  <c r="H96" i="38"/>
  <c r="N96" i="38" s="1"/>
  <c r="H96" i="28"/>
  <c r="N96" i="28" s="1"/>
  <c r="O96" i="28" s="1"/>
  <c r="K96" i="75"/>
  <c r="P10" i="23"/>
  <c r="AB10" i="23"/>
  <c r="B8" i="23"/>
  <c r="AE7" i="23"/>
  <c r="W7" i="23"/>
  <c r="K7" i="23"/>
  <c r="G7" i="23"/>
  <c r="C7" i="23"/>
  <c r="CC97" i="67"/>
  <c r="I97" i="156" s="1"/>
  <c r="N96" i="36"/>
  <c r="Q96" i="36" s="1"/>
  <c r="N96" i="32"/>
  <c r="Q96" i="32" s="1"/>
  <c r="V12" i="23"/>
  <c r="V13" i="23" s="1"/>
  <c r="J12" i="23"/>
  <c r="F11" i="23"/>
  <c r="G97" i="153" l="1"/>
  <c r="P97" i="153" s="1"/>
  <c r="U97" i="153" s="1"/>
  <c r="G97" i="154"/>
  <c r="P97" i="154" s="1"/>
  <c r="U97" i="154" s="1"/>
  <c r="K97" i="75"/>
  <c r="H97" i="28"/>
  <c r="N97" i="28" s="1"/>
  <c r="O97" i="28" s="1"/>
  <c r="H97" i="38"/>
  <c r="N97" i="38" s="1"/>
  <c r="P11" i="23"/>
  <c r="AB11" i="23"/>
  <c r="J13" i="23"/>
  <c r="B9" i="23"/>
  <c r="W8" i="23"/>
  <c r="G8" i="23"/>
  <c r="C8" i="23"/>
  <c r="K8" i="23"/>
  <c r="AE8" i="23"/>
  <c r="CC98" i="67"/>
  <c r="I98" i="156" s="1"/>
  <c r="N97" i="36"/>
  <c r="Q97" i="36" s="1"/>
  <c r="N97" i="32"/>
  <c r="Q97" i="32" s="1"/>
  <c r="F12" i="23"/>
  <c r="G98" i="154" l="1"/>
  <c r="P98" i="154" s="1"/>
  <c r="U98" i="154" s="1"/>
  <c r="G98" i="153"/>
  <c r="P98" i="153" s="1"/>
  <c r="U98" i="153" s="1"/>
  <c r="K98" i="75"/>
  <c r="H98" i="28"/>
  <c r="N98" i="28" s="1"/>
  <c r="O98" i="28" s="1"/>
  <c r="H98" i="38"/>
  <c r="N98" i="38" s="1"/>
  <c r="AB12" i="23"/>
  <c r="T12" i="23"/>
  <c r="T17" i="23"/>
  <c r="T13" i="23"/>
  <c r="F13" i="23"/>
  <c r="AE9" i="23"/>
  <c r="W9" i="23"/>
  <c r="K9" i="23"/>
  <c r="C9" i="23"/>
  <c r="G9" i="23"/>
  <c r="B10" i="23"/>
  <c r="CC99" i="67"/>
  <c r="I99" i="156" s="1"/>
  <c r="N98" i="36"/>
  <c r="N98" i="32"/>
  <c r="Q98" i="32" s="1"/>
  <c r="V14" i="23"/>
  <c r="V17" i="23"/>
  <c r="J17" i="23"/>
  <c r="J14" i="23"/>
  <c r="T14" i="23" l="1"/>
  <c r="T15" i="23" s="1"/>
  <c r="G99" i="154"/>
  <c r="P99" i="154" s="1"/>
  <c r="U99" i="154" s="1"/>
  <c r="G99" i="153"/>
  <c r="P99" i="153" s="1"/>
  <c r="U99" i="153" s="1"/>
  <c r="K99" i="75"/>
  <c r="H99" i="38"/>
  <c r="N99" i="38" s="1"/>
  <c r="H99" i="28"/>
  <c r="N99" i="28" s="1"/>
  <c r="O99" i="28" s="1"/>
  <c r="P12" i="23"/>
  <c r="P17" i="23"/>
  <c r="P13" i="23"/>
  <c r="P14" i="23" s="1"/>
  <c r="C10" i="23"/>
  <c r="W10" i="23"/>
  <c r="AE10" i="23"/>
  <c r="K10" i="23"/>
  <c r="G10" i="23"/>
  <c r="B11" i="23"/>
  <c r="CC100" i="67"/>
  <c r="I100" i="156" s="1"/>
  <c r="N99" i="36"/>
  <c r="Q99" i="36" s="1"/>
  <c r="N99" i="32"/>
  <c r="Q99" i="32" s="1"/>
  <c r="V15" i="23"/>
  <c r="V18" i="23"/>
  <c r="J18" i="23"/>
  <c r="J15" i="23"/>
  <c r="F17" i="23"/>
  <c r="F14" i="23"/>
  <c r="S14" i="23" l="1"/>
  <c r="S15" i="23" s="1"/>
  <c r="N49" i="25" s="1"/>
  <c r="E61" i="25" s="1"/>
  <c r="G100" i="154"/>
  <c r="P100" i="154" s="1"/>
  <c r="U100" i="154" s="1"/>
  <c r="G100" i="153"/>
  <c r="P100" i="153" s="1"/>
  <c r="U100" i="153" s="1"/>
  <c r="K100" i="75"/>
  <c r="H100" i="38"/>
  <c r="N100" i="38" s="1"/>
  <c r="H100" i="28"/>
  <c r="N100" i="28" s="1"/>
  <c r="O100" i="28" s="1"/>
  <c r="P15" i="23"/>
  <c r="AB13" i="23"/>
  <c r="AE11" i="23"/>
  <c r="G11" i="23"/>
  <c r="K11" i="23"/>
  <c r="W11" i="23"/>
  <c r="C11" i="23"/>
  <c r="B12" i="23"/>
  <c r="CC101" i="67"/>
  <c r="I101" i="156" s="1"/>
  <c r="N100" i="36"/>
  <c r="Q100" i="36" s="1"/>
  <c r="N100" i="32"/>
  <c r="Q100" i="32" s="1"/>
  <c r="F15" i="23"/>
  <c r="F18" i="23"/>
  <c r="E9" i="160" l="1"/>
  <c r="M49" i="25"/>
  <c r="S35" i="23"/>
  <c r="AB14" i="23"/>
  <c r="AB15" i="23" s="1"/>
  <c r="G101" i="154"/>
  <c r="P101" i="154" s="1"/>
  <c r="U101" i="154" s="1"/>
  <c r="G101" i="153"/>
  <c r="P101" i="153" s="1"/>
  <c r="U101" i="153" s="1"/>
  <c r="K101" i="75"/>
  <c r="H101" i="28"/>
  <c r="N101" i="28" s="1"/>
  <c r="O101" i="28" s="1"/>
  <c r="H101" i="38"/>
  <c r="N101" i="38" s="1"/>
  <c r="O14" i="23"/>
  <c r="M48" i="25" s="1"/>
  <c r="AA14" i="23"/>
  <c r="M51" i="25" s="1"/>
  <c r="B13" i="23"/>
  <c r="C13" i="23" s="1"/>
  <c r="W12" i="23"/>
  <c r="C12" i="23"/>
  <c r="G12" i="23"/>
  <c r="H17" i="23" s="1"/>
  <c r="AE12" i="23"/>
  <c r="K12" i="23"/>
  <c r="CC102" i="67"/>
  <c r="I102" i="156" s="1"/>
  <c r="N101" i="36"/>
  <c r="Q101" i="36" s="1"/>
  <c r="N101" i="32"/>
  <c r="Q101" i="32" s="1"/>
  <c r="S36" i="23" l="1"/>
  <c r="T35" i="23"/>
  <c r="AA15" i="23"/>
  <c r="N51" i="25" s="1"/>
  <c r="G102" i="154"/>
  <c r="P102" i="154" s="1"/>
  <c r="U102" i="154" s="1"/>
  <c r="G102" i="153"/>
  <c r="P102" i="153" s="1"/>
  <c r="U102" i="153" s="1"/>
  <c r="K102" i="75"/>
  <c r="H102" i="28"/>
  <c r="N102" i="28" s="1"/>
  <c r="O102" i="28" s="1"/>
  <c r="H102" i="38"/>
  <c r="N102" i="38" s="1"/>
  <c r="AA35" i="23"/>
  <c r="AA36" i="23" s="1"/>
  <c r="O15" i="23"/>
  <c r="N48" i="25" s="1"/>
  <c r="E60" i="25" s="1"/>
  <c r="O35" i="23"/>
  <c r="G13" i="23"/>
  <c r="L46" i="25" s="1"/>
  <c r="K13" i="23"/>
  <c r="L47" i="25" s="1"/>
  <c r="AE13" i="23"/>
  <c r="L52" i="25" s="1"/>
  <c r="W13" i="23"/>
  <c r="L50" i="25" s="1"/>
  <c r="B17" i="23"/>
  <c r="B14" i="23"/>
  <c r="CC103" i="67"/>
  <c r="I103" i="156" s="1"/>
  <c r="N102" i="36"/>
  <c r="Q102" i="36" s="1"/>
  <c r="N102" i="32"/>
  <c r="Q102" i="32" s="1"/>
  <c r="M6" i="17"/>
  <c r="X6" i="17"/>
  <c r="AN6" i="17" s="1"/>
  <c r="AP6" i="17" s="1"/>
  <c r="AR6" i="17" s="1"/>
  <c r="K19" i="57" s="1"/>
  <c r="AB35" i="23" l="1"/>
  <c r="E8" i="160"/>
  <c r="S37" i="23"/>
  <c r="T36" i="23"/>
  <c r="E63" i="25"/>
  <c r="L45" i="25"/>
  <c r="G103" i="153"/>
  <c r="P103" i="153" s="1"/>
  <c r="U103" i="153" s="1"/>
  <c r="G103" i="154"/>
  <c r="P103" i="154" s="1"/>
  <c r="U103" i="154" s="1"/>
  <c r="H103" i="38"/>
  <c r="N103" i="38" s="1"/>
  <c r="K103" i="75"/>
  <c r="H103" i="28"/>
  <c r="N103" i="28" s="1"/>
  <c r="O103" i="28" s="1"/>
  <c r="P35" i="23"/>
  <c r="O36" i="23"/>
  <c r="AA37" i="23"/>
  <c r="AB36" i="23"/>
  <c r="L13" i="23"/>
  <c r="H13" i="23"/>
  <c r="D13" i="23"/>
  <c r="BG14" i="17"/>
  <c r="X13" i="23"/>
  <c r="B15" i="23"/>
  <c r="B18" i="23"/>
  <c r="BS14" i="17"/>
  <c r="BT14" i="17" s="1"/>
  <c r="AF13" i="23"/>
  <c r="Y6" i="17"/>
  <c r="D5" i="25" s="1"/>
  <c r="Z6" i="17"/>
  <c r="N6" i="17"/>
  <c r="D4" i="25" s="1"/>
  <c r="O6" i="17"/>
  <c r="CC104" i="67"/>
  <c r="I104" i="156" s="1"/>
  <c r="N103" i="36"/>
  <c r="Q103" i="36" s="1"/>
  <c r="N103" i="32"/>
  <c r="Q103" i="32" s="1"/>
  <c r="X7" i="17"/>
  <c r="AN7" i="17" s="1"/>
  <c r="AP7" i="17" s="1"/>
  <c r="AR7" i="17" s="1"/>
  <c r="K20" i="57" s="1"/>
  <c r="M7" i="17"/>
  <c r="E11" i="160" l="1"/>
  <c r="S38" i="23"/>
  <c r="T37" i="23"/>
  <c r="G104" i="154"/>
  <c r="P104" i="154" s="1"/>
  <c r="U104" i="154" s="1"/>
  <c r="H104" i="38"/>
  <c r="N104" i="38" s="1"/>
  <c r="G104" i="153"/>
  <c r="P104" i="153" s="1"/>
  <c r="U104" i="153" s="1"/>
  <c r="K104" i="75"/>
  <c r="H104" i="28"/>
  <c r="N104" i="28" s="1"/>
  <c r="O104" i="28" s="1"/>
  <c r="BH14" i="17"/>
  <c r="BI14" i="17" s="1"/>
  <c r="O37" i="23"/>
  <c r="P36" i="23"/>
  <c r="AA38" i="23"/>
  <c r="AB37" i="23"/>
  <c r="BU14" i="17"/>
  <c r="Y7" i="17"/>
  <c r="E5" i="25" s="1"/>
  <c r="Z7" i="17"/>
  <c r="N7" i="17"/>
  <c r="E4" i="25" s="1"/>
  <c r="O7" i="17"/>
  <c r="CC105" i="67"/>
  <c r="I105" i="156" s="1"/>
  <c r="N104" i="36"/>
  <c r="Q104" i="36" s="1"/>
  <c r="N104" i="32"/>
  <c r="Q104" i="32" s="1"/>
  <c r="M8" i="17"/>
  <c r="X8" i="17"/>
  <c r="AN8" i="17" s="1"/>
  <c r="AP8" i="17" s="1"/>
  <c r="AR8" i="17" s="1"/>
  <c r="K21" i="57" s="1"/>
  <c r="T38" i="23" l="1"/>
  <c r="S39" i="23"/>
  <c r="G105" i="153"/>
  <c r="P105" i="153" s="1"/>
  <c r="U105" i="153" s="1"/>
  <c r="G105" i="154"/>
  <c r="P105" i="154" s="1"/>
  <c r="U105" i="154" s="1"/>
  <c r="K105" i="75"/>
  <c r="H105" i="28"/>
  <c r="N105" i="28" s="1"/>
  <c r="O105" i="28" s="1"/>
  <c r="H105" i="38"/>
  <c r="N105" i="38" s="1"/>
  <c r="O38" i="23"/>
  <c r="P37" i="23"/>
  <c r="AA39" i="23"/>
  <c r="AB38" i="23"/>
  <c r="X9" i="17"/>
  <c r="AN9" i="17" s="1"/>
  <c r="AP9" i="17" s="1"/>
  <c r="AR9" i="17" s="1"/>
  <c r="K22" i="57" s="1"/>
  <c r="Y8" i="17"/>
  <c r="F5" i="25" s="1"/>
  <c r="Z8" i="17"/>
  <c r="M9" i="17"/>
  <c r="N8" i="17"/>
  <c r="F4" i="25" s="1"/>
  <c r="O8" i="17"/>
  <c r="CC106" i="67"/>
  <c r="I106" i="156" s="1"/>
  <c r="N105" i="36"/>
  <c r="Q105" i="36" s="1"/>
  <c r="N105" i="32"/>
  <c r="Q105" i="32" s="1"/>
  <c r="CG33" i="4"/>
  <c r="CF33" i="4"/>
  <c r="BS33" i="4"/>
  <c r="BR33" i="4"/>
  <c r="BE33" i="4"/>
  <c r="BD33" i="4"/>
  <c r="S40" i="23" l="1"/>
  <c r="T39" i="23"/>
  <c r="G106" i="154"/>
  <c r="P106" i="154" s="1"/>
  <c r="U106" i="154" s="1"/>
  <c r="G106" i="153"/>
  <c r="P106" i="153" s="1"/>
  <c r="U106" i="153" s="1"/>
  <c r="K106" i="75"/>
  <c r="H106" i="28"/>
  <c r="N106" i="28" s="1"/>
  <c r="O106" i="28" s="1"/>
  <c r="H106" i="38"/>
  <c r="N106" i="38" s="1"/>
  <c r="P38" i="23"/>
  <c r="O39" i="23"/>
  <c r="AA40" i="23"/>
  <c r="AB39" i="23"/>
  <c r="X10" i="17"/>
  <c r="AN10" i="17" s="1"/>
  <c r="AP10" i="17" s="1"/>
  <c r="AR10" i="17" s="1"/>
  <c r="K23" i="57" s="1"/>
  <c r="Y9" i="17"/>
  <c r="G5" i="25" s="1"/>
  <c r="Z9" i="17"/>
  <c r="M10" i="17"/>
  <c r="N9" i="17"/>
  <c r="G4" i="25" s="1"/>
  <c r="O9" i="17"/>
  <c r="CC107" i="67"/>
  <c r="I107" i="156" s="1"/>
  <c r="N106" i="36"/>
  <c r="Q106" i="36" s="1"/>
  <c r="N106" i="32"/>
  <c r="Q106" i="32" s="1"/>
  <c r="S41" i="23" l="1"/>
  <c r="T40" i="23"/>
  <c r="G107" i="154"/>
  <c r="P107" i="154" s="1"/>
  <c r="U107" i="154" s="1"/>
  <c r="G107" i="153"/>
  <c r="P107" i="153" s="1"/>
  <c r="U107" i="153" s="1"/>
  <c r="K107" i="75"/>
  <c r="H107" i="38"/>
  <c r="N107" i="38" s="1"/>
  <c r="H107" i="28"/>
  <c r="N107" i="28" s="1"/>
  <c r="O107" i="28" s="1"/>
  <c r="O40" i="23"/>
  <c r="P39" i="23"/>
  <c r="AA41" i="23"/>
  <c r="AB40" i="23"/>
  <c r="Y10" i="17"/>
  <c r="H5" i="25" s="1"/>
  <c r="Z10" i="17"/>
  <c r="X11" i="17"/>
  <c r="AN11" i="17" s="1"/>
  <c r="N10" i="17"/>
  <c r="H4" i="25" s="1"/>
  <c r="O10" i="17"/>
  <c r="M11" i="17"/>
  <c r="CC108" i="67"/>
  <c r="I108" i="156" s="1"/>
  <c r="N107" i="36"/>
  <c r="Q107" i="36" s="1"/>
  <c r="N107" i="32"/>
  <c r="Q107" i="32" s="1"/>
  <c r="S42" i="23" l="1"/>
  <c r="T41" i="23"/>
  <c r="G108" i="154"/>
  <c r="P108" i="154" s="1"/>
  <c r="U108" i="154" s="1"/>
  <c r="G108" i="153"/>
  <c r="P108" i="153" s="1"/>
  <c r="U108" i="153" s="1"/>
  <c r="K108" i="75"/>
  <c r="H108" i="38"/>
  <c r="N108" i="38" s="1"/>
  <c r="H108" i="28"/>
  <c r="N108" i="28" s="1"/>
  <c r="O108" i="28" s="1"/>
  <c r="P40" i="23"/>
  <c r="O41" i="23"/>
  <c r="AA42" i="23"/>
  <c r="AB41" i="23"/>
  <c r="Y11" i="17"/>
  <c r="I5" i="25" s="1"/>
  <c r="S6" i="25" s="1"/>
  <c r="X12" i="17"/>
  <c r="AN12" i="17" s="1"/>
  <c r="N11" i="17"/>
  <c r="I4" i="25" s="1"/>
  <c r="M12" i="17"/>
  <c r="CC109" i="67"/>
  <c r="I109" i="156" s="1"/>
  <c r="N108" i="36"/>
  <c r="Q108" i="36" s="1"/>
  <c r="N108" i="32"/>
  <c r="Q108" i="32" s="1"/>
  <c r="T42" i="23" l="1"/>
  <c r="S43" i="23"/>
  <c r="G109" i="153"/>
  <c r="P109" i="153" s="1"/>
  <c r="U109" i="153" s="1"/>
  <c r="G109" i="154"/>
  <c r="P109" i="154" s="1"/>
  <c r="U109" i="154" s="1"/>
  <c r="K109" i="75"/>
  <c r="H109" i="38"/>
  <c r="N109" i="38" s="1"/>
  <c r="H109" i="28"/>
  <c r="N109" i="28" s="1"/>
  <c r="O109" i="28" s="1"/>
  <c r="O42" i="23"/>
  <c r="P41" i="23"/>
  <c r="AB42" i="23"/>
  <c r="AA43" i="23"/>
  <c r="Y12" i="17"/>
  <c r="J5" i="25" s="1"/>
  <c r="T6" i="25" s="1"/>
  <c r="X13" i="17"/>
  <c r="AN13" i="17" s="1"/>
  <c r="N12" i="17"/>
  <c r="J4" i="25" s="1"/>
  <c r="M13" i="17"/>
  <c r="M14" i="17" s="1"/>
  <c r="CC110" i="67"/>
  <c r="I110" i="156" s="1"/>
  <c r="N109" i="36"/>
  <c r="Q109" i="36" s="1"/>
  <c r="N109" i="32"/>
  <c r="Q109" i="32" s="1"/>
  <c r="B6" i="17"/>
  <c r="S44" i="23" l="1"/>
  <c r="T43" i="23"/>
  <c r="G110" i="154"/>
  <c r="P110" i="154" s="1"/>
  <c r="U110" i="154" s="1"/>
  <c r="G110" i="153"/>
  <c r="P110" i="153" s="1"/>
  <c r="U110" i="153" s="1"/>
  <c r="H110" i="28"/>
  <c r="N110" i="28" s="1"/>
  <c r="O110" i="28" s="1"/>
  <c r="K110" i="75"/>
  <c r="H110" i="38"/>
  <c r="N110" i="38" s="1"/>
  <c r="P42" i="23"/>
  <c r="O43" i="23"/>
  <c r="AA44" i="23"/>
  <c r="AB43" i="23"/>
  <c r="X14" i="17"/>
  <c r="AN14" i="17" s="1"/>
  <c r="N14" i="17"/>
  <c r="L4" i="25" s="1"/>
  <c r="Y13" i="17"/>
  <c r="K5" i="25" s="1"/>
  <c r="U6" i="25" s="1"/>
  <c r="N13" i="17"/>
  <c r="K4" i="25" s="1"/>
  <c r="C6" i="17"/>
  <c r="D3" i="25" s="1"/>
  <c r="D6" i="17"/>
  <c r="CC111" i="67"/>
  <c r="I111" i="156" s="1"/>
  <c r="N110" i="36"/>
  <c r="N110" i="32"/>
  <c r="Q110" i="32" s="1"/>
  <c r="B7" i="17"/>
  <c r="T44" i="23" l="1"/>
  <c r="S45" i="23"/>
  <c r="Y14" i="17"/>
  <c r="L5" i="25" s="1"/>
  <c r="G111" i="153"/>
  <c r="P111" i="153" s="1"/>
  <c r="U111" i="153" s="1"/>
  <c r="G111" i="154"/>
  <c r="P111" i="154" s="1"/>
  <c r="U111" i="154" s="1"/>
  <c r="H111" i="38"/>
  <c r="N111" i="38" s="1"/>
  <c r="H111" i="28"/>
  <c r="N111" i="28" s="1"/>
  <c r="O111" i="28" s="1"/>
  <c r="K111" i="75"/>
  <c r="O44" i="23"/>
  <c r="P43" i="23"/>
  <c r="AA45" i="23"/>
  <c r="AB44" i="23"/>
  <c r="X15" i="17"/>
  <c r="M15" i="17"/>
  <c r="M16" i="17" s="1"/>
  <c r="V5" i="25"/>
  <c r="C7" i="17"/>
  <c r="E3" i="25" s="1"/>
  <c r="D7" i="17"/>
  <c r="CC112" i="67"/>
  <c r="I112" i="156" s="1"/>
  <c r="N111" i="36"/>
  <c r="Q111" i="36" s="1"/>
  <c r="N111" i="32"/>
  <c r="Q111" i="32" s="1"/>
  <c r="B8" i="17"/>
  <c r="T45" i="23" l="1"/>
  <c r="S46" i="23"/>
  <c r="V6" i="25"/>
  <c r="G112" i="154"/>
  <c r="P112" i="154" s="1"/>
  <c r="U112" i="154" s="1"/>
  <c r="H112" i="38"/>
  <c r="N112" i="38" s="1"/>
  <c r="G112" i="153"/>
  <c r="P112" i="153" s="1"/>
  <c r="U112" i="153" s="1"/>
  <c r="H112" i="28"/>
  <c r="N112" i="28" s="1"/>
  <c r="O112" i="28" s="1"/>
  <c r="K112" i="75"/>
  <c r="P44" i="23"/>
  <c r="O45" i="23"/>
  <c r="AA46" i="23"/>
  <c r="AA18" i="23" s="1"/>
  <c r="BM15" i="17" s="1"/>
  <c r="BO15" i="17" s="1"/>
  <c r="AB45" i="23"/>
  <c r="X16" i="17"/>
  <c r="AN16" i="17" s="1"/>
  <c r="AN15" i="17"/>
  <c r="C14" i="24"/>
  <c r="B9" i="17"/>
  <c r="C8" i="17"/>
  <c r="F3" i="25" s="1"/>
  <c r="D8" i="17"/>
  <c r="CC113" i="67"/>
  <c r="I113" i="156" s="1"/>
  <c r="N112" i="36"/>
  <c r="Q112" i="36" s="1"/>
  <c r="N112" i="32"/>
  <c r="Q112" i="32" s="1"/>
  <c r="AJ28" i="57" l="1"/>
  <c r="AK28" i="57" s="1"/>
  <c r="M31" i="74" s="1"/>
  <c r="M9" i="74"/>
  <c r="S18" i="23"/>
  <c r="T18" i="23" s="1"/>
  <c r="T46" i="23"/>
  <c r="S47" i="23"/>
  <c r="N9" i="25"/>
  <c r="AK20" i="24"/>
  <c r="AL20" i="24" s="1"/>
  <c r="C27" i="73"/>
  <c r="E27" i="73" s="1"/>
  <c r="G113" i="153"/>
  <c r="P113" i="153" s="1"/>
  <c r="U113" i="153" s="1"/>
  <c r="G113" i="154"/>
  <c r="P113" i="154" s="1"/>
  <c r="U113" i="154" s="1"/>
  <c r="K113" i="75"/>
  <c r="H113" i="28"/>
  <c r="N113" i="28" s="1"/>
  <c r="O113" i="28" s="1"/>
  <c r="H113" i="38"/>
  <c r="N113" i="38" s="1"/>
  <c r="P45" i="23"/>
  <c r="O46" i="23"/>
  <c r="AB18" i="23"/>
  <c r="AA47" i="23"/>
  <c r="AB46" i="23"/>
  <c r="E14" i="24"/>
  <c r="E14" i="57" s="1"/>
  <c r="B10" i="17"/>
  <c r="C9" i="17"/>
  <c r="G3" i="25" s="1"/>
  <c r="D9" i="17"/>
  <c r="CC114" i="67"/>
  <c r="I114" i="156" s="1"/>
  <c r="N113" i="36"/>
  <c r="Q113" i="36" s="1"/>
  <c r="N113" i="32"/>
  <c r="Q113" i="32" s="1"/>
  <c r="O13" i="38"/>
  <c r="O11" i="38"/>
  <c r="O10" i="38"/>
  <c r="O12" i="38"/>
  <c r="O8" i="38"/>
  <c r="O9" i="38"/>
  <c r="O7" i="38"/>
  <c r="O6" i="38"/>
  <c r="K24" i="38"/>
  <c r="K21" i="38"/>
  <c r="K20" i="38"/>
  <c r="L21" i="38"/>
  <c r="L24" i="38"/>
  <c r="L18" i="38"/>
  <c r="L25" i="38"/>
  <c r="L20" i="38"/>
  <c r="L23" i="38"/>
  <c r="K19" i="38"/>
  <c r="K18" i="38"/>
  <c r="L19" i="38"/>
  <c r="L22" i="38"/>
  <c r="K22" i="38"/>
  <c r="K25" i="38"/>
  <c r="K23" i="38"/>
  <c r="S48" i="23" l="1"/>
  <c r="T47" i="23"/>
  <c r="W10" i="25"/>
  <c r="G114" i="154"/>
  <c r="P114" i="154" s="1"/>
  <c r="U114" i="154" s="1"/>
  <c r="G114" i="153"/>
  <c r="P114" i="153" s="1"/>
  <c r="U114" i="153" s="1"/>
  <c r="K114" i="75"/>
  <c r="H114" i="28"/>
  <c r="N114" i="28" s="1"/>
  <c r="O114" i="28" s="1"/>
  <c r="H114" i="38"/>
  <c r="N114" i="38" s="1"/>
  <c r="N31" i="25"/>
  <c r="F27" i="73"/>
  <c r="G27" i="73" s="1"/>
  <c r="O18" i="23"/>
  <c r="P18" i="23" s="1"/>
  <c r="O47" i="23"/>
  <c r="P46" i="23"/>
  <c r="AA48" i="23"/>
  <c r="AB47" i="23"/>
  <c r="C10" i="17"/>
  <c r="H3" i="25" s="1"/>
  <c r="D10" i="17"/>
  <c r="B11" i="17"/>
  <c r="CC115" i="67"/>
  <c r="I115" i="156" s="1"/>
  <c r="N114" i="36"/>
  <c r="Q114" i="36" s="1"/>
  <c r="N114" i="32"/>
  <c r="Q114" i="32" s="1"/>
  <c r="O23" i="38"/>
  <c r="O22" i="38"/>
  <c r="O25" i="38"/>
  <c r="O20" i="38"/>
  <c r="O21" i="38"/>
  <c r="O24" i="38"/>
  <c r="O18" i="38"/>
  <c r="O19" i="38"/>
  <c r="E36" i="38"/>
  <c r="K36" i="38" s="1"/>
  <c r="E33" i="38"/>
  <c r="K33" i="38" s="1"/>
  <c r="E32" i="38"/>
  <c r="K32" i="38" s="1"/>
  <c r="F33" i="38"/>
  <c r="L33" i="38" s="1"/>
  <c r="E31" i="38"/>
  <c r="K31" i="38" s="1"/>
  <c r="F37" i="38"/>
  <c r="L37" i="38" s="1"/>
  <c r="F36" i="38"/>
  <c r="L36" i="38" s="1"/>
  <c r="F30" i="38"/>
  <c r="L30" i="38" s="1"/>
  <c r="F35" i="38"/>
  <c r="L35" i="38" s="1"/>
  <c r="F32" i="38"/>
  <c r="L32" i="38" s="1"/>
  <c r="E30" i="38"/>
  <c r="K30" i="38" s="1"/>
  <c r="F31" i="38"/>
  <c r="L31" i="38" s="1"/>
  <c r="F34" i="38"/>
  <c r="L34" i="38" s="1"/>
  <c r="E37" i="38"/>
  <c r="K37" i="38" s="1"/>
  <c r="E34" i="38"/>
  <c r="K34" i="38" s="1"/>
  <c r="E35" i="38"/>
  <c r="K35" i="38" s="1"/>
  <c r="S49" i="23" l="1"/>
  <c r="T48" i="23"/>
  <c r="G115" i="154"/>
  <c r="P115" i="154" s="1"/>
  <c r="U115" i="154" s="1"/>
  <c r="G115" i="153"/>
  <c r="P115" i="153" s="1"/>
  <c r="U115" i="153" s="1"/>
  <c r="K115" i="75"/>
  <c r="H115" i="38"/>
  <c r="N115" i="38" s="1"/>
  <c r="H115" i="28"/>
  <c r="N115" i="28" s="1"/>
  <c r="O115" i="28" s="1"/>
  <c r="P47" i="23"/>
  <c r="O48" i="23"/>
  <c r="AA49" i="23"/>
  <c r="AB48" i="23"/>
  <c r="C11" i="17"/>
  <c r="I3" i="25" s="1"/>
  <c r="B12" i="17"/>
  <c r="N115" i="36"/>
  <c r="Q115" i="36" s="1"/>
  <c r="CC116" i="67"/>
  <c r="I116" i="156" s="1"/>
  <c r="N115" i="32"/>
  <c r="Q115" i="32" s="1"/>
  <c r="O32" i="38"/>
  <c r="O35" i="38"/>
  <c r="O31" i="38"/>
  <c r="O34" i="38"/>
  <c r="O37" i="38"/>
  <c r="O33" i="38"/>
  <c r="O36" i="38"/>
  <c r="O30" i="38"/>
  <c r="E48" i="38"/>
  <c r="K48" i="38" s="1"/>
  <c r="E45" i="38"/>
  <c r="K45" i="38" s="1"/>
  <c r="E44" i="38"/>
  <c r="K44" i="38" s="1"/>
  <c r="F45" i="38"/>
  <c r="L45" i="38" s="1"/>
  <c r="E43" i="38"/>
  <c r="K43" i="38" s="1"/>
  <c r="E42" i="38"/>
  <c r="K42" i="38" s="1"/>
  <c r="F42" i="38"/>
  <c r="L42" i="38" s="1"/>
  <c r="F49" i="38"/>
  <c r="L49" i="38" s="1"/>
  <c r="F48" i="38"/>
  <c r="L48" i="38" s="1"/>
  <c r="F44" i="38"/>
  <c r="L44" i="38" s="1"/>
  <c r="F47" i="38"/>
  <c r="L47" i="38" s="1"/>
  <c r="E47" i="38"/>
  <c r="K47" i="38" s="1"/>
  <c r="E46" i="38"/>
  <c r="K46" i="38" s="1"/>
  <c r="F43" i="38"/>
  <c r="L43" i="38" s="1"/>
  <c r="F46" i="38"/>
  <c r="L46" i="38" s="1"/>
  <c r="E49" i="38"/>
  <c r="K49" i="38" s="1"/>
  <c r="S50" i="23" l="1"/>
  <c r="T49" i="23"/>
  <c r="G116" i="154"/>
  <c r="P116" i="154" s="1"/>
  <c r="U116" i="154" s="1"/>
  <c r="G116" i="153"/>
  <c r="P116" i="153" s="1"/>
  <c r="U116" i="153" s="1"/>
  <c r="K116" i="75"/>
  <c r="H116" i="38"/>
  <c r="N116" i="38" s="1"/>
  <c r="H116" i="28"/>
  <c r="N116" i="28" s="1"/>
  <c r="O116" i="28" s="1"/>
  <c r="O49" i="23"/>
  <c r="P48" i="23"/>
  <c r="AA50" i="23"/>
  <c r="AB49" i="23"/>
  <c r="C12" i="17"/>
  <c r="J3" i="25" s="1"/>
  <c r="B13" i="17"/>
  <c r="B14" i="17" s="1"/>
  <c r="CC117" i="67"/>
  <c r="I117" i="156" s="1"/>
  <c r="N116" i="32"/>
  <c r="Q116" i="32" s="1"/>
  <c r="N116" i="36"/>
  <c r="Q116" i="36" s="1"/>
  <c r="O48" i="38"/>
  <c r="O47" i="38"/>
  <c r="O42" i="38"/>
  <c r="O49" i="38"/>
  <c r="O44" i="38"/>
  <c r="O46" i="38"/>
  <c r="O43" i="38"/>
  <c r="O45" i="38"/>
  <c r="E60" i="38"/>
  <c r="K60" i="38" s="1"/>
  <c r="E57" i="38"/>
  <c r="K57" i="38" s="1"/>
  <c r="E56" i="38"/>
  <c r="K56" i="38" s="1"/>
  <c r="F57" i="38"/>
  <c r="L57" i="38" s="1"/>
  <c r="E55" i="38"/>
  <c r="K55" i="38" s="1"/>
  <c r="E54" i="38"/>
  <c r="K54" i="38" s="1"/>
  <c r="F60" i="38"/>
  <c r="L60" i="38" s="1"/>
  <c r="F54" i="38"/>
  <c r="L54" i="38" s="1"/>
  <c r="F61" i="38"/>
  <c r="L61" i="38" s="1"/>
  <c r="F56" i="38"/>
  <c r="L56" i="38" s="1"/>
  <c r="F59" i="38"/>
  <c r="L59" i="38" s="1"/>
  <c r="F58" i="38"/>
  <c r="L58" i="38" s="1"/>
  <c r="F55" i="38"/>
  <c r="L55" i="38" s="1"/>
  <c r="E59" i="38"/>
  <c r="K59" i="38" s="1"/>
  <c r="E58" i="38"/>
  <c r="K58" i="38" s="1"/>
  <c r="E61" i="38"/>
  <c r="K61" i="38" s="1"/>
  <c r="S51" i="23" l="1"/>
  <c r="T50" i="23"/>
  <c r="G117" i="154"/>
  <c r="P117" i="154" s="1"/>
  <c r="U117" i="154" s="1"/>
  <c r="K117" i="75"/>
  <c r="G117" i="153"/>
  <c r="P117" i="153" s="1"/>
  <c r="U117" i="153" s="1"/>
  <c r="H117" i="28"/>
  <c r="N117" i="28" s="1"/>
  <c r="O117" i="28" s="1"/>
  <c r="H117" i="38"/>
  <c r="N117" i="38" s="1"/>
  <c r="P49" i="23"/>
  <c r="O50" i="23"/>
  <c r="AB50" i="23"/>
  <c r="AA51" i="23"/>
  <c r="C13" i="17"/>
  <c r="K3" i="25" s="1"/>
  <c r="CC118" i="67"/>
  <c r="I118" i="156" s="1"/>
  <c r="N117" i="36"/>
  <c r="Q117" i="36" s="1"/>
  <c r="N117" i="32"/>
  <c r="Q117" i="32" s="1"/>
  <c r="O56" i="38"/>
  <c r="O58" i="38"/>
  <c r="O59" i="38"/>
  <c r="O61" i="38"/>
  <c r="O54" i="38"/>
  <c r="O55" i="38"/>
  <c r="O57" i="38"/>
  <c r="O60" i="38"/>
  <c r="E70" i="38"/>
  <c r="F67" i="38"/>
  <c r="F69" i="38"/>
  <c r="E67" i="38"/>
  <c r="E71" i="38"/>
  <c r="E68" i="38"/>
  <c r="E72" i="38"/>
  <c r="F70" i="38"/>
  <c r="F71" i="38"/>
  <c r="F68" i="38"/>
  <c r="F73" i="38"/>
  <c r="F66" i="38"/>
  <c r="E69" i="38"/>
  <c r="F72" i="38"/>
  <c r="E73" i="38"/>
  <c r="E66" i="38"/>
  <c r="T51" i="23" l="1"/>
  <c r="S52" i="23"/>
  <c r="G118" i="153"/>
  <c r="P118" i="153" s="1"/>
  <c r="U118" i="153" s="1"/>
  <c r="G118" i="154"/>
  <c r="P118" i="154" s="1"/>
  <c r="U118" i="154" s="1"/>
  <c r="K118" i="75"/>
  <c r="H118" i="28"/>
  <c r="N118" i="28" s="1"/>
  <c r="O118" i="28" s="1"/>
  <c r="H118" i="38"/>
  <c r="N118" i="38" s="1"/>
  <c r="P50" i="23"/>
  <c r="O51" i="23"/>
  <c r="AA52" i="23"/>
  <c r="AB51" i="23"/>
  <c r="B15" i="17"/>
  <c r="B16" i="17" s="1"/>
  <c r="C14" i="17"/>
  <c r="L3" i="25" s="1"/>
  <c r="CC119" i="67"/>
  <c r="I119" i="156" s="1"/>
  <c r="N118" i="32"/>
  <c r="Q118" i="32" s="1"/>
  <c r="N118" i="36"/>
  <c r="Q118" i="36" s="1"/>
  <c r="K69" i="38"/>
  <c r="K70" i="38"/>
  <c r="L68" i="38"/>
  <c r="L73" i="38"/>
  <c r="L71" i="38"/>
  <c r="L70" i="38"/>
  <c r="K72" i="38"/>
  <c r="K66" i="38"/>
  <c r="K68" i="38"/>
  <c r="K73" i="38"/>
  <c r="K71" i="38"/>
  <c r="K67" i="38"/>
  <c r="L66" i="38"/>
  <c r="L69" i="38"/>
  <c r="L72" i="38"/>
  <c r="L67" i="38"/>
  <c r="E78" i="38"/>
  <c r="E80" i="38"/>
  <c r="E85" i="38"/>
  <c r="F85" i="38"/>
  <c r="F80" i="38"/>
  <c r="E83" i="38"/>
  <c r="E79" i="38"/>
  <c r="F84" i="38"/>
  <c r="F83" i="38"/>
  <c r="F81" i="38"/>
  <c r="F82" i="38"/>
  <c r="F79" i="38"/>
  <c r="E81" i="38"/>
  <c r="E82" i="38"/>
  <c r="F78" i="38"/>
  <c r="E84" i="38"/>
  <c r="S53" i="23" l="1"/>
  <c r="T52" i="23"/>
  <c r="G119" i="153"/>
  <c r="P119" i="153" s="1"/>
  <c r="U119" i="153" s="1"/>
  <c r="G119" i="154"/>
  <c r="P119" i="154" s="1"/>
  <c r="U119" i="154" s="1"/>
  <c r="H119" i="38"/>
  <c r="N119" i="38" s="1"/>
  <c r="K119" i="75"/>
  <c r="H119" i="28"/>
  <c r="N119" i="28" s="1"/>
  <c r="O119" i="28" s="1"/>
  <c r="P51" i="23"/>
  <c r="O52" i="23"/>
  <c r="AA53" i="23"/>
  <c r="AB52" i="23"/>
  <c r="CC120" i="67"/>
  <c r="I120" i="156" s="1"/>
  <c r="N119" i="32"/>
  <c r="Q119" i="32" s="1"/>
  <c r="N119" i="36"/>
  <c r="Q119" i="36" s="1"/>
  <c r="K81" i="38"/>
  <c r="K80" i="38"/>
  <c r="L79" i="38"/>
  <c r="L82" i="38"/>
  <c r="K78" i="38"/>
  <c r="L81" i="38"/>
  <c r="L83" i="38"/>
  <c r="L84" i="38"/>
  <c r="K79" i="38"/>
  <c r="K83" i="38"/>
  <c r="L80" i="38"/>
  <c r="K84" i="38"/>
  <c r="L78" i="38"/>
  <c r="K82" i="38"/>
  <c r="L85" i="38"/>
  <c r="K85" i="38"/>
  <c r="O73" i="38"/>
  <c r="O72" i="38"/>
  <c r="O67" i="38"/>
  <c r="O68" i="38"/>
  <c r="O69" i="38"/>
  <c r="O70" i="38"/>
  <c r="O66" i="38"/>
  <c r="O71" i="38"/>
  <c r="E95" i="38"/>
  <c r="F93" i="38"/>
  <c r="E96" i="38"/>
  <c r="F92" i="38"/>
  <c r="F90" i="38"/>
  <c r="F95" i="38"/>
  <c r="F96" i="38"/>
  <c r="F97" i="38"/>
  <c r="E94" i="38"/>
  <c r="E91" i="38"/>
  <c r="E93" i="38"/>
  <c r="E97" i="38"/>
  <c r="E92" i="38"/>
  <c r="F91" i="38"/>
  <c r="F94" i="38"/>
  <c r="E90" i="38"/>
  <c r="T53" i="23" l="1"/>
  <c r="S54" i="23"/>
  <c r="G120" i="154"/>
  <c r="P120" i="154" s="1"/>
  <c r="U120" i="154" s="1"/>
  <c r="G120" i="153"/>
  <c r="P120" i="153" s="1"/>
  <c r="U120" i="153" s="1"/>
  <c r="H120" i="38"/>
  <c r="N120" i="38" s="1"/>
  <c r="K120" i="75"/>
  <c r="H120" i="28"/>
  <c r="N120" i="28" s="1"/>
  <c r="O120" i="28" s="1"/>
  <c r="P52" i="23"/>
  <c r="O53" i="23"/>
  <c r="AA54" i="23"/>
  <c r="AB53" i="23"/>
  <c r="CC121" i="67"/>
  <c r="I121" i="156" s="1"/>
  <c r="I122" i="156" s="1"/>
  <c r="N120" i="32"/>
  <c r="Q120" i="32" s="1"/>
  <c r="N120" i="36"/>
  <c r="Q120" i="36" s="1"/>
  <c r="K97" i="38"/>
  <c r="K91" i="38"/>
  <c r="K94" i="38"/>
  <c r="L97" i="38"/>
  <c r="L96" i="38"/>
  <c r="K90" i="38"/>
  <c r="L95" i="38"/>
  <c r="L90" i="38"/>
  <c r="K93" i="38"/>
  <c r="L94" i="38"/>
  <c r="L92" i="38"/>
  <c r="K96" i="38"/>
  <c r="L93" i="38"/>
  <c r="L91" i="38"/>
  <c r="K92" i="38"/>
  <c r="K95" i="38"/>
  <c r="O85" i="38"/>
  <c r="O78" i="38"/>
  <c r="O83" i="38"/>
  <c r="O84" i="38"/>
  <c r="O82" i="38"/>
  <c r="O80" i="38"/>
  <c r="O79" i="38"/>
  <c r="O81" i="38"/>
  <c r="E108" i="38"/>
  <c r="E120" i="38" s="1"/>
  <c r="K120" i="38" s="1"/>
  <c r="F106" i="38"/>
  <c r="F118" i="38" s="1"/>
  <c r="L118" i="38" s="1"/>
  <c r="F102" i="38"/>
  <c r="F114" i="38" s="1"/>
  <c r="L114" i="38" s="1"/>
  <c r="E103" i="38"/>
  <c r="E115" i="38" s="1"/>
  <c r="K115" i="38" s="1"/>
  <c r="E104" i="38"/>
  <c r="E116" i="38" s="1"/>
  <c r="K116" i="38" s="1"/>
  <c r="F109" i="38"/>
  <c r="F121" i="38" s="1"/>
  <c r="L121" i="38" s="1"/>
  <c r="F107" i="38"/>
  <c r="F119" i="38" s="1"/>
  <c r="L119" i="38" s="1"/>
  <c r="F105" i="38"/>
  <c r="F117" i="38" s="1"/>
  <c r="L117" i="38" s="1"/>
  <c r="E106" i="38"/>
  <c r="E118" i="38" s="1"/>
  <c r="K118" i="38" s="1"/>
  <c r="E102" i="38"/>
  <c r="E114" i="38" s="1"/>
  <c r="K114" i="38" s="1"/>
  <c r="E107" i="38"/>
  <c r="E119" i="38" s="1"/>
  <c r="K119" i="38" s="1"/>
  <c r="E105" i="38"/>
  <c r="E117" i="38" s="1"/>
  <c r="K117" i="38" s="1"/>
  <c r="F104" i="38"/>
  <c r="F116" i="38" s="1"/>
  <c r="L116" i="38" s="1"/>
  <c r="F103" i="38"/>
  <c r="F115" i="38" s="1"/>
  <c r="L115" i="38" s="1"/>
  <c r="F108" i="38"/>
  <c r="F120" i="38" s="1"/>
  <c r="L120" i="38" s="1"/>
  <c r="E109" i="38"/>
  <c r="E121" i="38" s="1"/>
  <c r="K121" i="38" s="1"/>
  <c r="R122" i="156" l="1"/>
  <c r="W122" i="156" s="1"/>
  <c r="I123" i="156"/>
  <c r="S55" i="23"/>
  <c r="T54" i="23"/>
  <c r="G121" i="153"/>
  <c r="P121" i="153" s="1"/>
  <c r="U121" i="153" s="1"/>
  <c r="G121" i="154"/>
  <c r="K121" i="75"/>
  <c r="K122" i="75" s="1"/>
  <c r="H121" i="38"/>
  <c r="H121" i="28"/>
  <c r="N121" i="28" s="1"/>
  <c r="O121" i="28" s="1"/>
  <c r="D13" i="15" s="1"/>
  <c r="P53" i="23"/>
  <c r="O54" i="23"/>
  <c r="AA55" i="23"/>
  <c r="AB54" i="23"/>
  <c r="N121" i="36"/>
  <c r="Q121" i="36" s="1"/>
  <c r="N121" i="32"/>
  <c r="O120" i="38"/>
  <c r="O117" i="38"/>
  <c r="O119" i="38"/>
  <c r="O118" i="38"/>
  <c r="O116" i="38"/>
  <c r="O115" i="38"/>
  <c r="O114" i="38"/>
  <c r="K107" i="38"/>
  <c r="K102" i="38"/>
  <c r="K105" i="38"/>
  <c r="K106" i="38"/>
  <c r="L105" i="38"/>
  <c r="L109" i="38"/>
  <c r="L107" i="38"/>
  <c r="K104" i="38"/>
  <c r="L102" i="38"/>
  <c r="K103" i="38"/>
  <c r="L106" i="38"/>
  <c r="K109" i="38"/>
  <c r="L108" i="38"/>
  <c r="L103" i="38"/>
  <c r="L104" i="38"/>
  <c r="K108" i="38"/>
  <c r="O97" i="38"/>
  <c r="O91" i="38"/>
  <c r="O95" i="38"/>
  <c r="O90" i="38"/>
  <c r="O92" i="38"/>
  <c r="O96" i="38"/>
  <c r="O94" i="38"/>
  <c r="O93" i="38"/>
  <c r="O49" i="34"/>
  <c r="O45" i="34"/>
  <c r="O41" i="34"/>
  <c r="O37" i="34"/>
  <c r="O33" i="34"/>
  <c r="O29" i="34"/>
  <c r="O25" i="34"/>
  <c r="O21" i="34"/>
  <c r="O17" i="34"/>
  <c r="O13" i="34"/>
  <c r="O9" i="34"/>
  <c r="O5" i="34"/>
  <c r="O46" i="34"/>
  <c r="O42" i="34"/>
  <c r="O38" i="34"/>
  <c r="O34" i="34"/>
  <c r="O30" i="34"/>
  <c r="O26" i="34"/>
  <c r="O22" i="34"/>
  <c r="O18" i="34"/>
  <c r="O14" i="34"/>
  <c r="O10" i="34"/>
  <c r="O6" i="34"/>
  <c r="O1" i="34"/>
  <c r="O47" i="34"/>
  <c r="O43" i="34"/>
  <c r="O39" i="34"/>
  <c r="O35" i="34"/>
  <c r="O31" i="34"/>
  <c r="O27" i="34"/>
  <c r="O23" i="34"/>
  <c r="O19" i="34"/>
  <c r="O15" i="34"/>
  <c r="O11" i="34"/>
  <c r="O7" i="34"/>
  <c r="O3" i="34"/>
  <c r="M1" i="38"/>
  <c r="M1" i="28"/>
  <c r="O48" i="34"/>
  <c r="O44" i="34"/>
  <c r="O40" i="34"/>
  <c r="O36" i="34"/>
  <c r="O32" i="34"/>
  <c r="O28" i="34"/>
  <c r="O24" i="34"/>
  <c r="O20" i="34"/>
  <c r="O16" i="34"/>
  <c r="O12" i="34"/>
  <c r="O8" i="34"/>
  <c r="V4" i="15" l="1"/>
  <c r="W4" i="15" s="1"/>
  <c r="V5" i="15"/>
  <c r="W5" i="15" s="1"/>
  <c r="V6" i="15"/>
  <c r="W6" i="15" s="1"/>
  <c r="V7" i="15"/>
  <c r="W7" i="15" s="1"/>
  <c r="V8" i="15"/>
  <c r="W8" i="15" s="1"/>
  <c r="V9" i="15"/>
  <c r="W9" i="15" s="1"/>
  <c r="V10" i="15"/>
  <c r="W10" i="15" s="1"/>
  <c r="V11" i="15"/>
  <c r="W11" i="15" s="1"/>
  <c r="V12" i="15"/>
  <c r="W12" i="15" s="1"/>
  <c r="V13" i="15"/>
  <c r="W13" i="15" s="1"/>
  <c r="I124" i="156"/>
  <c r="R123" i="156"/>
  <c r="W123" i="156" s="1"/>
  <c r="S56" i="23"/>
  <c r="T55" i="23"/>
  <c r="P13" i="15"/>
  <c r="Q121" i="32"/>
  <c r="H122" i="38"/>
  <c r="N121" i="38"/>
  <c r="O121" i="38" s="1"/>
  <c r="K123" i="75"/>
  <c r="Q122" i="75"/>
  <c r="P121" i="154"/>
  <c r="U121" i="154" s="1"/>
  <c r="G122" i="154"/>
  <c r="O55" i="23"/>
  <c r="P54" i="23"/>
  <c r="AA56" i="23"/>
  <c r="AB55" i="23"/>
  <c r="P122" i="77"/>
  <c r="O102" i="38"/>
  <c r="O106" i="38"/>
  <c r="O108" i="38"/>
  <c r="O104" i="38"/>
  <c r="O109" i="38"/>
  <c r="O103" i="38"/>
  <c r="O107" i="38"/>
  <c r="O105" i="38"/>
  <c r="F127" i="38"/>
  <c r="G127" i="38" s="1"/>
  <c r="M127" i="38" s="1"/>
  <c r="E132" i="38"/>
  <c r="E131" i="38"/>
  <c r="F126" i="38"/>
  <c r="G126" i="38" s="1"/>
  <c r="M126" i="38" s="1"/>
  <c r="E133" i="38"/>
  <c r="F131" i="38"/>
  <c r="G131" i="38" s="1"/>
  <c r="M131" i="38" s="1"/>
  <c r="E126" i="38"/>
  <c r="E129" i="38"/>
  <c r="E127" i="38"/>
  <c r="E130" i="38"/>
  <c r="F129" i="38"/>
  <c r="G129" i="38" s="1"/>
  <c r="M129" i="38" s="1"/>
  <c r="E128" i="38"/>
  <c r="F128" i="38"/>
  <c r="G128" i="38" s="1"/>
  <c r="M128" i="38" s="1"/>
  <c r="F133" i="38"/>
  <c r="G133" i="38" s="1"/>
  <c r="M133" i="38" s="1"/>
  <c r="F132" i="38"/>
  <c r="G132" i="38" s="1"/>
  <c r="M132" i="38" s="1"/>
  <c r="F130" i="38"/>
  <c r="G130" i="38" s="1"/>
  <c r="M130" i="38" s="1"/>
  <c r="W15" i="15" l="1"/>
  <c r="R124" i="156"/>
  <c r="W124" i="156" s="1"/>
  <c r="I125" i="156"/>
  <c r="S57" i="23"/>
  <c r="T56" i="23"/>
  <c r="G123" i="154"/>
  <c r="P122" i="154"/>
  <c r="U122" i="154" s="1"/>
  <c r="K124" i="75"/>
  <c r="Q123" i="75"/>
  <c r="H123" i="38"/>
  <c r="N122" i="38"/>
  <c r="P55" i="23"/>
  <c r="O56" i="23"/>
  <c r="AA57" i="23"/>
  <c r="AB56" i="23"/>
  <c r="P123" i="77"/>
  <c r="N122" i="36"/>
  <c r="S59" i="77"/>
  <c r="S61" i="77"/>
  <c r="S59" i="76"/>
  <c r="S58" i="77"/>
  <c r="S60" i="77"/>
  <c r="S58" i="76"/>
  <c r="S60" i="76"/>
  <c r="S57" i="77"/>
  <c r="S61" i="76"/>
  <c r="L131" i="38"/>
  <c r="L130" i="38"/>
  <c r="L126" i="38"/>
  <c r="K133" i="38"/>
  <c r="L132" i="38"/>
  <c r="L133" i="38"/>
  <c r="K131" i="38"/>
  <c r="K132" i="38"/>
  <c r="L127" i="38"/>
  <c r="K130" i="38"/>
  <c r="K127" i="38"/>
  <c r="K129" i="38"/>
  <c r="K128" i="38"/>
  <c r="L129" i="38"/>
  <c r="L128" i="38"/>
  <c r="K126" i="38"/>
  <c r="F145" i="38"/>
  <c r="G145" i="38" s="1"/>
  <c r="M145" i="38" s="1"/>
  <c r="E141" i="38"/>
  <c r="F140" i="38"/>
  <c r="G140" i="38" s="1"/>
  <c r="M140" i="38" s="1"/>
  <c r="E145" i="38"/>
  <c r="F138" i="38"/>
  <c r="G138" i="38" s="1"/>
  <c r="M138" i="38" s="1"/>
  <c r="E143" i="38"/>
  <c r="E140" i="38"/>
  <c r="F144" i="38"/>
  <c r="G144" i="38" s="1"/>
  <c r="M144" i="38" s="1"/>
  <c r="E139" i="38"/>
  <c r="F141" i="38"/>
  <c r="G141" i="38" s="1"/>
  <c r="M141" i="38" s="1"/>
  <c r="E144" i="38"/>
  <c r="E138" i="38"/>
  <c r="E142" i="38"/>
  <c r="F143" i="38"/>
  <c r="G143" i="38" s="1"/>
  <c r="M143" i="38" s="1"/>
  <c r="F139" i="38"/>
  <c r="G139" i="38" s="1"/>
  <c r="M139" i="38" s="1"/>
  <c r="F142" i="38"/>
  <c r="G142" i="38" s="1"/>
  <c r="M142" i="38" s="1"/>
  <c r="R125" i="156" l="1"/>
  <c r="W125" i="156" s="1"/>
  <c r="I126" i="156"/>
  <c r="T57" i="23"/>
  <c r="S58" i="23"/>
  <c r="K125" i="75"/>
  <c r="Q124" i="75"/>
  <c r="H124" i="38"/>
  <c r="N123" i="38"/>
  <c r="G124" i="154"/>
  <c r="P123" i="154"/>
  <c r="U123" i="154" s="1"/>
  <c r="O57" i="23"/>
  <c r="P56" i="23"/>
  <c r="AA58" i="23"/>
  <c r="AB57" i="23"/>
  <c r="N123" i="36"/>
  <c r="Q123" i="36" s="1"/>
  <c r="P124" i="77"/>
  <c r="AD51" i="17"/>
  <c r="AA51" i="17"/>
  <c r="H51" i="17"/>
  <c r="E51" i="17"/>
  <c r="S51" i="17"/>
  <c r="P51" i="17"/>
  <c r="C8" i="15"/>
  <c r="O8" i="15"/>
  <c r="L140" i="38"/>
  <c r="K141" i="38"/>
  <c r="L142" i="38"/>
  <c r="K142" i="38"/>
  <c r="L145" i="38"/>
  <c r="L139" i="38"/>
  <c r="K144" i="38"/>
  <c r="L141" i="38"/>
  <c r="K139" i="38"/>
  <c r="L143" i="38"/>
  <c r="L144" i="38"/>
  <c r="K145" i="38"/>
  <c r="K140" i="38"/>
  <c r="K143" i="38"/>
  <c r="K138" i="38"/>
  <c r="L138" i="38"/>
  <c r="AD10" i="17"/>
  <c r="S10" i="17"/>
  <c r="H10" i="17"/>
  <c r="S9" i="17"/>
  <c r="AD9" i="17"/>
  <c r="H9" i="17"/>
  <c r="I127" i="156" l="1"/>
  <c r="R126" i="156"/>
  <c r="W126" i="156" s="1"/>
  <c r="T58" i="23"/>
  <c r="S19" i="23"/>
  <c r="P124" i="154"/>
  <c r="U124" i="154" s="1"/>
  <c r="G125" i="154"/>
  <c r="H125" i="38"/>
  <c r="N124" i="38"/>
  <c r="K126" i="75"/>
  <c r="Q125" i="75"/>
  <c r="O58" i="23"/>
  <c r="P57" i="23"/>
  <c r="AB58" i="23"/>
  <c r="AA19" i="23"/>
  <c r="BM16" i="17" s="1"/>
  <c r="BO16" i="17" s="1"/>
  <c r="P125" i="77"/>
  <c r="N124" i="36"/>
  <c r="Q124" i="36" s="1"/>
  <c r="C27" i="25"/>
  <c r="H27" i="25"/>
  <c r="J27" i="25"/>
  <c r="I27" i="25"/>
  <c r="C30" i="74"/>
  <c r="S5" i="25"/>
  <c r="U5" i="25"/>
  <c r="T5" i="25"/>
  <c r="D43" i="74"/>
  <c r="BG7" i="17"/>
  <c r="E47" i="74"/>
  <c r="I43" i="74"/>
  <c r="D44" i="74"/>
  <c r="I52" i="25"/>
  <c r="I48" i="74"/>
  <c r="H30" i="25"/>
  <c r="BS6" i="17"/>
  <c r="D48" i="74"/>
  <c r="I50" i="25"/>
  <c r="I47" i="74"/>
  <c r="BG6" i="17"/>
  <c r="D47" i="74"/>
  <c r="I42" i="74"/>
  <c r="D42" i="74"/>
  <c r="H47" i="25"/>
  <c r="H44" i="74"/>
  <c r="C42" i="74"/>
  <c r="K42" i="74"/>
  <c r="H46" i="25"/>
  <c r="H43" i="74"/>
  <c r="I47" i="25"/>
  <c r="I44" i="74"/>
  <c r="BS8" i="17"/>
  <c r="F48" i="74"/>
  <c r="BG5" i="17"/>
  <c r="C47" i="74"/>
  <c r="K50" i="25"/>
  <c r="K47" i="74"/>
  <c r="H47" i="74"/>
  <c r="C44" i="74"/>
  <c r="K44" i="74"/>
  <c r="H48" i="74"/>
  <c r="BG8" i="17"/>
  <c r="BH8" i="17" s="1"/>
  <c r="F47" i="74"/>
  <c r="BS5" i="17"/>
  <c r="C48" i="74"/>
  <c r="K52" i="25"/>
  <c r="K48" i="74"/>
  <c r="H45" i="25"/>
  <c r="H42" i="74"/>
  <c r="C43" i="74"/>
  <c r="H9" i="23"/>
  <c r="G43" i="74"/>
  <c r="K43" i="74"/>
  <c r="F42" i="74"/>
  <c r="F43" i="74"/>
  <c r="F44" i="74"/>
  <c r="D9" i="23"/>
  <c r="G42" i="74"/>
  <c r="J42" i="74"/>
  <c r="G47" i="74"/>
  <c r="J47" i="25"/>
  <c r="J44" i="74"/>
  <c r="J30" i="25"/>
  <c r="BS7" i="17"/>
  <c r="BT7" i="17" s="1"/>
  <c r="E48" i="74"/>
  <c r="G48" i="74"/>
  <c r="J52" i="25"/>
  <c r="J48" i="74"/>
  <c r="E43" i="74"/>
  <c r="E42" i="74"/>
  <c r="L9" i="23"/>
  <c r="G44" i="74"/>
  <c r="J50" i="25"/>
  <c r="J47" i="74"/>
  <c r="I30" i="25"/>
  <c r="E44" i="74"/>
  <c r="J43" i="74"/>
  <c r="S47" i="77"/>
  <c r="S46" i="77"/>
  <c r="S33" i="77"/>
  <c r="S37" i="77"/>
  <c r="S34" i="77"/>
  <c r="I8" i="15"/>
  <c r="S11" i="77"/>
  <c r="S36" i="77"/>
  <c r="S25" i="77"/>
  <c r="S24" i="77"/>
  <c r="S23" i="77"/>
  <c r="S10" i="77"/>
  <c r="S12" i="77"/>
  <c r="S13" i="77"/>
  <c r="S9" i="77"/>
  <c r="S35" i="77"/>
  <c r="S48" i="77"/>
  <c r="S21" i="77"/>
  <c r="S22" i="77"/>
  <c r="S45" i="77"/>
  <c r="S49" i="77"/>
  <c r="S10" i="76"/>
  <c r="S46" i="76"/>
  <c r="S34" i="76"/>
  <c r="S12" i="76"/>
  <c r="S48" i="76"/>
  <c r="S37" i="76"/>
  <c r="S22" i="76"/>
  <c r="S35" i="76"/>
  <c r="S25" i="76"/>
  <c r="S11" i="76"/>
  <c r="S23" i="76"/>
  <c r="S36" i="76"/>
  <c r="S24" i="76"/>
  <c r="S47" i="76"/>
  <c r="S13" i="76"/>
  <c r="S49" i="76"/>
  <c r="H12" i="23"/>
  <c r="K46" i="25"/>
  <c r="E29" i="70"/>
  <c r="K30" i="25"/>
  <c r="AB10" i="57"/>
  <c r="J45" i="25"/>
  <c r="D18" i="70"/>
  <c r="K27" i="25"/>
  <c r="AB13" i="57"/>
  <c r="AD13" i="57" s="1"/>
  <c r="AE14" i="57" s="1"/>
  <c r="H11" i="23"/>
  <c r="J46" i="25"/>
  <c r="D29" i="70"/>
  <c r="H10" i="23"/>
  <c r="I46" i="25"/>
  <c r="C29" i="70"/>
  <c r="D10" i="23"/>
  <c r="I45" i="25"/>
  <c r="C18" i="70"/>
  <c r="D12" i="23"/>
  <c r="K45" i="25"/>
  <c r="E18" i="70"/>
  <c r="BG10" i="17"/>
  <c r="H50" i="25"/>
  <c r="L12" i="23"/>
  <c r="K47" i="25"/>
  <c r="BS10" i="17"/>
  <c r="H52" i="25"/>
  <c r="AB12" i="24"/>
  <c r="AB12" i="57"/>
  <c r="AD12" i="57" s="1"/>
  <c r="AB11" i="24"/>
  <c r="AB11" i="57"/>
  <c r="AD11" i="57" s="1"/>
  <c r="P10" i="17"/>
  <c r="C11" i="24"/>
  <c r="X11" i="23"/>
  <c r="BG12" i="17"/>
  <c r="AF10" i="23"/>
  <c r="BS11" i="17"/>
  <c r="L10" i="23"/>
  <c r="C10" i="24"/>
  <c r="C24" i="24" s="1"/>
  <c r="AA10" i="17"/>
  <c r="X10" i="23"/>
  <c r="BG11" i="17"/>
  <c r="E10" i="17"/>
  <c r="BG13" i="17"/>
  <c r="X12" i="23"/>
  <c r="C13" i="24"/>
  <c r="BS13" i="17"/>
  <c r="AF12" i="23"/>
  <c r="C12" i="24"/>
  <c r="AB10" i="24"/>
  <c r="AB24" i="24" s="1"/>
  <c r="AD24" i="24" s="1"/>
  <c r="D11" i="23"/>
  <c r="X9" i="23"/>
  <c r="BG9" i="17"/>
  <c r="L11" i="23"/>
  <c r="AB13" i="24"/>
  <c r="AF9" i="23"/>
  <c r="BS9" i="17"/>
  <c r="AF11" i="23"/>
  <c r="BS12" i="17"/>
  <c r="F27" i="25"/>
  <c r="D27" i="25"/>
  <c r="E27" i="25"/>
  <c r="F30" i="25"/>
  <c r="E30" i="25"/>
  <c r="D30" i="25"/>
  <c r="G27" i="25"/>
  <c r="AB5" i="57"/>
  <c r="AB6" i="57"/>
  <c r="AD6" i="57" s="1"/>
  <c r="AB9" i="57"/>
  <c r="AB8" i="57"/>
  <c r="AD8" i="57" s="1"/>
  <c r="AB7" i="57"/>
  <c r="AD7" i="57" s="1"/>
  <c r="D46" i="25"/>
  <c r="C46" i="25"/>
  <c r="E47" i="25"/>
  <c r="E46" i="25"/>
  <c r="E50" i="25"/>
  <c r="D50" i="25"/>
  <c r="C47" i="25"/>
  <c r="E45" i="25"/>
  <c r="C45" i="25"/>
  <c r="G46" i="25"/>
  <c r="G47" i="25"/>
  <c r="D52" i="25"/>
  <c r="C50" i="25"/>
  <c r="G45" i="25"/>
  <c r="E52" i="25"/>
  <c r="D47" i="25"/>
  <c r="D45" i="25"/>
  <c r="C52" i="25"/>
  <c r="G52" i="25"/>
  <c r="C9" i="24"/>
  <c r="AA9" i="17"/>
  <c r="E9" i="17"/>
  <c r="G30" i="25"/>
  <c r="AB9" i="24"/>
  <c r="P9" i="17"/>
  <c r="G50" i="25"/>
  <c r="D8" i="23"/>
  <c r="F45" i="25"/>
  <c r="C30" i="25"/>
  <c r="AB8" i="24"/>
  <c r="X8" i="23"/>
  <c r="F50" i="25"/>
  <c r="AB5" i="24"/>
  <c r="AB25" i="24" s="1"/>
  <c r="AD25" i="24" s="1"/>
  <c r="C8" i="24"/>
  <c r="C6" i="24"/>
  <c r="H8" i="23"/>
  <c r="F46" i="25"/>
  <c r="AB6" i="24"/>
  <c r="AD6" i="24" s="1"/>
  <c r="C7" i="24"/>
  <c r="C5" i="24"/>
  <c r="C25" i="24" s="1"/>
  <c r="AF8" i="23"/>
  <c r="F52" i="25"/>
  <c r="L8" i="23"/>
  <c r="F47" i="25"/>
  <c r="AB7" i="24"/>
  <c r="AD7" i="24" s="1"/>
  <c r="AD8" i="17"/>
  <c r="D7" i="23"/>
  <c r="H6" i="23"/>
  <c r="X5" i="23"/>
  <c r="H6" i="17"/>
  <c r="X7" i="23"/>
  <c r="AF6" i="23"/>
  <c r="L5" i="23"/>
  <c r="D5" i="23"/>
  <c r="H7" i="17"/>
  <c r="H8" i="17"/>
  <c r="H7" i="23"/>
  <c r="D6" i="23"/>
  <c r="H5" i="23"/>
  <c r="AD6" i="17"/>
  <c r="AD7" i="17"/>
  <c r="AD5" i="17"/>
  <c r="H5" i="17"/>
  <c r="AF7" i="23"/>
  <c r="L7" i="23"/>
  <c r="L6" i="23"/>
  <c r="AF5" i="23"/>
  <c r="I128" i="156" l="1"/>
  <c r="R127" i="156"/>
  <c r="W127" i="156" s="1"/>
  <c r="H14" i="23"/>
  <c r="AJ29" i="57"/>
  <c r="AK29" i="57" s="1"/>
  <c r="N31" i="74" s="1"/>
  <c r="N9" i="74"/>
  <c r="D14" i="23"/>
  <c r="D15" i="23" s="1"/>
  <c r="S21" i="23"/>
  <c r="T19" i="23"/>
  <c r="H32" i="25"/>
  <c r="K32" i="25"/>
  <c r="C32" i="25"/>
  <c r="I32" i="25"/>
  <c r="D32" i="25"/>
  <c r="F32" i="25"/>
  <c r="E32" i="25"/>
  <c r="J32" i="25"/>
  <c r="X14" i="23"/>
  <c r="W14" i="23" s="1"/>
  <c r="M50" i="25" s="1"/>
  <c r="AF14" i="23"/>
  <c r="AE14" i="23" s="1"/>
  <c r="M52" i="25" s="1"/>
  <c r="L14" i="23"/>
  <c r="K14" i="23" s="1"/>
  <c r="M47" i="25" s="1"/>
  <c r="C14" i="23"/>
  <c r="C35" i="23" s="1"/>
  <c r="H27" i="73"/>
  <c r="J27" i="73" s="1"/>
  <c r="O9" i="25"/>
  <c r="AK21" i="24"/>
  <c r="AL21" i="24" s="1"/>
  <c r="K127" i="75"/>
  <c r="Q126" i="75"/>
  <c r="H126" i="38"/>
  <c r="N125" i="38"/>
  <c r="P125" i="154"/>
  <c r="U125" i="154" s="1"/>
  <c r="G126" i="154"/>
  <c r="O19" i="23"/>
  <c r="P58" i="23"/>
  <c r="AB19" i="23"/>
  <c r="AA21" i="23"/>
  <c r="AD10" i="57"/>
  <c r="AE12" i="57" s="1"/>
  <c r="AB33" i="57"/>
  <c r="AD33" i="57" s="1"/>
  <c r="AD5" i="57"/>
  <c r="AB34" i="57"/>
  <c r="AD34" i="57" s="1"/>
  <c r="N125" i="36"/>
  <c r="Q125" i="36" s="1"/>
  <c r="P126" i="77"/>
  <c r="BT5" i="17"/>
  <c r="BU5" i="17" s="1"/>
  <c r="BH7" i="17"/>
  <c r="BT8" i="17"/>
  <c r="BH11" i="17"/>
  <c r="BT12" i="17"/>
  <c r="BH12" i="17"/>
  <c r="BT13" i="17"/>
  <c r="BT6" i="17"/>
  <c r="BU6" i="17" s="1"/>
  <c r="BT9" i="17"/>
  <c r="BU9" i="17" s="1"/>
  <c r="BH5" i="17"/>
  <c r="BH10" i="17"/>
  <c r="BH6" i="17"/>
  <c r="BH9" i="17"/>
  <c r="BH13" i="17"/>
  <c r="P48" i="17"/>
  <c r="H48" i="17"/>
  <c r="H50" i="17"/>
  <c r="BU7" i="17"/>
  <c r="AD8" i="24"/>
  <c r="AD11" i="24"/>
  <c r="AD5" i="24"/>
  <c r="AD10" i="24"/>
  <c r="AD12" i="24"/>
  <c r="AE14" i="24" s="1"/>
  <c r="E6" i="24"/>
  <c r="E8" i="24"/>
  <c r="E8" i="57" s="1"/>
  <c r="E7" i="24"/>
  <c r="E7" i="57" s="1"/>
  <c r="E10" i="24"/>
  <c r="E10" i="57" s="1"/>
  <c r="E12" i="24"/>
  <c r="E11" i="24"/>
  <c r="E11" i="57" s="1"/>
  <c r="H50" i="74"/>
  <c r="J50" i="74"/>
  <c r="F50" i="74"/>
  <c r="D50" i="74"/>
  <c r="E50" i="74"/>
  <c r="G50" i="74"/>
  <c r="I50" i="74"/>
  <c r="K50" i="74"/>
  <c r="C50" i="74"/>
  <c r="E50" i="17"/>
  <c r="S48" i="17"/>
  <c r="E48" i="17"/>
  <c r="S49" i="17"/>
  <c r="P49" i="17"/>
  <c r="H47" i="17"/>
  <c r="E47" i="17"/>
  <c r="AD48" i="17"/>
  <c r="AA48" i="17"/>
  <c r="S47" i="17"/>
  <c r="P47" i="17"/>
  <c r="H49" i="17"/>
  <c r="E49" i="17"/>
  <c r="AD49" i="17"/>
  <c r="AA49" i="17"/>
  <c r="AD47" i="17"/>
  <c r="AA47" i="17"/>
  <c r="AD50" i="17"/>
  <c r="AA50" i="17"/>
  <c r="S50" i="17"/>
  <c r="P50" i="17"/>
  <c r="AE13" i="57"/>
  <c r="K53" i="25"/>
  <c r="J53" i="25"/>
  <c r="H53" i="25"/>
  <c r="E19" i="70"/>
  <c r="E23" i="70" s="1"/>
  <c r="D19" i="70"/>
  <c r="D23" i="70" s="1"/>
  <c r="I53" i="25"/>
  <c r="E30" i="70"/>
  <c r="E34" i="70" s="1"/>
  <c r="D30" i="70"/>
  <c r="D34" i="70" s="1"/>
  <c r="AD13" i="24"/>
  <c r="E13" i="24"/>
  <c r="E13" i="57" s="1"/>
  <c r="E25" i="24"/>
  <c r="E24" i="24"/>
  <c r="O5" i="15"/>
  <c r="AD9" i="57"/>
  <c r="AE8" i="57"/>
  <c r="O6" i="15"/>
  <c r="O7" i="15"/>
  <c r="BI8" i="17"/>
  <c r="AB21" i="57" s="1"/>
  <c r="E9" i="24"/>
  <c r="E9" i="57" s="1"/>
  <c r="E5" i="24"/>
  <c r="O4" i="15"/>
  <c r="AD9" i="24"/>
  <c r="AA8" i="17"/>
  <c r="AA7" i="17"/>
  <c r="E8" i="17"/>
  <c r="AA5" i="17"/>
  <c r="AA6" i="17"/>
  <c r="E6" i="17"/>
  <c r="G53" i="25"/>
  <c r="S6" i="17"/>
  <c r="P6" i="17"/>
  <c r="F53" i="25"/>
  <c r="S7" i="17"/>
  <c r="P7" i="17"/>
  <c r="E7" i="17"/>
  <c r="D53" i="25"/>
  <c r="E5" i="17"/>
  <c r="S5" i="17"/>
  <c r="P5" i="17"/>
  <c r="C53" i="25"/>
  <c r="E53" i="25"/>
  <c r="S8" i="17"/>
  <c r="P8" i="17"/>
  <c r="I129" i="156" l="1"/>
  <c r="R128" i="156"/>
  <c r="W128" i="156" s="1"/>
  <c r="AE7" i="57"/>
  <c r="AD18" i="57"/>
  <c r="AD19" i="57" s="1"/>
  <c r="AD20" i="57" s="1"/>
  <c r="AD21" i="57" s="1"/>
  <c r="AD22" i="57" s="1"/>
  <c r="AD23" i="57" s="1"/>
  <c r="AD24" i="57" s="1"/>
  <c r="AD25" i="57" s="1"/>
  <c r="AD26" i="57" s="1"/>
  <c r="AD27" i="57" s="1"/>
  <c r="AD28" i="57" s="1"/>
  <c r="AD29" i="57" s="1"/>
  <c r="M45" i="25"/>
  <c r="BT15" i="17"/>
  <c r="AD18" i="24"/>
  <c r="AD19" i="24" s="1"/>
  <c r="AE11" i="57"/>
  <c r="G127" i="154"/>
  <c r="P126" i="154"/>
  <c r="U126" i="154" s="1"/>
  <c r="H127" i="38"/>
  <c r="N126" i="38"/>
  <c r="O126" i="38" s="1"/>
  <c r="K128" i="75"/>
  <c r="Q127" i="75"/>
  <c r="O31" i="25"/>
  <c r="C40" i="25" s="1"/>
  <c r="E40" i="25" s="1"/>
  <c r="D63" i="25" s="1"/>
  <c r="K27" i="73"/>
  <c r="L27" i="73" s="1"/>
  <c r="C21" i="25"/>
  <c r="E21" i="25" s="1"/>
  <c r="X10" i="25"/>
  <c r="BU12" i="17"/>
  <c r="BH15" i="17"/>
  <c r="AE6" i="57"/>
  <c r="AE10" i="57"/>
  <c r="E18" i="24"/>
  <c r="E19" i="24" s="1"/>
  <c r="P19" i="23"/>
  <c r="O21" i="23"/>
  <c r="K35" i="23"/>
  <c r="K36" i="23" s="1"/>
  <c r="K37" i="23" s="1"/>
  <c r="K38" i="23" s="1"/>
  <c r="K39" i="23" s="1"/>
  <c r="K40" i="23" s="1"/>
  <c r="K41" i="23" s="1"/>
  <c r="K42" i="23" s="1"/>
  <c r="K43" i="23" s="1"/>
  <c r="K44" i="23" s="1"/>
  <c r="K45" i="23" s="1"/>
  <c r="K46" i="23" s="1"/>
  <c r="F19" i="24"/>
  <c r="F20" i="24"/>
  <c r="F21" i="24"/>
  <c r="F18" i="24"/>
  <c r="H15" i="23"/>
  <c r="G14" i="23"/>
  <c r="M46" i="25" s="1"/>
  <c r="E12" i="57"/>
  <c r="F14" i="57" s="1"/>
  <c r="F14" i="24"/>
  <c r="E6" i="57"/>
  <c r="E5" i="57"/>
  <c r="P127" i="77"/>
  <c r="N126" i="36"/>
  <c r="Q126" i="36" s="1"/>
  <c r="F11" i="57"/>
  <c r="F10" i="57"/>
  <c r="F8" i="24"/>
  <c r="BU8" i="17"/>
  <c r="F18" i="70"/>
  <c r="BI12" i="17"/>
  <c r="AB25" i="57" s="1"/>
  <c r="BU13" i="17"/>
  <c r="AE8" i="24"/>
  <c r="AE9" i="24"/>
  <c r="AE10" i="24"/>
  <c r="F12" i="24"/>
  <c r="AE13" i="24"/>
  <c r="AE11" i="24"/>
  <c r="AE12" i="24"/>
  <c r="AE7" i="24"/>
  <c r="F13" i="24"/>
  <c r="P110" i="34"/>
  <c r="E33" i="70"/>
  <c r="E35" i="70" s="1"/>
  <c r="E37" i="70" s="1"/>
  <c r="E46" i="70" s="1"/>
  <c r="D22" i="70"/>
  <c r="D24" i="70" s="1"/>
  <c r="D26" i="70" s="1"/>
  <c r="D42" i="70" s="1"/>
  <c r="E43" i="70" s="1"/>
  <c r="E22" i="70"/>
  <c r="E24" i="70" s="1"/>
  <c r="E26" i="70" s="1"/>
  <c r="E42" i="70" s="1"/>
  <c r="E44" i="70" s="1"/>
  <c r="I7" i="15"/>
  <c r="I6" i="15"/>
  <c r="C7" i="15"/>
  <c r="C5" i="15"/>
  <c r="C6" i="15"/>
  <c r="I4" i="15"/>
  <c r="C4" i="15"/>
  <c r="I5" i="15"/>
  <c r="BI13" i="17"/>
  <c r="AB26" i="57" s="1"/>
  <c r="D33" i="70"/>
  <c r="D35" i="70" s="1"/>
  <c r="D37" i="70" s="1"/>
  <c r="D46" i="70" s="1"/>
  <c r="X15" i="23"/>
  <c r="W15" i="23" s="1"/>
  <c r="N50" i="25" s="1"/>
  <c r="AF15" i="23"/>
  <c r="AE15" i="23" s="1"/>
  <c r="N52" i="25" s="1"/>
  <c r="F9" i="24"/>
  <c r="F11" i="24"/>
  <c r="F10" i="24"/>
  <c r="AE9" i="57"/>
  <c r="F7" i="24"/>
  <c r="BI9" i="17"/>
  <c r="AB22" i="57" s="1"/>
  <c r="BI6" i="17"/>
  <c r="BI7" i="17"/>
  <c r="BI5" i="17"/>
  <c r="I130" i="156" l="1"/>
  <c r="R129" i="156"/>
  <c r="W129" i="156" s="1"/>
  <c r="D11" i="160"/>
  <c r="E62" i="25"/>
  <c r="M53" i="25"/>
  <c r="AE27" i="57"/>
  <c r="H21" i="25"/>
  <c r="C63" i="25"/>
  <c r="K129" i="75"/>
  <c r="Q128" i="75"/>
  <c r="H128" i="38"/>
  <c r="N127" i="38"/>
  <c r="O127" i="38" s="1"/>
  <c r="AE18" i="24"/>
  <c r="G128" i="154"/>
  <c r="P127" i="154"/>
  <c r="U127" i="154" s="1"/>
  <c r="AE20" i="24"/>
  <c r="AE21" i="24"/>
  <c r="AE19" i="24"/>
  <c r="G15" i="23"/>
  <c r="N46" i="25" s="1"/>
  <c r="G35" i="23"/>
  <c r="F12" i="57"/>
  <c r="F13" i="57"/>
  <c r="E18" i="57"/>
  <c r="E19" i="57" s="1"/>
  <c r="E20" i="57" s="1"/>
  <c r="E21" i="57" s="1"/>
  <c r="E22" i="57" s="1"/>
  <c r="E23" i="57" s="1"/>
  <c r="E24" i="57" s="1"/>
  <c r="E25" i="57" s="1"/>
  <c r="E26" i="57" s="1"/>
  <c r="E27" i="57" s="1"/>
  <c r="E28" i="57" s="1"/>
  <c r="E29" i="57" s="1"/>
  <c r="AE25" i="57"/>
  <c r="AE24" i="57"/>
  <c r="AE18" i="57"/>
  <c r="AE26" i="57"/>
  <c r="AE23" i="57"/>
  <c r="AE22" i="57"/>
  <c r="AE21" i="57"/>
  <c r="AE20" i="57"/>
  <c r="AE19" i="57"/>
  <c r="F28" i="57"/>
  <c r="F29" i="57"/>
  <c r="F18" i="57"/>
  <c r="F20" i="57"/>
  <c r="F27" i="57"/>
  <c r="F25" i="57"/>
  <c r="F22" i="57"/>
  <c r="F19" i="57"/>
  <c r="F26" i="57"/>
  <c r="F24" i="57"/>
  <c r="F23" i="57"/>
  <c r="F21" i="57"/>
  <c r="AE29" i="57"/>
  <c r="AE28" i="57"/>
  <c r="N127" i="36"/>
  <c r="Q127" i="36" s="1"/>
  <c r="P128" i="77"/>
  <c r="AC21" i="57"/>
  <c r="E20" i="24"/>
  <c r="L15" i="23"/>
  <c r="K15" i="23" s="1"/>
  <c r="N47" i="25" s="1"/>
  <c r="BH16" i="17"/>
  <c r="BT16" i="17"/>
  <c r="AD20" i="24"/>
  <c r="F43" i="70"/>
  <c r="D44" i="70"/>
  <c r="D45" i="70" s="1"/>
  <c r="AB18" i="57"/>
  <c r="AC18" i="57" s="1"/>
  <c r="AB20" i="57"/>
  <c r="AC20" i="57" s="1"/>
  <c r="AB19" i="57"/>
  <c r="AC19" i="57" s="1"/>
  <c r="P111" i="34"/>
  <c r="AB18" i="24"/>
  <c r="AC18" i="24" s="1"/>
  <c r="E45" i="70"/>
  <c r="E47" i="70"/>
  <c r="D48" i="70"/>
  <c r="D49" i="70" s="1"/>
  <c r="E48" i="70"/>
  <c r="F47" i="70"/>
  <c r="F19" i="70"/>
  <c r="F23" i="70" s="1"/>
  <c r="AC25" i="57"/>
  <c r="C15" i="23"/>
  <c r="AC22" i="57"/>
  <c r="BT10" i="17"/>
  <c r="BI10" i="17"/>
  <c r="AB23" i="57" s="1"/>
  <c r="R130" i="156" l="1"/>
  <c r="W130" i="156" s="1"/>
  <c r="I131" i="156"/>
  <c r="E10" i="160"/>
  <c r="C11" i="160"/>
  <c r="N45" i="25"/>
  <c r="I122" i="34"/>
  <c r="K122" i="76"/>
  <c r="R122" i="76" s="1"/>
  <c r="G129" i="154"/>
  <c r="P128" i="154"/>
  <c r="U128" i="154" s="1"/>
  <c r="H129" i="38"/>
  <c r="N128" i="38"/>
  <c r="O128" i="38" s="1"/>
  <c r="K130" i="75"/>
  <c r="Q129" i="75"/>
  <c r="K47" i="23"/>
  <c r="K48" i="23" s="1"/>
  <c r="K49" i="23" s="1"/>
  <c r="K50" i="23" s="1"/>
  <c r="K51" i="23" s="1"/>
  <c r="K52" i="23" s="1"/>
  <c r="K53" i="23" s="1"/>
  <c r="K54" i="23" s="1"/>
  <c r="K55" i="23" s="1"/>
  <c r="K56" i="23" s="1"/>
  <c r="K57" i="23" s="1"/>
  <c r="K58" i="23" s="1"/>
  <c r="H35" i="23"/>
  <c r="G36" i="23"/>
  <c r="P129" i="77"/>
  <c r="S129" i="77" s="1"/>
  <c r="N128" i="36"/>
  <c r="Q128" i="36" s="1"/>
  <c r="AD21" i="24"/>
  <c r="BU10" i="17"/>
  <c r="E21" i="24"/>
  <c r="P112" i="34"/>
  <c r="F22" i="70"/>
  <c r="F24" i="70" s="1"/>
  <c r="F26" i="70" s="1"/>
  <c r="F42" i="70" s="1"/>
  <c r="E49" i="70"/>
  <c r="AC26" i="57"/>
  <c r="BT11" i="17"/>
  <c r="BI11" i="17"/>
  <c r="AB24" i="57" s="1"/>
  <c r="I132" i="156" l="1"/>
  <c r="R131" i="156"/>
  <c r="W131" i="156" s="1"/>
  <c r="I123" i="34"/>
  <c r="K123" i="76"/>
  <c r="R123" i="76" s="1"/>
  <c r="K131" i="75"/>
  <c r="Q130" i="75"/>
  <c r="H130" i="38"/>
  <c r="N129" i="38"/>
  <c r="O129" i="38" s="1"/>
  <c r="P129" i="154"/>
  <c r="U129" i="154" s="1"/>
  <c r="G130" i="154"/>
  <c r="H36" i="23"/>
  <c r="G37" i="23"/>
  <c r="K124" i="76" s="1"/>
  <c r="R124" i="76" s="1"/>
  <c r="F44" i="70"/>
  <c r="F45" i="70" s="1"/>
  <c r="G43" i="70"/>
  <c r="N129" i="36"/>
  <c r="Q129" i="36" s="1"/>
  <c r="P130" i="77"/>
  <c r="S130" i="77" s="1"/>
  <c r="BU11" i="17"/>
  <c r="P113" i="34"/>
  <c r="R132" i="156" l="1"/>
  <c r="W132" i="156" s="1"/>
  <c r="I133" i="156"/>
  <c r="P130" i="154"/>
  <c r="U130" i="154" s="1"/>
  <c r="G131" i="154"/>
  <c r="H131" i="38"/>
  <c r="N130" i="38"/>
  <c r="O130" i="38" s="1"/>
  <c r="K132" i="75"/>
  <c r="Q131" i="75"/>
  <c r="G38" i="23"/>
  <c r="K125" i="76" s="1"/>
  <c r="R125" i="76" s="1"/>
  <c r="I124" i="34"/>
  <c r="P131" i="77"/>
  <c r="S131" i="77" s="1"/>
  <c r="N130" i="36"/>
  <c r="Q130" i="36" s="1"/>
  <c r="P114" i="34"/>
  <c r="R133" i="156" l="1"/>
  <c r="W133" i="156" s="1"/>
  <c r="I134" i="156"/>
  <c r="G132" i="154"/>
  <c r="P131" i="154"/>
  <c r="U131" i="154" s="1"/>
  <c r="K133" i="75"/>
  <c r="Q132" i="75"/>
  <c r="H132" i="38"/>
  <c r="N131" i="38"/>
  <c r="O131" i="38" s="1"/>
  <c r="G39" i="23"/>
  <c r="K126" i="76" s="1"/>
  <c r="R126" i="76" s="1"/>
  <c r="I125" i="34"/>
  <c r="N131" i="36"/>
  <c r="Q131" i="36" s="1"/>
  <c r="P132" i="77"/>
  <c r="S132" i="77" s="1"/>
  <c r="P115" i="34"/>
  <c r="R134" i="156" l="1"/>
  <c r="W134" i="156" s="1"/>
  <c r="I135" i="156"/>
  <c r="H133" i="38"/>
  <c r="N132" i="38"/>
  <c r="O132" i="38" s="1"/>
  <c r="K134" i="75"/>
  <c r="Q133" i="75"/>
  <c r="G133" i="154"/>
  <c r="P132" i="154"/>
  <c r="U132" i="154" s="1"/>
  <c r="G40" i="23"/>
  <c r="K127" i="76" s="1"/>
  <c r="R127" i="76" s="1"/>
  <c r="I126" i="34"/>
  <c r="P133" i="77"/>
  <c r="S133" i="77" s="1"/>
  <c r="N132" i="36"/>
  <c r="Q132" i="36" s="1"/>
  <c r="R135" i="156" l="1"/>
  <c r="W135" i="156" s="1"/>
  <c r="I136" i="156"/>
  <c r="P133" i="154"/>
  <c r="U133" i="154" s="1"/>
  <c r="G134" i="154"/>
  <c r="K135" i="75"/>
  <c r="Q134" i="75"/>
  <c r="H134" i="38"/>
  <c r="N133" i="38"/>
  <c r="O133" i="38" s="1"/>
  <c r="G41" i="23"/>
  <c r="K128" i="76" s="1"/>
  <c r="R128" i="76" s="1"/>
  <c r="I127" i="34"/>
  <c r="N133" i="36"/>
  <c r="Q133" i="36" s="1"/>
  <c r="P134" i="77"/>
  <c r="R136" i="156" l="1"/>
  <c r="W136" i="156" s="1"/>
  <c r="I137" i="156"/>
  <c r="G135" i="154"/>
  <c r="P134" i="154"/>
  <c r="U134" i="154" s="1"/>
  <c r="H135" i="38"/>
  <c r="N134" i="38"/>
  <c r="K136" i="75"/>
  <c r="Q135" i="75"/>
  <c r="G42" i="23"/>
  <c r="K129" i="76" s="1"/>
  <c r="R129" i="76" s="1"/>
  <c r="I128" i="34"/>
  <c r="P135" i="77"/>
  <c r="N134" i="36"/>
  <c r="R137" i="156" l="1"/>
  <c r="W137" i="156" s="1"/>
  <c r="I138" i="156"/>
  <c r="K137" i="75"/>
  <c r="Q136" i="75"/>
  <c r="P135" i="154"/>
  <c r="U135" i="154" s="1"/>
  <c r="G136" i="154"/>
  <c r="H136" i="38"/>
  <c r="N135" i="38"/>
  <c r="G43" i="23"/>
  <c r="K130" i="76" s="1"/>
  <c r="R130" i="76" s="1"/>
  <c r="I129" i="34"/>
  <c r="N135" i="36"/>
  <c r="Q135" i="36" s="1"/>
  <c r="P136" i="77"/>
  <c r="R138" i="156" l="1"/>
  <c r="W138" i="156" s="1"/>
  <c r="I139" i="156"/>
  <c r="H137" i="38"/>
  <c r="N136" i="38"/>
  <c r="P136" i="154"/>
  <c r="U136" i="154" s="1"/>
  <c r="G137" i="154"/>
  <c r="K138" i="75"/>
  <c r="Q137" i="75"/>
  <c r="G44" i="23"/>
  <c r="K131" i="76" s="1"/>
  <c r="R131" i="76" s="1"/>
  <c r="I130" i="34"/>
  <c r="P137" i="77"/>
  <c r="N136" i="36"/>
  <c r="Q136" i="36" s="1"/>
  <c r="I140" i="156" l="1"/>
  <c r="R139" i="156"/>
  <c r="W139" i="156" s="1"/>
  <c r="G138" i="154"/>
  <c r="P137" i="154"/>
  <c r="U137" i="154" s="1"/>
  <c r="K139" i="75"/>
  <c r="Q138" i="75"/>
  <c r="H138" i="38"/>
  <c r="N137" i="38"/>
  <c r="G45" i="23"/>
  <c r="K132" i="76" s="1"/>
  <c r="R132" i="76" s="1"/>
  <c r="I131" i="34"/>
  <c r="N137" i="36"/>
  <c r="Q137" i="36" s="1"/>
  <c r="P138" i="77"/>
  <c r="I141" i="156" l="1"/>
  <c r="R140" i="156"/>
  <c r="W140" i="156" s="1"/>
  <c r="H139" i="38"/>
  <c r="N138" i="38"/>
  <c r="O138" i="38" s="1"/>
  <c r="K140" i="75"/>
  <c r="Q139" i="75"/>
  <c r="G139" i="154"/>
  <c r="P138" i="154"/>
  <c r="U138" i="154" s="1"/>
  <c r="G46" i="23"/>
  <c r="K133" i="76" s="1"/>
  <c r="R133" i="76" s="1"/>
  <c r="I132" i="34"/>
  <c r="P139" i="77"/>
  <c r="N138" i="36"/>
  <c r="Q138" i="36" s="1"/>
  <c r="L43" i="74"/>
  <c r="P122" i="34"/>
  <c r="F29" i="70"/>
  <c r="R141" i="156" l="1"/>
  <c r="W141" i="156" s="1"/>
  <c r="I142" i="156"/>
  <c r="G140" i="154"/>
  <c r="P139" i="154"/>
  <c r="U139" i="154" s="1"/>
  <c r="K141" i="75"/>
  <c r="Q140" i="75"/>
  <c r="H140" i="38"/>
  <c r="N139" i="38"/>
  <c r="O139" i="38" s="1"/>
  <c r="G47" i="23"/>
  <c r="K134" i="76" s="1"/>
  <c r="R134" i="76" s="1"/>
  <c r="I133" i="34"/>
  <c r="N139" i="36"/>
  <c r="Q139" i="36" s="1"/>
  <c r="P140" i="77"/>
  <c r="O122" i="34"/>
  <c r="Q122" i="76"/>
  <c r="P123" i="34"/>
  <c r="F30" i="70"/>
  <c r="F34" i="70" s="1"/>
  <c r="I143" i="156" l="1"/>
  <c r="R142" i="156"/>
  <c r="W142" i="156" s="1"/>
  <c r="H141" i="38"/>
  <c r="N140" i="38"/>
  <c r="O140" i="38" s="1"/>
  <c r="K142" i="75"/>
  <c r="Q141" i="75"/>
  <c r="P140" i="154"/>
  <c r="U140" i="154" s="1"/>
  <c r="G141" i="154"/>
  <c r="G48" i="23"/>
  <c r="K135" i="76" s="1"/>
  <c r="R135" i="76" s="1"/>
  <c r="I134" i="34"/>
  <c r="O123" i="34"/>
  <c r="Q123" i="76"/>
  <c r="P141" i="77"/>
  <c r="S141" i="77" s="1"/>
  <c r="N140" i="36"/>
  <c r="Q140" i="36" s="1"/>
  <c r="Q124" i="76"/>
  <c r="O124" i="34"/>
  <c r="P124" i="34"/>
  <c r="F33" i="70"/>
  <c r="F35" i="70" s="1"/>
  <c r="F37" i="70" s="1"/>
  <c r="F46" i="70" s="1"/>
  <c r="R143" i="156" l="1"/>
  <c r="W143" i="156" s="1"/>
  <c r="I144" i="156"/>
  <c r="P141" i="154"/>
  <c r="U141" i="154" s="1"/>
  <c r="G142" i="154"/>
  <c r="K143" i="75"/>
  <c r="Q142" i="75"/>
  <c r="H142" i="38"/>
  <c r="N141" i="38"/>
  <c r="O141" i="38" s="1"/>
  <c r="G49" i="23"/>
  <c r="K136" i="76" s="1"/>
  <c r="R136" i="76" s="1"/>
  <c r="I135" i="34"/>
  <c r="H37" i="23"/>
  <c r="N141" i="36"/>
  <c r="Q141" i="36" s="1"/>
  <c r="P142" i="77"/>
  <c r="S142" i="77" s="1"/>
  <c r="Q125" i="76"/>
  <c r="O125" i="34"/>
  <c r="P125" i="34"/>
  <c r="F48" i="70"/>
  <c r="F49" i="70" s="1"/>
  <c r="G47" i="70"/>
  <c r="H38" i="23"/>
  <c r="R144" i="156" l="1"/>
  <c r="W144" i="156" s="1"/>
  <c r="I145" i="156"/>
  <c r="R145" i="156" s="1"/>
  <c r="W145" i="156" s="1"/>
  <c r="P142" i="154"/>
  <c r="U142" i="154" s="1"/>
  <c r="G143" i="154"/>
  <c r="H143" i="38"/>
  <c r="N142" i="38"/>
  <c r="O142" i="38" s="1"/>
  <c r="K144" i="75"/>
  <c r="Q143" i="75"/>
  <c r="G50" i="23"/>
  <c r="K137" i="76" s="1"/>
  <c r="R137" i="76" s="1"/>
  <c r="I136" i="34"/>
  <c r="P143" i="77"/>
  <c r="S143" i="77" s="1"/>
  <c r="N142" i="36"/>
  <c r="Q142" i="36" s="1"/>
  <c r="Q126" i="76"/>
  <c r="O126" i="34"/>
  <c r="C17" i="23"/>
  <c r="D17" i="23" s="1"/>
  <c r="P126" i="34"/>
  <c r="K17" i="23"/>
  <c r="H39" i="23"/>
  <c r="AY57" i="17" l="1"/>
  <c r="AY58" i="17"/>
  <c r="K145" i="75"/>
  <c r="Q145" i="75" s="1"/>
  <c r="Q144" i="75"/>
  <c r="P143" i="154"/>
  <c r="U143" i="154" s="1"/>
  <c r="G144" i="154"/>
  <c r="H144" i="38"/>
  <c r="N143" i="38"/>
  <c r="O143" i="38" s="1"/>
  <c r="G51" i="23"/>
  <c r="K138" i="76" s="1"/>
  <c r="R138" i="76" s="1"/>
  <c r="I137" i="34"/>
  <c r="N143" i="36"/>
  <c r="Q143" i="36" s="1"/>
  <c r="P145" i="77"/>
  <c r="S145" i="77" s="1"/>
  <c r="P144" i="77"/>
  <c r="S144" i="77" s="1"/>
  <c r="Q127" i="76"/>
  <c r="O127" i="34"/>
  <c r="L44" i="74"/>
  <c r="L42" i="74"/>
  <c r="P127" i="34"/>
  <c r="L17" i="23"/>
  <c r="W17" i="23"/>
  <c r="X17" i="23" s="1"/>
  <c r="H40" i="23"/>
  <c r="H145" i="38" l="1"/>
  <c r="N145" i="38" s="1"/>
  <c r="O145" i="38" s="1"/>
  <c r="N144" i="38"/>
  <c r="O144" i="38" s="1"/>
  <c r="G145" i="154"/>
  <c r="P145" i="154" s="1"/>
  <c r="U145" i="154" s="1"/>
  <c r="P144" i="154"/>
  <c r="U144" i="154" s="1"/>
  <c r="G52" i="23"/>
  <c r="K139" i="76" s="1"/>
  <c r="R139" i="76" s="1"/>
  <c r="I138" i="34"/>
  <c r="L35" i="23"/>
  <c r="N145" i="36"/>
  <c r="Q145" i="36" s="1"/>
  <c r="N144" i="36"/>
  <c r="Q144" i="36" s="1"/>
  <c r="G18" i="70"/>
  <c r="G19" i="70" s="1"/>
  <c r="G23" i="70" s="1"/>
  <c r="H18" i="70"/>
  <c r="Q128" i="76"/>
  <c r="O128" i="34"/>
  <c r="C36" i="23"/>
  <c r="C37" i="23" s="1"/>
  <c r="D35" i="23"/>
  <c r="L47" i="74"/>
  <c r="P128" i="34"/>
  <c r="AE17" i="23"/>
  <c r="H41" i="23"/>
  <c r="AY12" i="17" l="1"/>
  <c r="AY13" i="17"/>
  <c r="AY14" i="17"/>
  <c r="AY15" i="17"/>
  <c r="AY16" i="17"/>
  <c r="G53" i="23"/>
  <c r="K140" i="76" s="1"/>
  <c r="R140" i="76" s="1"/>
  <c r="I139" i="34"/>
  <c r="H19" i="70"/>
  <c r="H22" i="70" s="1"/>
  <c r="G22" i="70"/>
  <c r="G24" i="70" s="1"/>
  <c r="G26" i="70" s="1"/>
  <c r="G42" i="70" s="1"/>
  <c r="G44" i="70" s="1"/>
  <c r="AE35" i="23"/>
  <c r="AF35" i="23" s="1"/>
  <c r="W35" i="23"/>
  <c r="X35" i="23" s="1"/>
  <c r="Q129" i="76"/>
  <c r="O129" i="34"/>
  <c r="D36" i="23"/>
  <c r="AB27" i="57"/>
  <c r="AC27" i="57" s="1"/>
  <c r="L48" i="74"/>
  <c r="P129" i="34"/>
  <c r="M8" i="25"/>
  <c r="AB19" i="24"/>
  <c r="AC19" i="24" s="1"/>
  <c r="AF17" i="23"/>
  <c r="D37" i="23"/>
  <c r="C38" i="23"/>
  <c r="L37" i="23"/>
  <c r="H42" i="23"/>
  <c r="G54" i="23" l="1"/>
  <c r="K141" i="76" s="1"/>
  <c r="R141" i="76" s="1"/>
  <c r="I140" i="34"/>
  <c r="L36" i="23"/>
  <c r="G45" i="70"/>
  <c r="E54" i="70" s="1"/>
  <c r="E60" i="70" s="1"/>
  <c r="D10" i="71" s="1"/>
  <c r="W36" i="23"/>
  <c r="W37" i="23" s="1"/>
  <c r="W38" i="23" s="1"/>
  <c r="H23" i="70"/>
  <c r="H24" i="70" s="1"/>
  <c r="H26" i="70" s="1"/>
  <c r="H42" i="70" s="1"/>
  <c r="H43" i="70"/>
  <c r="M10" i="25"/>
  <c r="X36" i="23"/>
  <c r="L53" i="25"/>
  <c r="L50" i="74"/>
  <c r="AE36" i="23"/>
  <c r="AF36" i="23" s="1"/>
  <c r="Q130" i="76"/>
  <c r="S130" i="76" s="1"/>
  <c r="O130" i="34"/>
  <c r="P130" i="34"/>
  <c r="M30" i="25"/>
  <c r="D38" i="23"/>
  <c r="C39" i="23"/>
  <c r="L38" i="23"/>
  <c r="H43" i="23"/>
  <c r="G55" i="23" l="1"/>
  <c r="K142" i="76" s="1"/>
  <c r="R142" i="76" s="1"/>
  <c r="I141" i="34"/>
  <c r="X37" i="23"/>
  <c r="H44" i="70"/>
  <c r="H45" i="70" s="1"/>
  <c r="F54" i="70" s="1"/>
  <c r="I43" i="70"/>
  <c r="I45" i="70" s="1"/>
  <c r="G54" i="70" s="1"/>
  <c r="AE37" i="23"/>
  <c r="AF37" i="23" s="1"/>
  <c r="Q131" i="76"/>
  <c r="S131" i="76" s="1"/>
  <c r="O131" i="34"/>
  <c r="P131" i="34"/>
  <c r="C40" i="23"/>
  <c r="D39" i="23"/>
  <c r="AE38" i="23"/>
  <c r="X38" i="23"/>
  <c r="W39" i="23"/>
  <c r="L39" i="23"/>
  <c r="H44" i="23"/>
  <c r="G56" i="23" l="1"/>
  <c r="K143" i="76" s="1"/>
  <c r="R143" i="76" s="1"/>
  <c r="I142" i="34"/>
  <c r="G60" i="70"/>
  <c r="F60" i="70"/>
  <c r="E10" i="71" s="1"/>
  <c r="Q132" i="76"/>
  <c r="S132" i="76" s="1"/>
  <c r="O132" i="34"/>
  <c r="P132" i="34"/>
  <c r="C41" i="23"/>
  <c r="D40" i="23"/>
  <c r="AF38" i="23"/>
  <c r="AE39" i="23"/>
  <c r="W40" i="23"/>
  <c r="X39" i="23"/>
  <c r="L40" i="23"/>
  <c r="H45" i="23"/>
  <c r="G57" i="23" l="1"/>
  <c r="K144" i="76" s="1"/>
  <c r="R144" i="76" s="1"/>
  <c r="I143" i="34"/>
  <c r="G18" i="23"/>
  <c r="H18" i="23" s="1"/>
  <c r="Q133" i="76"/>
  <c r="S133" i="76" s="1"/>
  <c r="O133" i="34"/>
  <c r="P133" i="34"/>
  <c r="C42" i="23"/>
  <c r="D41" i="23"/>
  <c r="AF39" i="23"/>
  <c r="AE40" i="23"/>
  <c r="X40" i="23"/>
  <c r="W41" i="23"/>
  <c r="L41" i="23"/>
  <c r="H46" i="23"/>
  <c r="G58" i="23" l="1"/>
  <c r="I144" i="34"/>
  <c r="Q134" i="76"/>
  <c r="O134" i="34"/>
  <c r="M43" i="74"/>
  <c r="P134" i="34"/>
  <c r="G29" i="70"/>
  <c r="C43" i="23"/>
  <c r="D42" i="23"/>
  <c r="AE41" i="23"/>
  <c r="AF40" i="23"/>
  <c r="W42" i="23"/>
  <c r="X41" i="23"/>
  <c r="L42" i="23"/>
  <c r="H47" i="23"/>
  <c r="I145" i="34" l="1"/>
  <c r="K145" i="76"/>
  <c r="R145" i="76" s="1"/>
  <c r="Q135" i="76"/>
  <c r="O135" i="34"/>
  <c r="P135" i="34"/>
  <c r="G30" i="70"/>
  <c r="G34" i="70" s="1"/>
  <c r="D43" i="23"/>
  <c r="C44" i="23"/>
  <c r="AE42" i="23"/>
  <c r="AF41" i="23"/>
  <c r="W43" i="23"/>
  <c r="X42" i="23"/>
  <c r="L43" i="23"/>
  <c r="H48" i="23"/>
  <c r="Q136" i="76" l="1"/>
  <c r="O136" i="34"/>
  <c r="G33" i="70"/>
  <c r="G35" i="70" s="1"/>
  <c r="G37" i="70" s="1"/>
  <c r="G46" i="70" s="1"/>
  <c r="P136" i="34"/>
  <c r="C45" i="23"/>
  <c r="D44" i="23"/>
  <c r="AF42" i="23"/>
  <c r="AE43" i="23"/>
  <c r="X43" i="23"/>
  <c r="W44" i="23"/>
  <c r="L44" i="23"/>
  <c r="H49" i="23"/>
  <c r="Q137" i="76" l="1"/>
  <c r="O137" i="34"/>
  <c r="P137" i="34"/>
  <c r="G48" i="70"/>
  <c r="G49" i="70" s="1"/>
  <c r="E55" i="70" s="1"/>
  <c r="H47" i="70"/>
  <c r="D45" i="23"/>
  <c r="C46" i="23"/>
  <c r="C47" i="23" s="1"/>
  <c r="AE44" i="23"/>
  <c r="AF43" i="23"/>
  <c r="X44" i="23"/>
  <c r="W45" i="23"/>
  <c r="L45" i="23"/>
  <c r="H50" i="23"/>
  <c r="C48" i="23" l="1"/>
  <c r="C49" i="23" s="1"/>
  <c r="C50" i="23" s="1"/>
  <c r="C51" i="23" s="1"/>
  <c r="C52" i="23" s="1"/>
  <c r="C53" i="23" s="1"/>
  <c r="C54" i="23" s="1"/>
  <c r="C55" i="23" s="1"/>
  <c r="C56" i="23" s="1"/>
  <c r="C57" i="23" s="1"/>
  <c r="C58" i="23" s="1"/>
  <c r="D47" i="23"/>
  <c r="C18" i="23"/>
  <c r="D18" i="23" s="1"/>
  <c r="Q138" i="76"/>
  <c r="O138" i="34"/>
  <c r="P138" i="34"/>
  <c r="E56" i="70"/>
  <c r="E61" i="70"/>
  <c r="D46" i="23"/>
  <c r="AF44" i="23"/>
  <c r="AE45" i="23"/>
  <c r="W46" i="23"/>
  <c r="X45" i="23"/>
  <c r="L46" i="23"/>
  <c r="K18" i="23"/>
  <c r="H51" i="23"/>
  <c r="C19" i="23" l="1"/>
  <c r="Q139" i="76"/>
  <c r="O139" i="34"/>
  <c r="M42" i="74"/>
  <c r="M44" i="74"/>
  <c r="P139" i="34"/>
  <c r="D11" i="71"/>
  <c r="E62" i="70"/>
  <c r="L18" i="23"/>
  <c r="AE46" i="23"/>
  <c r="AF45" i="23"/>
  <c r="X46" i="23"/>
  <c r="W47" i="23"/>
  <c r="W18" i="23"/>
  <c r="L47" i="23"/>
  <c r="H52" i="23"/>
  <c r="D15" i="71" l="1"/>
  <c r="BG15" i="17"/>
  <c r="BI15" i="17" s="1"/>
  <c r="M8" i="74" s="1"/>
  <c r="Q140" i="76"/>
  <c r="O140" i="34"/>
  <c r="M47" i="74"/>
  <c r="P140" i="34"/>
  <c r="AC23" i="57"/>
  <c r="D48" i="23"/>
  <c r="AF46" i="23"/>
  <c r="AE47" i="23"/>
  <c r="AE18" i="23"/>
  <c r="X47" i="23"/>
  <c r="W48" i="23"/>
  <c r="X18" i="23"/>
  <c r="L48" i="23"/>
  <c r="H53" i="23"/>
  <c r="BS15" i="17" l="1"/>
  <c r="Q141" i="76"/>
  <c r="O141" i="34"/>
  <c r="AB28" i="57"/>
  <c r="AC28" i="57" s="1"/>
  <c r="M48" i="74"/>
  <c r="P141" i="34"/>
  <c r="C26" i="73"/>
  <c r="E26" i="73" s="1"/>
  <c r="AB20" i="24"/>
  <c r="AC20" i="24" s="1"/>
  <c r="F26" i="73" s="1"/>
  <c r="N8" i="25"/>
  <c r="D49" i="23"/>
  <c r="AF47" i="23"/>
  <c r="AE48" i="23"/>
  <c r="AF18" i="23"/>
  <c r="W49" i="23"/>
  <c r="X48" i="23"/>
  <c r="L49" i="23"/>
  <c r="H54" i="23"/>
  <c r="W9" i="25" l="1"/>
  <c r="G26" i="73"/>
  <c r="BU15" i="17"/>
  <c r="M50" i="74"/>
  <c r="Q142" i="76"/>
  <c r="S142" i="76" s="1"/>
  <c r="O142" i="34"/>
  <c r="N30" i="25"/>
  <c r="M30" i="74"/>
  <c r="P142" i="34"/>
  <c r="D50" i="23"/>
  <c r="AF48" i="23"/>
  <c r="AE49" i="23"/>
  <c r="X49" i="23"/>
  <c r="W50" i="23"/>
  <c r="L50" i="23"/>
  <c r="H55" i="23"/>
  <c r="N10" i="25" l="1"/>
  <c r="M10" i="74"/>
  <c r="Q143" i="76"/>
  <c r="S143" i="76" s="1"/>
  <c r="O143" i="34"/>
  <c r="P143" i="34"/>
  <c r="D51" i="23"/>
  <c r="AF49" i="23"/>
  <c r="AE50" i="23"/>
  <c r="W51" i="23"/>
  <c r="X50" i="23"/>
  <c r="L51" i="23"/>
  <c r="H56" i="23"/>
  <c r="W11" i="25" l="1"/>
  <c r="Q144" i="76"/>
  <c r="S144" i="76" s="1"/>
  <c r="O144" i="34"/>
  <c r="P144" i="34"/>
  <c r="D52" i="23"/>
  <c r="AF50" i="23"/>
  <c r="AE51" i="23"/>
  <c r="X51" i="23"/>
  <c r="W52" i="23"/>
  <c r="L52" i="23"/>
  <c r="H57" i="23"/>
  <c r="G19" i="23"/>
  <c r="H19" i="23" s="1"/>
  <c r="Q145" i="76" l="1"/>
  <c r="S145" i="76" s="1"/>
  <c r="O145" i="34"/>
  <c r="P145" i="34"/>
  <c r="D53" i="23"/>
  <c r="AE52" i="23"/>
  <c r="AF51" i="23"/>
  <c r="W53" i="23"/>
  <c r="X52" i="23"/>
  <c r="L53" i="23"/>
  <c r="H58" i="23"/>
  <c r="N43" i="74" l="1"/>
  <c r="G21" i="23"/>
  <c r="H29" i="70"/>
  <c r="D54" i="23"/>
  <c r="AF52" i="23"/>
  <c r="AE53" i="23"/>
  <c r="X53" i="23"/>
  <c r="W54" i="23"/>
  <c r="L54" i="23"/>
  <c r="E58" i="25" l="1"/>
  <c r="E55" i="74"/>
  <c r="H30" i="70"/>
  <c r="H34" i="70" s="1"/>
  <c r="D55" i="23"/>
  <c r="AF53" i="23"/>
  <c r="AE54" i="23"/>
  <c r="X54" i="23"/>
  <c r="W55" i="23"/>
  <c r="L55" i="23"/>
  <c r="E6" i="160" l="1"/>
  <c r="H33" i="70"/>
  <c r="H35" i="70" s="1"/>
  <c r="H37" i="70" s="1"/>
  <c r="H46" i="70" s="1"/>
  <c r="D56" i="23"/>
  <c r="AF54" i="23"/>
  <c r="AE55" i="23"/>
  <c r="W56" i="23"/>
  <c r="X55" i="23"/>
  <c r="L56" i="23"/>
  <c r="I47" i="70" l="1"/>
  <c r="I49" i="70" s="1"/>
  <c r="G55" i="70" s="1"/>
  <c r="G56" i="70" s="1"/>
  <c r="H48" i="70"/>
  <c r="H49" i="70" s="1"/>
  <c r="F55" i="70" s="1"/>
  <c r="D57" i="23"/>
  <c r="AF55" i="23"/>
  <c r="AE56" i="23"/>
  <c r="W57" i="23"/>
  <c r="X56" i="23"/>
  <c r="L57" i="23"/>
  <c r="F56" i="70" l="1"/>
  <c r="F61" i="70"/>
  <c r="G61" i="70"/>
  <c r="G62" i="70" s="1"/>
  <c r="D58" i="23"/>
  <c r="AE57" i="23"/>
  <c r="AF56" i="23"/>
  <c r="X57" i="23"/>
  <c r="W58" i="23"/>
  <c r="L58" i="23"/>
  <c r="K19" i="23"/>
  <c r="N44" i="74" l="1"/>
  <c r="N42" i="74"/>
  <c r="E11" i="71"/>
  <c r="F62" i="70"/>
  <c r="D19" i="23"/>
  <c r="C21" i="23"/>
  <c r="L19" i="23"/>
  <c r="K21" i="23"/>
  <c r="AF57" i="23"/>
  <c r="AE58" i="23"/>
  <c r="X58" i="23"/>
  <c r="W19" i="23"/>
  <c r="BG16" i="17" l="1"/>
  <c r="E56" i="74"/>
  <c r="E59" i="25"/>
  <c r="E7" i="160" s="1"/>
  <c r="E57" i="25"/>
  <c r="E54" i="74"/>
  <c r="N47" i="74"/>
  <c r="BI16" i="17"/>
  <c r="N8" i="74" s="1"/>
  <c r="E15" i="71"/>
  <c r="AC24" i="57"/>
  <c r="X19" i="23"/>
  <c r="W21" i="23"/>
  <c r="AF58" i="23"/>
  <c r="AE19" i="23"/>
  <c r="E5" i="160" l="1"/>
  <c r="BS16" i="17"/>
  <c r="E59" i="74"/>
  <c r="AB29" i="57"/>
  <c r="AC29" i="57" s="1"/>
  <c r="N48" i="74"/>
  <c r="AB21" i="24"/>
  <c r="AC21" i="24" s="1"/>
  <c r="K26" i="73" s="1"/>
  <c r="H26" i="73"/>
  <c r="J26" i="73" s="1"/>
  <c r="O8" i="25"/>
  <c r="AF19" i="23"/>
  <c r="AE21" i="23"/>
  <c r="L26" i="73" l="1"/>
  <c r="C20" i="25"/>
  <c r="E20" i="25" s="1"/>
  <c r="X9" i="25"/>
  <c r="BU16" i="17"/>
  <c r="N10" i="74" s="1"/>
  <c r="C22" i="74" s="1"/>
  <c r="E22" i="74" s="1"/>
  <c r="E60" i="74"/>
  <c r="E62" i="74" s="1"/>
  <c r="C20" i="74"/>
  <c r="E20" i="74" s="1"/>
  <c r="O30" i="25"/>
  <c r="C39" i="25" s="1"/>
  <c r="E39" i="25" s="1"/>
  <c r="D62" i="25" s="1"/>
  <c r="N30" i="74"/>
  <c r="N50" i="74"/>
  <c r="N53" i="25"/>
  <c r="E64" i="25"/>
  <c r="E12" i="160" l="1"/>
  <c r="D10" i="160"/>
  <c r="C62" i="25"/>
  <c r="O10" i="25"/>
  <c r="C37" i="74"/>
  <c r="C21" i="74"/>
  <c r="E21" i="74" s="1"/>
  <c r="E65" i="25"/>
  <c r="E13" i="160" l="1"/>
  <c r="C10" i="160"/>
  <c r="X11" i="25"/>
  <c r="C22" i="25"/>
  <c r="C59" i="74"/>
  <c r="H20" i="25"/>
  <c r="E37" i="74"/>
  <c r="E22" i="25" l="1"/>
  <c r="D59" i="74"/>
  <c r="C60" i="74"/>
  <c r="H22" i="25" l="1"/>
  <c r="C64" i="25"/>
  <c r="C12" i="160" l="1"/>
  <c r="N2" i="34"/>
  <c r="Q2" i="30"/>
  <c r="P2" i="28" l="1"/>
  <c r="R2" i="30"/>
  <c r="N3" i="34"/>
  <c r="Q3" i="30" l="1"/>
  <c r="P3" i="28"/>
  <c r="R2" i="32"/>
  <c r="S2" i="32" s="1"/>
  <c r="N4" i="34"/>
  <c r="Q4" i="30"/>
  <c r="S2" i="30"/>
  <c r="Q2" i="28"/>
  <c r="Q3" i="28" l="1"/>
  <c r="R3" i="30"/>
  <c r="S3" i="30" s="1"/>
  <c r="R3" i="32"/>
  <c r="S3" i="32" s="1"/>
  <c r="N5" i="34"/>
  <c r="Q5" i="30"/>
  <c r="P4" i="28"/>
  <c r="R4" i="30"/>
  <c r="R4" i="32" l="1"/>
  <c r="S4" i="32" s="1"/>
  <c r="Q4" i="28"/>
  <c r="P5" i="28"/>
  <c r="S4" i="30"/>
  <c r="N6" i="34"/>
  <c r="Q6" i="30"/>
  <c r="R5" i="30"/>
  <c r="R5" i="32" l="1"/>
  <c r="S5" i="32" s="1"/>
  <c r="R6" i="30"/>
  <c r="S5" i="30"/>
  <c r="P6" i="28"/>
  <c r="N7" i="34"/>
  <c r="Q7" i="30"/>
  <c r="Q5" i="28"/>
  <c r="P7" i="28" l="1"/>
  <c r="R6" i="32"/>
  <c r="S6" i="32" s="1"/>
  <c r="Q6" i="28"/>
  <c r="N8" i="34"/>
  <c r="R7" i="30"/>
  <c r="S6" i="30"/>
  <c r="Q7" i="28" l="1"/>
  <c r="Q8" i="30"/>
  <c r="R8" i="30" s="1"/>
  <c r="S8" i="30" s="1"/>
  <c r="R7" i="32"/>
  <c r="S7" i="32" s="1"/>
  <c r="S7" i="30"/>
  <c r="P8" i="28"/>
  <c r="N9" i="34"/>
  <c r="Q9" i="30"/>
  <c r="P9" i="28" l="1"/>
  <c r="R8" i="32"/>
  <c r="S8" i="32" s="1"/>
  <c r="N10" i="34"/>
  <c r="R9" i="30"/>
  <c r="Q8" i="28"/>
  <c r="Q9" i="28" l="1"/>
  <c r="P10" i="28"/>
  <c r="Q10" i="30"/>
  <c r="R10" i="30" s="1"/>
  <c r="R9" i="32"/>
  <c r="S9" i="32" s="1"/>
  <c r="N11" i="34"/>
  <c r="S9" i="30"/>
  <c r="Q10" i="28" l="1"/>
  <c r="S10" i="30"/>
  <c r="Q11" i="30"/>
  <c r="R11" i="30" s="1"/>
  <c r="P11" i="28"/>
  <c r="R10" i="32"/>
  <c r="S10" i="32" s="1"/>
  <c r="N12" i="34"/>
  <c r="Q11" i="28" l="1"/>
  <c r="S11" i="30"/>
  <c r="Q12" i="30"/>
  <c r="R12" i="30" s="1"/>
  <c r="P12" i="28"/>
  <c r="R11" i="32"/>
  <c r="S11" i="32" s="1"/>
  <c r="N13" i="34"/>
  <c r="Q12" i="28" l="1"/>
  <c r="S12" i="30"/>
  <c r="P13" i="28"/>
  <c r="Q13" i="28" s="1"/>
  <c r="Q13" i="30"/>
  <c r="R13" i="30" s="1"/>
  <c r="R12" i="32"/>
  <c r="S12" i="32" s="1"/>
  <c r="Q14" i="30"/>
  <c r="N14" i="34"/>
  <c r="S13" i="30" l="1"/>
  <c r="R13" i="32"/>
  <c r="S13" i="32" s="1"/>
  <c r="R14" i="30"/>
  <c r="P14" i="28"/>
  <c r="N15" i="34"/>
  <c r="Q15" i="30" l="1"/>
  <c r="P15" i="28"/>
  <c r="R14" i="32"/>
  <c r="S14" i="32" s="1"/>
  <c r="N16" i="34"/>
  <c r="Q16" i="30"/>
  <c r="Q14" i="28"/>
  <c r="S14" i="30"/>
  <c r="Q15" i="28" l="1"/>
  <c r="R15" i="30"/>
  <c r="S15" i="30" s="1"/>
  <c r="R15" i="32"/>
  <c r="S15" i="32" s="1"/>
  <c r="R16" i="30"/>
  <c r="N17" i="34"/>
  <c r="Q17" i="30"/>
  <c r="P16" i="28"/>
  <c r="S16" i="30" l="1"/>
  <c r="P17" i="28"/>
  <c r="Q17" i="28" s="1"/>
  <c r="R16" i="32"/>
  <c r="S16" i="32" s="1"/>
  <c r="R17" i="30"/>
  <c r="Q16" i="28"/>
  <c r="N18" i="34"/>
  <c r="Q18" i="30"/>
  <c r="R17" i="32" l="1"/>
  <c r="S17" i="32" s="1"/>
  <c r="S17" i="30"/>
  <c r="R18" i="30"/>
  <c r="P18" i="28"/>
  <c r="N19" i="34"/>
  <c r="S18" i="30" l="1"/>
  <c r="P19" i="28"/>
  <c r="Q19" i="30"/>
  <c r="R19" i="30" s="1"/>
  <c r="S19" i="30" s="1"/>
  <c r="R18" i="32"/>
  <c r="S18" i="32" s="1"/>
  <c r="Q18" i="28"/>
  <c r="N20" i="34"/>
  <c r="Q20" i="30"/>
  <c r="Q19" i="28" l="1"/>
  <c r="R19" i="32"/>
  <c r="S19" i="32" s="1"/>
  <c r="P20" i="28"/>
  <c r="N21" i="34"/>
  <c r="R20" i="30"/>
  <c r="Q21" i="30" l="1"/>
  <c r="R21" i="30" s="1"/>
  <c r="S21" i="30" s="1"/>
  <c r="P21" i="28"/>
  <c r="R20" i="32"/>
  <c r="S20" i="32" s="1"/>
  <c r="S20" i="30"/>
  <c r="N22" i="34"/>
  <c r="Q20" i="28"/>
  <c r="Q21" i="28" l="1"/>
  <c r="Q22" i="30"/>
  <c r="R22" i="30" s="1"/>
  <c r="S22" i="30" s="1"/>
  <c r="R21" i="32"/>
  <c r="S21" i="32" s="1"/>
  <c r="P22" i="28"/>
  <c r="N23" i="34"/>
  <c r="Q23" i="30" l="1"/>
  <c r="R23" i="30" s="1"/>
  <c r="S23" i="30" s="1"/>
  <c r="P23" i="28"/>
  <c r="Q23" i="28" s="1"/>
  <c r="R22" i="32"/>
  <c r="S22" i="32" s="1"/>
  <c r="N24" i="34"/>
  <c r="Q22" i="28"/>
  <c r="P24" i="28" l="1"/>
  <c r="Q24" i="28" s="1"/>
  <c r="Q24" i="30"/>
  <c r="R24" i="30" s="1"/>
  <c r="S24" i="30" s="1"/>
  <c r="R23" i="32"/>
  <c r="S23" i="32" s="1"/>
  <c r="N25" i="34"/>
  <c r="Q25" i="30" l="1"/>
  <c r="R25" i="30" s="1"/>
  <c r="S25" i="30" s="1"/>
  <c r="P25" i="28"/>
  <c r="Q25" i="28" s="1"/>
  <c r="R24" i="32"/>
  <c r="S24" i="32" s="1"/>
  <c r="N26" i="34"/>
  <c r="Q26" i="30"/>
  <c r="R25" i="32" l="1"/>
  <c r="S25" i="32" s="1"/>
  <c r="R26" i="30"/>
  <c r="P26" i="28"/>
  <c r="N27" i="34"/>
  <c r="Q27" i="30" l="1"/>
  <c r="P27" i="28"/>
  <c r="Q27" i="28" s="1"/>
  <c r="R26" i="32"/>
  <c r="S26" i="32" s="1"/>
  <c r="S26" i="30"/>
  <c r="Q26" i="28"/>
  <c r="N28" i="34"/>
  <c r="Q28" i="30"/>
  <c r="R27" i="30" l="1"/>
  <c r="S27" i="30" s="1"/>
  <c r="R27" i="32"/>
  <c r="S27" i="32" s="1"/>
  <c r="R28" i="30"/>
  <c r="S28" i="30" s="1"/>
  <c r="N29" i="34"/>
  <c r="Q29" i="30"/>
  <c r="P28" i="28"/>
  <c r="P29" i="28" l="1"/>
  <c r="Q29" i="28" s="1"/>
  <c r="R28" i="32"/>
  <c r="S28" i="32" s="1"/>
  <c r="R29" i="30"/>
  <c r="Q30" i="30"/>
  <c r="N30" i="34"/>
  <c r="Q28" i="28"/>
  <c r="R29" i="32" l="1"/>
  <c r="S29" i="32" s="1"/>
  <c r="R30" i="30"/>
  <c r="S30" i="30" s="1"/>
  <c r="S29" i="30"/>
  <c r="P30" i="28"/>
  <c r="N31" i="34"/>
  <c r="Q31" i="30"/>
  <c r="P31" i="28" l="1"/>
  <c r="Q31" i="28" s="1"/>
  <c r="R30" i="32"/>
  <c r="S30" i="32" s="1"/>
  <c r="R31" i="30"/>
  <c r="Q30" i="28"/>
  <c r="N32" i="34"/>
  <c r="Q32" i="30"/>
  <c r="R31" i="32" l="1"/>
  <c r="S31" i="32" s="1"/>
  <c r="R32" i="30"/>
  <c r="S32" i="30" s="1"/>
  <c r="P32" i="28"/>
  <c r="N33" i="34"/>
  <c r="S31" i="30"/>
  <c r="Q33" i="30" l="1"/>
  <c r="R33" i="30" s="1"/>
  <c r="S33" i="30" s="1"/>
  <c r="R32" i="32"/>
  <c r="S32" i="32" s="1"/>
  <c r="P33" i="28"/>
  <c r="Q33" i="28" s="1"/>
  <c r="N34" i="34"/>
  <c r="Q32" i="28"/>
  <c r="Q34" i="30" l="1"/>
  <c r="R34" i="30" s="1"/>
  <c r="S34" i="30" s="1"/>
  <c r="R33" i="32"/>
  <c r="S33" i="32" s="1"/>
  <c r="P34" i="28"/>
  <c r="N35" i="34"/>
  <c r="Q35" i="30" l="1"/>
  <c r="R35" i="30" s="1"/>
  <c r="S35" i="30" s="1"/>
  <c r="P35" i="28"/>
  <c r="Q35" i="28" s="1"/>
  <c r="R34" i="32"/>
  <c r="S34" i="32" s="1"/>
  <c r="N36" i="34"/>
  <c r="Q34" i="28"/>
  <c r="P36" i="28" l="1"/>
  <c r="Q36" i="28" s="1"/>
  <c r="Q36" i="30"/>
  <c r="R36" i="30" s="1"/>
  <c r="S36" i="30" s="1"/>
  <c r="R35" i="32"/>
  <c r="S35" i="32" s="1"/>
  <c r="N37" i="34"/>
  <c r="Q37" i="30" l="1"/>
  <c r="R37" i="30" s="1"/>
  <c r="S37" i="30" s="1"/>
  <c r="P37" i="28"/>
  <c r="Q37" i="28" s="1"/>
  <c r="R36" i="32"/>
  <c r="S36" i="32" s="1"/>
  <c r="N38" i="34"/>
  <c r="Q38" i="30"/>
  <c r="R37" i="32" l="1"/>
  <c r="S37" i="32" s="1"/>
  <c r="R38" i="30"/>
  <c r="P38" i="28"/>
  <c r="N39" i="34"/>
  <c r="Q39" i="30" l="1"/>
  <c r="P39" i="28"/>
  <c r="Q39" i="28" s="1"/>
  <c r="R38" i="32"/>
  <c r="S38" i="32" s="1"/>
  <c r="N40" i="34"/>
  <c r="Q40" i="30"/>
  <c r="Q38" i="28"/>
  <c r="S38" i="30"/>
  <c r="R39" i="30" l="1"/>
  <c r="S39" i="30" s="1"/>
  <c r="P40" i="28"/>
  <c r="R39" i="32"/>
  <c r="S39" i="32" s="1"/>
  <c r="R40" i="30"/>
  <c r="N41" i="34"/>
  <c r="Q41" i="30"/>
  <c r="Q40" i="28" l="1"/>
  <c r="R40" i="32"/>
  <c r="S40" i="32" s="1"/>
  <c r="R41" i="30"/>
  <c r="S41" i="30" s="1"/>
  <c r="S40" i="30"/>
  <c r="P41" i="28"/>
  <c r="N42" i="34"/>
  <c r="Q42" i="30"/>
  <c r="P42" i="28" l="1"/>
  <c r="R41" i="32"/>
  <c r="S41" i="32" s="1"/>
  <c r="R42" i="30"/>
  <c r="S42" i="30" s="1"/>
  <c r="N43" i="34"/>
  <c r="Q43" i="30"/>
  <c r="Q41" i="28"/>
  <c r="Q42" i="28" l="1"/>
  <c r="P43" i="28"/>
  <c r="Q43" i="28" s="1"/>
  <c r="R42" i="32"/>
  <c r="S42" i="32" s="1"/>
  <c r="R43" i="30"/>
  <c r="N44" i="34"/>
  <c r="Q44" i="30"/>
  <c r="P44" i="28" l="1"/>
  <c r="R43" i="32"/>
  <c r="S43" i="32" s="1"/>
  <c r="N45" i="34"/>
  <c r="Q45" i="30"/>
  <c r="S43" i="30"/>
  <c r="R44" i="30"/>
  <c r="S44" i="30" s="1"/>
  <c r="Q44" i="28" l="1"/>
  <c r="P45" i="28"/>
  <c r="Q45" i="28" s="1"/>
  <c r="R44" i="32"/>
  <c r="S44" i="32" s="1"/>
  <c r="R45" i="30"/>
  <c r="N46" i="34"/>
  <c r="Q46" i="30" l="1"/>
  <c r="R46" i="30" s="1"/>
  <c r="S46" i="30" s="1"/>
  <c r="P46" i="28"/>
  <c r="Q46" i="28" s="1"/>
  <c r="R45" i="32"/>
  <c r="S45" i="32" s="1"/>
  <c r="N47" i="34"/>
  <c r="S45" i="30"/>
  <c r="Q47" i="30" l="1"/>
  <c r="R47" i="30" s="1"/>
  <c r="S47" i="30" s="1"/>
  <c r="P47" i="28"/>
  <c r="Q47" i="28" s="1"/>
  <c r="R46" i="32"/>
  <c r="S46" i="32" s="1"/>
  <c r="N48" i="34"/>
  <c r="P48" i="28" l="1"/>
  <c r="Q48" i="28" s="1"/>
  <c r="Q48" i="30"/>
  <c r="R48" i="30" s="1"/>
  <c r="S48" i="30" s="1"/>
  <c r="R47" i="32"/>
  <c r="S47" i="32" s="1"/>
  <c r="N49" i="34"/>
  <c r="Q49" i="30" l="1"/>
  <c r="R49" i="30" s="1"/>
  <c r="S49" i="30" s="1"/>
  <c r="P49" i="28"/>
  <c r="Q49" i="28" s="1"/>
  <c r="R48" i="32"/>
  <c r="S48" i="32" s="1"/>
  <c r="N50" i="34"/>
  <c r="Q50" i="30"/>
  <c r="R49" i="32" l="1"/>
  <c r="S49" i="32" s="1"/>
  <c r="P50" i="28"/>
  <c r="N51" i="34"/>
  <c r="R50" i="30"/>
  <c r="P51" i="28" l="1"/>
  <c r="Q51" i="28" s="1"/>
  <c r="Q51" i="30"/>
  <c r="R50" i="32"/>
  <c r="S50" i="32" s="1"/>
  <c r="S50" i="30"/>
  <c r="N52" i="34"/>
  <c r="Q52" i="30"/>
  <c r="Q50" i="28"/>
  <c r="R51" i="30" l="1"/>
  <c r="S51" i="30" s="1"/>
  <c r="P52" i="28"/>
  <c r="R51" i="32"/>
  <c r="S51" i="32" s="1"/>
  <c r="N53" i="34"/>
  <c r="R52" i="30"/>
  <c r="Q52" i="28" l="1"/>
  <c r="Q53" i="30"/>
  <c r="R52" i="32"/>
  <c r="S52" i="32" s="1"/>
  <c r="S52" i="30"/>
  <c r="N54" i="34"/>
  <c r="Q54" i="30"/>
  <c r="P53" i="28"/>
  <c r="R53" i="30" l="1"/>
  <c r="S53" i="30" s="1"/>
  <c r="P54" i="28"/>
  <c r="Q54" i="28" s="1"/>
  <c r="R53" i="32"/>
  <c r="S53" i="32" s="1"/>
  <c r="N55" i="34"/>
  <c r="Q53" i="28"/>
  <c r="R54" i="30"/>
  <c r="Q55" i="30" l="1"/>
  <c r="R54" i="32"/>
  <c r="S54" i="32" s="1"/>
  <c r="N56" i="34"/>
  <c r="Q56" i="30"/>
  <c r="S54" i="30"/>
  <c r="P55" i="28"/>
  <c r="R55" i="30" l="1"/>
  <c r="S55" i="30" s="1"/>
  <c r="P56" i="28"/>
  <c r="Q56" i="28" s="1"/>
  <c r="R55" i="32"/>
  <c r="S55" i="32" s="1"/>
  <c r="Q55" i="28"/>
  <c r="R56" i="30"/>
  <c r="N57" i="34"/>
  <c r="Q57" i="30" l="1"/>
  <c r="R57" i="30" s="1"/>
  <c r="S57" i="30" s="1"/>
  <c r="P57" i="28"/>
  <c r="Q57" i="28" s="1"/>
  <c r="R56" i="32"/>
  <c r="S56" i="32" s="1"/>
  <c r="Q58" i="30"/>
  <c r="N58" i="34"/>
  <c r="S56" i="30"/>
  <c r="P58" i="28" l="1"/>
  <c r="Q58" i="28" s="1"/>
  <c r="R57" i="32"/>
  <c r="S57" i="32" s="1"/>
  <c r="R58" i="30"/>
  <c r="N59" i="34"/>
  <c r="Q59" i="30" l="1"/>
  <c r="R59" i="30" s="1"/>
  <c r="S59" i="30" s="1"/>
  <c r="P59" i="28"/>
  <c r="Q59" i="28" s="1"/>
  <c r="R58" i="32"/>
  <c r="S58" i="32" s="1"/>
  <c r="S58" i="30"/>
  <c r="N60" i="34"/>
  <c r="Q62" i="30" l="1"/>
  <c r="Q60" i="30"/>
  <c r="R60" i="30" s="1"/>
  <c r="S60" i="30" s="1"/>
  <c r="P60" i="28"/>
  <c r="Q60" i="28" s="1"/>
  <c r="R59" i="32"/>
  <c r="S59" i="32" s="1"/>
  <c r="Q61" i="30"/>
  <c r="R62" i="30" l="1"/>
  <c r="R62" i="32"/>
  <c r="S62" i="32" s="1"/>
  <c r="P62" i="28"/>
  <c r="R63" i="32"/>
  <c r="S63" i="32" s="1"/>
  <c r="P63" i="28"/>
  <c r="Q63" i="28" s="1"/>
  <c r="Q63" i="30"/>
  <c r="R63" i="30" s="1"/>
  <c r="S63" i="30" s="1"/>
  <c r="R60" i="32"/>
  <c r="S60" i="32" s="1"/>
  <c r="J4" i="15"/>
  <c r="J5" i="15"/>
  <c r="J6" i="15"/>
  <c r="J7" i="15"/>
  <c r="J8" i="15"/>
  <c r="N61" i="34"/>
  <c r="R61" i="30"/>
  <c r="P61" i="28"/>
  <c r="D4" i="15"/>
  <c r="D5" i="15"/>
  <c r="D6" i="15"/>
  <c r="D7" i="15"/>
  <c r="D8" i="15"/>
  <c r="E6" i="15" l="1"/>
  <c r="E5" i="15"/>
  <c r="E7" i="15"/>
  <c r="E4" i="15"/>
  <c r="E8" i="15"/>
  <c r="S62" i="30"/>
  <c r="Q62" i="28"/>
  <c r="Q64" i="30"/>
  <c r="R64" i="30" s="1"/>
  <c r="S64" i="30" s="1"/>
  <c r="P4" i="15"/>
  <c r="P5" i="15"/>
  <c r="P6" i="15"/>
  <c r="P7" i="15"/>
  <c r="P8" i="15"/>
  <c r="R61" i="32"/>
  <c r="S61" i="32" s="1"/>
  <c r="Q61" i="28"/>
  <c r="S61" i="30"/>
  <c r="N62" i="34"/>
  <c r="Q7" i="15" l="1"/>
  <c r="Q6" i="15"/>
  <c r="Q8" i="15"/>
  <c r="Q5" i="15"/>
  <c r="Q4" i="15"/>
  <c r="R64" i="32"/>
  <c r="S64" i="32" s="1"/>
  <c r="P64" i="28"/>
  <c r="R65" i="32"/>
  <c r="S65" i="32" s="1"/>
  <c r="Q65" i="30"/>
  <c r="R65" i="30" s="1"/>
  <c r="S65" i="30" s="1"/>
  <c r="P65" i="28"/>
  <c r="Q65" i="28" s="1"/>
  <c r="N63" i="34"/>
  <c r="Q64" i="28" l="1"/>
  <c r="R66" i="32"/>
  <c r="S66" i="32" s="1"/>
  <c r="Q66" i="30"/>
  <c r="P66" i="28"/>
  <c r="Q66" i="28" s="1"/>
  <c r="N64" i="34"/>
  <c r="R66" i="30" l="1"/>
  <c r="S66" i="30" s="1"/>
  <c r="Q67" i="30"/>
  <c r="R67" i="32"/>
  <c r="S67" i="32" s="1"/>
  <c r="P67" i="28"/>
  <c r="N65" i="34"/>
  <c r="Q67" i="28" l="1"/>
  <c r="R67" i="30"/>
  <c r="Q68" i="30"/>
  <c r="R68" i="30" s="1"/>
  <c r="S68" i="30" s="1"/>
  <c r="N66" i="34"/>
  <c r="S67" i="30" l="1"/>
  <c r="R68" i="32"/>
  <c r="S68" i="32" s="1"/>
  <c r="P68" i="28"/>
  <c r="Q69" i="30"/>
  <c r="R69" i="30" s="1"/>
  <c r="S69" i="30" s="1"/>
  <c r="R69" i="32"/>
  <c r="S69" i="32" s="1"/>
  <c r="P69" i="28"/>
  <c r="Q69" i="28" s="1"/>
  <c r="N67" i="34"/>
  <c r="Q68" i="28" l="1"/>
  <c r="R70" i="32"/>
  <c r="S70" i="32" s="1"/>
  <c r="P70" i="28"/>
  <c r="Q70" i="28" s="1"/>
  <c r="Q70" i="30"/>
  <c r="R70" i="30" s="1"/>
  <c r="S70" i="30" s="1"/>
  <c r="N68" i="34"/>
  <c r="R71" i="32" l="1"/>
  <c r="S71" i="32" s="1"/>
  <c r="Q71" i="30"/>
  <c r="R71" i="30" s="1"/>
  <c r="S71" i="30" s="1"/>
  <c r="P71" i="28"/>
  <c r="N69" i="34"/>
  <c r="Q71" i="28" l="1"/>
  <c r="R72" i="32"/>
  <c r="S72" i="32" s="1"/>
  <c r="Q72" i="30"/>
  <c r="R72" i="30" s="1"/>
  <c r="S72" i="30" s="1"/>
  <c r="P72" i="28"/>
  <c r="Q72" i="28" s="1"/>
  <c r="N70" i="34"/>
  <c r="R73" i="32" l="1"/>
  <c r="S73" i="32" s="1"/>
  <c r="Q73" i="30"/>
  <c r="R73" i="30" s="1"/>
  <c r="S73" i="30" s="1"/>
  <c r="P73" i="28"/>
  <c r="Q73" i="28" s="1"/>
  <c r="N71" i="34"/>
  <c r="Q74" i="30" l="1"/>
  <c r="N72" i="34"/>
  <c r="Q75" i="30" l="1"/>
  <c r="N73" i="34"/>
  <c r="Q76" i="30" l="1"/>
  <c r="N74" i="34"/>
  <c r="Q77" i="30" l="1"/>
  <c r="N75" i="34"/>
  <c r="Q78" i="30" l="1"/>
  <c r="N76" i="34"/>
  <c r="Q79" i="30" l="1"/>
  <c r="N77" i="34"/>
  <c r="Q80" i="30" l="1"/>
  <c r="N78" i="34"/>
  <c r="Q81" i="30" l="1"/>
  <c r="N79" i="34"/>
  <c r="Q82" i="30" l="1"/>
  <c r="N80" i="34"/>
  <c r="Q83" i="30" l="1"/>
  <c r="N81" i="34"/>
  <c r="Q84" i="30" l="1"/>
  <c r="N82" i="34"/>
  <c r="Q85" i="30" l="1"/>
  <c r="N83" i="34"/>
  <c r="Q86" i="30" l="1"/>
  <c r="N84" i="34"/>
  <c r="N85" i="34" l="1"/>
  <c r="Q87" i="30"/>
  <c r="Q88" i="30" l="1"/>
  <c r="N86" i="34"/>
  <c r="F7" i="57"/>
  <c r="N87" i="34" l="1"/>
  <c r="Q89" i="30"/>
  <c r="F6" i="57"/>
  <c r="F8" i="57"/>
  <c r="Q90" i="30" l="1"/>
  <c r="N88" i="34"/>
  <c r="F9" i="57"/>
  <c r="N89" i="34" l="1"/>
  <c r="Q91" i="30"/>
  <c r="Q92" i="30" l="1"/>
  <c r="N90" i="34"/>
  <c r="N91" i="34" l="1"/>
  <c r="Q93" i="30"/>
  <c r="Q94" i="30" l="1"/>
  <c r="N92" i="34"/>
  <c r="N93" i="34" l="1"/>
  <c r="Q95" i="30"/>
  <c r="N94" i="34" l="1"/>
  <c r="Q96" i="30"/>
  <c r="K4" i="15"/>
  <c r="K5" i="15"/>
  <c r="K6" i="15"/>
  <c r="K7" i="15"/>
  <c r="K8" i="15"/>
  <c r="Q97" i="30" l="1"/>
  <c r="N95" i="34"/>
  <c r="N96" i="34" l="1"/>
  <c r="Q98" i="30"/>
  <c r="Q99" i="30" l="1"/>
  <c r="N97" i="34"/>
  <c r="N98" i="34" l="1"/>
  <c r="Q100" i="30"/>
  <c r="Q101" i="30" l="1"/>
  <c r="N99" i="34"/>
  <c r="Q102" i="30" l="1"/>
  <c r="N100" i="34"/>
  <c r="N101" i="34" l="1"/>
  <c r="Q103" i="30"/>
  <c r="Q104" i="30" l="1"/>
  <c r="N102" i="34"/>
  <c r="N103" i="34" l="1"/>
  <c r="Q105" i="30"/>
  <c r="N104" i="34" l="1"/>
  <c r="Q106" i="30"/>
  <c r="Q107" i="30" l="1"/>
  <c r="N105" i="34"/>
  <c r="N106" i="34" l="1"/>
  <c r="Q108" i="30"/>
  <c r="Q109" i="30" l="1"/>
  <c r="N107" i="34"/>
  <c r="J9" i="15" l="1"/>
  <c r="J10" i="15"/>
  <c r="J11" i="15"/>
  <c r="J12" i="15"/>
  <c r="P9" i="15"/>
  <c r="P10" i="15"/>
  <c r="P11" i="15"/>
  <c r="P12" i="15"/>
  <c r="D9" i="15"/>
  <c r="D10" i="15"/>
  <c r="D11" i="15"/>
  <c r="D12" i="15"/>
  <c r="N108" i="34"/>
  <c r="Q9" i="15" l="1"/>
  <c r="K9" i="15"/>
  <c r="E9" i="15"/>
  <c r="N109" i="34"/>
  <c r="N110" i="34" l="1"/>
  <c r="N111" i="34" l="1"/>
  <c r="N112" i="34" l="1"/>
  <c r="N113" i="34" l="1"/>
  <c r="N114" i="34" l="1"/>
  <c r="N115" i="34" l="1"/>
  <c r="N122" i="34" l="1"/>
  <c r="N123" i="34" l="1"/>
  <c r="N124" i="34" l="1"/>
  <c r="N125" i="34" l="1"/>
  <c r="N126" i="34" l="1"/>
  <c r="N127" i="34" l="1"/>
  <c r="N128" i="34" l="1"/>
  <c r="N129" i="34" l="1"/>
  <c r="N130" i="34" l="1"/>
  <c r="N131" i="34" l="1"/>
  <c r="N132" i="34" l="1"/>
  <c r="N133" i="34" l="1"/>
  <c r="N134" i="34" l="1"/>
  <c r="N135" i="34" l="1"/>
  <c r="N136" i="34" l="1"/>
  <c r="N137" i="34" l="1"/>
  <c r="N138" i="34" l="1"/>
  <c r="N139" i="34" l="1"/>
  <c r="N140" i="34" l="1"/>
  <c r="N141" i="34" l="1"/>
  <c r="N142" i="34" l="1"/>
  <c r="N143" i="34" l="1"/>
  <c r="N144" i="34" l="1"/>
  <c r="N145" i="34"/>
  <c r="K12" i="72" l="1"/>
  <c r="U12" i="72" s="1"/>
  <c r="P12" i="72" l="1"/>
  <c r="S12" i="72"/>
  <c r="Q12" i="72"/>
  <c r="R12" i="72"/>
  <c r="T12" i="72"/>
  <c r="U26" i="72" l="1"/>
  <c r="T26" i="72"/>
  <c r="R26" i="72"/>
  <c r="Q26" i="72"/>
  <c r="E69" i="72"/>
  <c r="S26" i="72"/>
  <c r="G69" i="72"/>
  <c r="F69" i="72"/>
  <c r="D69" i="72"/>
  <c r="P26" i="72"/>
  <c r="J69" i="72" l="1"/>
  <c r="Q83" i="72" s="1"/>
  <c r="R83" i="72" l="1"/>
  <c r="S83" i="72"/>
  <c r="O83" i="72"/>
  <c r="P83" i="72"/>
  <c r="U83" i="72" l="1"/>
  <c r="L128" i="69" l="1"/>
  <c r="H128" i="69" l="1"/>
  <c r="G128" i="69"/>
  <c r="I128" i="69" l="1"/>
  <c r="J128" i="69" l="1"/>
  <c r="K128" i="69" l="1"/>
  <c r="S5" i="77" l="1"/>
  <c r="S4" i="77"/>
  <c r="S7" i="76"/>
  <c r="S6" i="77"/>
  <c r="S6" i="76"/>
  <c r="O18" i="77"/>
  <c r="F30" i="77"/>
  <c r="N20" i="77"/>
  <c r="E32" i="77"/>
  <c r="S8" i="77"/>
  <c r="N18" i="77"/>
  <c r="E30" i="77"/>
  <c r="N17" i="77"/>
  <c r="E29" i="77"/>
  <c r="N16" i="77"/>
  <c r="E28" i="77"/>
  <c r="O15" i="77"/>
  <c r="F27" i="77"/>
  <c r="O20" i="77"/>
  <c r="F32" i="77"/>
  <c r="O16" i="77"/>
  <c r="F28" i="77"/>
  <c r="O14" i="77"/>
  <c r="F26" i="77"/>
  <c r="N15" i="77"/>
  <c r="E27" i="77"/>
  <c r="S7" i="77"/>
  <c r="O17" i="77"/>
  <c r="F29" i="77"/>
  <c r="N14" i="77"/>
  <c r="E26" i="77"/>
  <c r="O19" i="77"/>
  <c r="F31" i="77"/>
  <c r="N19" i="77"/>
  <c r="E31" i="77"/>
  <c r="S2" i="77"/>
  <c r="S2" i="76"/>
  <c r="S8" i="76"/>
  <c r="O21" i="76"/>
  <c r="F33" i="76"/>
  <c r="O19" i="76"/>
  <c r="F31" i="76"/>
  <c r="N17" i="76"/>
  <c r="E29" i="76"/>
  <c r="N18" i="76"/>
  <c r="E30" i="76"/>
  <c r="N19" i="76"/>
  <c r="E31" i="76"/>
  <c r="O18" i="76"/>
  <c r="F30" i="76"/>
  <c r="N14" i="76"/>
  <c r="E26" i="76"/>
  <c r="N21" i="76"/>
  <c r="E33" i="76"/>
  <c r="N16" i="76"/>
  <c r="E28" i="76"/>
  <c r="S5" i="76"/>
  <c r="N15" i="76"/>
  <c r="E27" i="76"/>
  <c r="O14" i="76"/>
  <c r="F26" i="76"/>
  <c r="S4" i="76"/>
  <c r="O16" i="76"/>
  <c r="F28" i="76"/>
  <c r="O15" i="76"/>
  <c r="F27" i="76"/>
  <c r="Q5" i="34"/>
  <c r="S3" i="76"/>
  <c r="O20" i="76"/>
  <c r="F32" i="76"/>
  <c r="S9" i="76"/>
  <c r="N20" i="76"/>
  <c r="E32" i="76"/>
  <c r="O17" i="76"/>
  <c r="F29" i="76"/>
  <c r="O16" i="75"/>
  <c r="R7" i="75"/>
  <c r="O25" i="75"/>
  <c r="O20" i="75"/>
  <c r="R6" i="75"/>
  <c r="R12" i="75"/>
  <c r="O17" i="75"/>
  <c r="R8" i="75"/>
  <c r="O19" i="75"/>
  <c r="R4" i="75"/>
  <c r="O15" i="75"/>
  <c r="R9" i="75"/>
  <c r="O21" i="75"/>
  <c r="O23" i="75"/>
  <c r="R11" i="75"/>
  <c r="O14" i="75"/>
  <c r="R10" i="75"/>
  <c r="R2" i="75"/>
  <c r="R3" i="75"/>
  <c r="O24" i="75"/>
  <c r="O18" i="75"/>
  <c r="R13" i="75"/>
  <c r="R5" i="75"/>
  <c r="O22" i="75"/>
  <c r="Q2" i="34"/>
  <c r="Q10" i="34"/>
  <c r="E33" i="34"/>
  <c r="L21" i="34"/>
  <c r="Q12" i="34"/>
  <c r="Q9" i="34"/>
  <c r="E35" i="34"/>
  <c r="L23" i="34"/>
  <c r="E36" i="34"/>
  <c r="L24" i="34"/>
  <c r="Q13" i="34"/>
  <c r="Q11" i="34"/>
  <c r="Q3" i="34"/>
  <c r="E37" i="34"/>
  <c r="L25" i="34"/>
  <c r="E34" i="34"/>
  <c r="L22" i="34"/>
  <c r="Q4" i="34"/>
  <c r="F29" i="34"/>
  <c r="M17" i="34"/>
  <c r="E27" i="34"/>
  <c r="L15" i="34"/>
  <c r="E30" i="34"/>
  <c r="L18" i="34"/>
  <c r="E31" i="34"/>
  <c r="L19" i="34"/>
  <c r="E28" i="34"/>
  <c r="L16" i="34"/>
  <c r="F26" i="34"/>
  <c r="M14" i="34"/>
  <c r="F28" i="34"/>
  <c r="M16" i="34"/>
  <c r="E32" i="34"/>
  <c r="L20" i="34"/>
  <c r="Q7" i="34"/>
  <c r="Q6" i="34"/>
  <c r="E26" i="34"/>
  <c r="L14" i="34"/>
  <c r="E29" i="34"/>
  <c r="L17" i="34"/>
  <c r="Q8" i="34"/>
  <c r="F27" i="34"/>
  <c r="M15" i="34"/>
  <c r="K17" i="38"/>
  <c r="E29" i="38"/>
  <c r="O4" i="38"/>
  <c r="O2" i="38"/>
  <c r="O3" i="38"/>
  <c r="O5" i="38"/>
  <c r="E27" i="38"/>
  <c r="E28" i="38"/>
  <c r="E26" i="38"/>
  <c r="K26" i="38" s="1"/>
  <c r="S20" i="77" l="1"/>
  <c r="S19" i="76"/>
  <c r="S16" i="77"/>
  <c r="S14" i="77"/>
  <c r="S17" i="77"/>
  <c r="S18" i="77"/>
  <c r="S19" i="77"/>
  <c r="O29" i="77"/>
  <c r="F41" i="77"/>
  <c r="O27" i="77"/>
  <c r="F39" i="77"/>
  <c r="O26" i="77"/>
  <c r="F38" i="77"/>
  <c r="O28" i="77"/>
  <c r="F40" i="77"/>
  <c r="O30" i="77"/>
  <c r="F42" i="77"/>
  <c r="N28" i="77"/>
  <c r="E40" i="77"/>
  <c r="N29" i="77"/>
  <c r="E41" i="77"/>
  <c r="N27" i="77"/>
  <c r="E39" i="77"/>
  <c r="S15" i="77"/>
  <c r="N26" i="77"/>
  <c r="E38" i="77"/>
  <c r="N30" i="77"/>
  <c r="E42" i="77"/>
  <c r="N32" i="77"/>
  <c r="E44" i="77"/>
  <c r="AC47" i="17"/>
  <c r="O32" i="77"/>
  <c r="F44" i="77"/>
  <c r="O31" i="77"/>
  <c r="F43" i="77"/>
  <c r="S14" i="76"/>
  <c r="N31" i="77"/>
  <c r="E43" i="77"/>
  <c r="S21" i="76"/>
  <c r="R47" i="17"/>
  <c r="O28" i="76"/>
  <c r="F40" i="76"/>
  <c r="O29" i="76"/>
  <c r="F41" i="76"/>
  <c r="S18" i="76"/>
  <c r="O27" i="76"/>
  <c r="F39" i="76"/>
  <c r="N31" i="76"/>
  <c r="E43" i="76"/>
  <c r="O26" i="76"/>
  <c r="F38" i="76"/>
  <c r="N29" i="76"/>
  <c r="E41" i="76"/>
  <c r="N32" i="76"/>
  <c r="E44" i="76"/>
  <c r="S15" i="76"/>
  <c r="S17" i="76"/>
  <c r="N33" i="76"/>
  <c r="E45" i="76"/>
  <c r="O30" i="76"/>
  <c r="F42" i="76"/>
  <c r="N30" i="76"/>
  <c r="E42" i="76"/>
  <c r="N27" i="76"/>
  <c r="E39" i="76"/>
  <c r="S20" i="76"/>
  <c r="O31" i="76"/>
  <c r="F43" i="76"/>
  <c r="N28" i="76"/>
  <c r="E40" i="76"/>
  <c r="N26" i="76"/>
  <c r="E38" i="76"/>
  <c r="S16" i="76"/>
  <c r="O33" i="76"/>
  <c r="F45" i="76"/>
  <c r="O32" i="76"/>
  <c r="F44" i="76"/>
  <c r="O30" i="75"/>
  <c r="N18" i="75"/>
  <c r="R18" i="75" s="1"/>
  <c r="O37" i="75"/>
  <c r="N21" i="75"/>
  <c r="R21" i="75" s="1"/>
  <c r="R14" i="75"/>
  <c r="N16" i="75"/>
  <c r="R16" i="75" s="1"/>
  <c r="O29" i="75"/>
  <c r="O35" i="75"/>
  <c r="O34" i="75"/>
  <c r="G47" i="17"/>
  <c r="N19" i="75"/>
  <c r="R19" i="75" s="1"/>
  <c r="N23" i="75"/>
  <c r="R23" i="75" s="1"/>
  <c r="O27" i="75"/>
  <c r="N22" i="75"/>
  <c r="R22" i="75" s="1"/>
  <c r="O31" i="75"/>
  <c r="N25" i="75"/>
  <c r="R25" i="75" s="1"/>
  <c r="N24" i="75"/>
  <c r="R24" i="75" s="1"/>
  <c r="O28" i="75"/>
  <c r="O36" i="75"/>
  <c r="O33" i="75"/>
  <c r="O32" i="75"/>
  <c r="N15" i="75"/>
  <c r="R15" i="75" s="1"/>
  <c r="N17" i="75"/>
  <c r="R17" i="75" s="1"/>
  <c r="O26" i="75"/>
  <c r="N20" i="75"/>
  <c r="R20" i="75" s="1"/>
  <c r="M26" i="36"/>
  <c r="L26" i="36"/>
  <c r="E49" i="34"/>
  <c r="L37" i="34"/>
  <c r="F36" i="34"/>
  <c r="M24" i="34"/>
  <c r="Q24" i="34" s="1"/>
  <c r="R5" i="17"/>
  <c r="T5" i="17" s="1"/>
  <c r="V5" i="17" s="1"/>
  <c r="F37" i="34"/>
  <c r="M25" i="34"/>
  <c r="Q25" i="34" s="1"/>
  <c r="E48" i="34"/>
  <c r="L36" i="34"/>
  <c r="F33" i="34"/>
  <c r="M21" i="34"/>
  <c r="Q21" i="34" s="1"/>
  <c r="Q17" i="34"/>
  <c r="E45" i="34"/>
  <c r="L33" i="34"/>
  <c r="E46" i="34"/>
  <c r="L34" i="34"/>
  <c r="E47" i="34"/>
  <c r="L35" i="34"/>
  <c r="F35" i="34"/>
  <c r="M23" i="34"/>
  <c r="Q23" i="34" s="1"/>
  <c r="F34" i="34"/>
  <c r="M22" i="34"/>
  <c r="Q22" i="34" s="1"/>
  <c r="F40" i="34"/>
  <c r="M28" i="34"/>
  <c r="E40" i="34"/>
  <c r="L28" i="34"/>
  <c r="F38" i="34"/>
  <c r="M26" i="34"/>
  <c r="Q14" i="34"/>
  <c r="E38" i="34"/>
  <c r="L26" i="34"/>
  <c r="E42" i="34"/>
  <c r="L30" i="34"/>
  <c r="F32" i="34"/>
  <c r="M20" i="34"/>
  <c r="Q20" i="34" s="1"/>
  <c r="E43" i="34"/>
  <c r="L31" i="34"/>
  <c r="F39" i="34"/>
  <c r="M27" i="34"/>
  <c r="E39" i="34"/>
  <c r="L27" i="34"/>
  <c r="E41" i="34"/>
  <c r="L29" i="34"/>
  <c r="Q15" i="34"/>
  <c r="F31" i="34"/>
  <c r="M19" i="34"/>
  <c r="Q19" i="34" s="1"/>
  <c r="F41" i="34"/>
  <c r="M29" i="34"/>
  <c r="Q16" i="34"/>
  <c r="F30" i="34"/>
  <c r="M18" i="34"/>
  <c r="Q18" i="34" s="1"/>
  <c r="E44" i="34"/>
  <c r="L32" i="34"/>
  <c r="K27" i="38"/>
  <c r="E39" i="38"/>
  <c r="L17" i="38"/>
  <c r="O17" i="38" s="1"/>
  <c r="F29" i="38"/>
  <c r="O15" i="38"/>
  <c r="F27" i="38"/>
  <c r="O14" i="38"/>
  <c r="F26" i="38"/>
  <c r="G5" i="17"/>
  <c r="I5" i="17" s="1"/>
  <c r="K5" i="17" s="1"/>
  <c r="L16" i="38"/>
  <c r="O16" i="38" s="1"/>
  <c r="F28" i="38"/>
  <c r="E38" i="38"/>
  <c r="K29" i="38"/>
  <c r="E41" i="38"/>
  <c r="K28" i="38"/>
  <c r="E40" i="38"/>
  <c r="Q26" i="36" l="1"/>
  <c r="AC5" i="17"/>
  <c r="AE5" i="17" s="1"/>
  <c r="AC48" i="17"/>
  <c r="S30" i="76"/>
  <c r="S27" i="77"/>
  <c r="S29" i="76"/>
  <c r="S29" i="77"/>
  <c r="S27" i="76"/>
  <c r="S28" i="77"/>
  <c r="AE47" i="17"/>
  <c r="N38" i="77"/>
  <c r="E50" i="77"/>
  <c r="O39" i="77"/>
  <c r="F51" i="77"/>
  <c r="N41" i="77"/>
  <c r="E53" i="77"/>
  <c r="O42" i="77"/>
  <c r="F54" i="77"/>
  <c r="S30" i="77"/>
  <c r="S26" i="77"/>
  <c r="R48" i="17"/>
  <c r="O40" i="77"/>
  <c r="F52" i="77"/>
  <c r="N44" i="77"/>
  <c r="E56" i="77"/>
  <c r="S32" i="77"/>
  <c r="N42" i="77"/>
  <c r="E54" i="77"/>
  <c r="N43" i="77"/>
  <c r="E55" i="77"/>
  <c r="O41" i="77"/>
  <c r="F53" i="77"/>
  <c r="O43" i="77"/>
  <c r="F55" i="77"/>
  <c r="N40" i="77"/>
  <c r="E52" i="77"/>
  <c r="O44" i="77"/>
  <c r="F56" i="77"/>
  <c r="O38" i="77"/>
  <c r="F50" i="77"/>
  <c r="S28" i="76"/>
  <c r="S31" i="77"/>
  <c r="N39" i="77"/>
  <c r="E51" i="77"/>
  <c r="T47" i="17"/>
  <c r="C4" i="74" s="1"/>
  <c r="S32" i="76"/>
  <c r="O45" i="76"/>
  <c r="F57" i="76"/>
  <c r="O42" i="76"/>
  <c r="F54" i="76"/>
  <c r="N42" i="76"/>
  <c r="E54" i="76"/>
  <c r="O39" i="76"/>
  <c r="F51" i="76"/>
  <c r="N45" i="76"/>
  <c r="E57" i="76"/>
  <c r="N43" i="76"/>
  <c r="E55" i="76"/>
  <c r="S31" i="76"/>
  <c r="S33" i="76"/>
  <c r="O40" i="76"/>
  <c r="F52" i="76"/>
  <c r="N41" i="76"/>
  <c r="E53" i="76"/>
  <c r="O38" i="76"/>
  <c r="F50" i="76"/>
  <c r="N39" i="76"/>
  <c r="E51" i="76"/>
  <c r="N38" i="76"/>
  <c r="E50" i="76"/>
  <c r="O43" i="76"/>
  <c r="F55" i="76"/>
  <c r="O44" i="76"/>
  <c r="F56" i="76"/>
  <c r="S26" i="76"/>
  <c r="O41" i="76"/>
  <c r="F53" i="76"/>
  <c r="N40" i="76"/>
  <c r="E52" i="76"/>
  <c r="N44" i="76"/>
  <c r="E56" i="76"/>
  <c r="O43" i="75"/>
  <c r="O44" i="75"/>
  <c r="G48" i="17"/>
  <c r="O40" i="75"/>
  <c r="N31" i="75"/>
  <c r="R31" i="75" s="1"/>
  <c r="O49" i="75"/>
  <c r="O41" i="75"/>
  <c r="O39" i="75"/>
  <c r="N29" i="75"/>
  <c r="R29" i="75" s="1"/>
  <c r="N34" i="75"/>
  <c r="R34" i="75" s="1"/>
  <c r="O45" i="75"/>
  <c r="N26" i="75"/>
  <c r="R26" i="75" s="1"/>
  <c r="N33" i="75"/>
  <c r="R33" i="75" s="1"/>
  <c r="I47" i="17"/>
  <c r="N30" i="75"/>
  <c r="R30" i="75" s="1"/>
  <c r="O47" i="75"/>
  <c r="N27" i="75"/>
  <c r="R27" i="75" s="1"/>
  <c r="O48" i="75"/>
  <c r="N35" i="75"/>
  <c r="R35" i="75" s="1"/>
  <c r="N32" i="75"/>
  <c r="R32" i="75" s="1"/>
  <c r="Q28" i="34"/>
  <c r="O38" i="75"/>
  <c r="N37" i="75"/>
  <c r="R37" i="75" s="1"/>
  <c r="O46" i="75"/>
  <c r="O42" i="75"/>
  <c r="N28" i="75"/>
  <c r="R28" i="75" s="1"/>
  <c r="N36" i="75"/>
  <c r="R36" i="75" s="1"/>
  <c r="Q26" i="34"/>
  <c r="L38" i="36"/>
  <c r="M38" i="36"/>
  <c r="Q27" i="34"/>
  <c r="F47" i="34"/>
  <c r="M35" i="34"/>
  <c r="Q35" i="34" s="1"/>
  <c r="E59" i="34"/>
  <c r="L47" i="34"/>
  <c r="F48" i="34"/>
  <c r="M36" i="34"/>
  <c r="Q36" i="34" s="1"/>
  <c r="E57" i="34"/>
  <c r="L45" i="34"/>
  <c r="E61" i="34"/>
  <c r="L49" i="34"/>
  <c r="F45" i="34"/>
  <c r="M33" i="34"/>
  <c r="Q33" i="34" s="1"/>
  <c r="F46" i="34"/>
  <c r="M34" i="34"/>
  <c r="Q34" i="34" s="1"/>
  <c r="F49" i="34"/>
  <c r="M37" i="34"/>
  <c r="Q37" i="34" s="1"/>
  <c r="E58" i="34"/>
  <c r="L46" i="34"/>
  <c r="E60" i="34"/>
  <c r="L48" i="34"/>
  <c r="F44" i="34"/>
  <c r="M32" i="34"/>
  <c r="Q32" i="34" s="1"/>
  <c r="F53" i="34"/>
  <c r="M41" i="34"/>
  <c r="E54" i="34"/>
  <c r="L42" i="34"/>
  <c r="E50" i="34"/>
  <c r="L38" i="34"/>
  <c r="E53" i="34"/>
  <c r="L41" i="34"/>
  <c r="F51" i="34"/>
  <c r="M39" i="34"/>
  <c r="F43" i="34"/>
  <c r="M31" i="34"/>
  <c r="Q31" i="34" s="1"/>
  <c r="E52" i="34"/>
  <c r="L40" i="34"/>
  <c r="F42" i="34"/>
  <c r="M30" i="34"/>
  <c r="Q30" i="34" s="1"/>
  <c r="E55" i="34"/>
  <c r="L43" i="34"/>
  <c r="R6" i="17"/>
  <c r="T6" i="17" s="1"/>
  <c r="V6" i="17" s="1"/>
  <c r="Q29" i="34"/>
  <c r="E51" i="34"/>
  <c r="L39" i="34"/>
  <c r="F50" i="34"/>
  <c r="M38" i="34"/>
  <c r="E56" i="34"/>
  <c r="L44" i="34"/>
  <c r="F52" i="34"/>
  <c r="M40" i="34"/>
  <c r="K38" i="38"/>
  <c r="E50" i="38"/>
  <c r="L28" i="38"/>
  <c r="O28" i="38" s="1"/>
  <c r="F40" i="38"/>
  <c r="L26" i="38"/>
  <c r="O26" i="38" s="1"/>
  <c r="F38" i="38"/>
  <c r="K41" i="38"/>
  <c r="E53" i="38"/>
  <c r="G6" i="17"/>
  <c r="I6" i="17" s="1"/>
  <c r="K6" i="17" s="1"/>
  <c r="L27" i="38"/>
  <c r="O27" i="38" s="1"/>
  <c r="F39" i="38"/>
  <c r="L29" i="38"/>
  <c r="O29" i="38" s="1"/>
  <c r="F41" i="38"/>
  <c r="K40" i="38"/>
  <c r="E52" i="38"/>
  <c r="K39" i="38"/>
  <c r="E51" i="38"/>
  <c r="C5" i="74" l="1"/>
  <c r="Q38" i="36"/>
  <c r="C3" i="74"/>
  <c r="K47" i="17"/>
  <c r="V47" i="17"/>
  <c r="T48" i="17"/>
  <c r="D4" i="74" s="1"/>
  <c r="S39" i="77"/>
  <c r="AE48" i="17"/>
  <c r="S38" i="76"/>
  <c r="S38" i="77"/>
  <c r="S40" i="76"/>
  <c r="AC49" i="17"/>
  <c r="S41" i="76"/>
  <c r="O55" i="77"/>
  <c r="F67" i="77"/>
  <c r="O53" i="77"/>
  <c r="F65" i="77"/>
  <c r="N51" i="77"/>
  <c r="E63" i="77"/>
  <c r="O51" i="77"/>
  <c r="F63" i="77"/>
  <c r="N50" i="77"/>
  <c r="E62" i="77"/>
  <c r="N52" i="77"/>
  <c r="E64" i="77"/>
  <c r="N55" i="77"/>
  <c r="E67" i="77"/>
  <c r="S43" i="77"/>
  <c r="N54" i="77"/>
  <c r="E66" i="77"/>
  <c r="N56" i="77"/>
  <c r="E68" i="77"/>
  <c r="O56" i="77"/>
  <c r="F68" i="77"/>
  <c r="S40" i="77"/>
  <c r="O54" i="77"/>
  <c r="F66" i="77"/>
  <c r="S41" i="77"/>
  <c r="S42" i="77"/>
  <c r="O50" i="77"/>
  <c r="F62" i="77"/>
  <c r="S44" i="77"/>
  <c r="AG47" i="17"/>
  <c r="N53" i="77"/>
  <c r="E65" i="77"/>
  <c r="S45" i="76"/>
  <c r="O52" i="77"/>
  <c r="F64" i="77"/>
  <c r="S43" i="76"/>
  <c r="S39" i="76"/>
  <c r="R49" i="17"/>
  <c r="N56" i="76"/>
  <c r="E68" i="76"/>
  <c r="N53" i="76"/>
  <c r="E65" i="76"/>
  <c r="S42" i="76"/>
  <c r="N52" i="76"/>
  <c r="E64" i="76"/>
  <c r="O52" i="76"/>
  <c r="F64" i="76"/>
  <c r="N55" i="76"/>
  <c r="E67" i="76"/>
  <c r="O51" i="76"/>
  <c r="F63" i="76"/>
  <c r="O50" i="76"/>
  <c r="F62" i="76"/>
  <c r="O54" i="76"/>
  <c r="F66" i="76"/>
  <c r="O57" i="76"/>
  <c r="F69" i="76"/>
  <c r="N51" i="76"/>
  <c r="E63" i="76"/>
  <c r="O53" i="76"/>
  <c r="F65" i="76"/>
  <c r="O55" i="76"/>
  <c r="F67" i="76"/>
  <c r="N57" i="76"/>
  <c r="E69" i="76"/>
  <c r="N54" i="76"/>
  <c r="E66" i="76"/>
  <c r="N50" i="76"/>
  <c r="E62" i="76"/>
  <c r="S44" i="76"/>
  <c r="O56" i="76"/>
  <c r="F68" i="76"/>
  <c r="O59" i="75"/>
  <c r="O61" i="75"/>
  <c r="O50" i="75"/>
  <c r="N45" i="75"/>
  <c r="R45" i="75" s="1"/>
  <c r="G49" i="17"/>
  <c r="N47" i="75"/>
  <c r="R47" i="75" s="1"/>
  <c r="O57" i="75"/>
  <c r="O58" i="75"/>
  <c r="N42" i="75"/>
  <c r="R42" i="75" s="1"/>
  <c r="I48" i="17"/>
  <c r="D3" i="74" s="1"/>
  <c r="O53" i="75"/>
  <c r="N38" i="75"/>
  <c r="R38" i="75" s="1"/>
  <c r="O60" i="75"/>
  <c r="N46" i="75"/>
  <c r="R46" i="75" s="1"/>
  <c r="O56" i="75"/>
  <c r="N43" i="75"/>
  <c r="R43" i="75" s="1"/>
  <c r="N44" i="75"/>
  <c r="R44" i="75" s="1"/>
  <c r="N40" i="75"/>
  <c r="R40" i="75" s="1"/>
  <c r="N49" i="75"/>
  <c r="R49" i="75" s="1"/>
  <c r="N39" i="75"/>
  <c r="R39" i="75" s="1"/>
  <c r="N41" i="75"/>
  <c r="R41" i="75" s="1"/>
  <c r="O55" i="75"/>
  <c r="O51" i="75"/>
  <c r="O52" i="75"/>
  <c r="N48" i="75"/>
  <c r="R48" i="75" s="1"/>
  <c r="O54" i="75"/>
  <c r="AC6" i="17"/>
  <c r="AE6" i="17" s="1"/>
  <c r="C6" i="57" s="1"/>
  <c r="D6" i="57" s="1"/>
  <c r="M50" i="36"/>
  <c r="C18" i="57"/>
  <c r="D18" i="57" s="1"/>
  <c r="C5" i="57"/>
  <c r="D5" i="57" s="1"/>
  <c r="AG5" i="17"/>
  <c r="M5" i="24" s="1"/>
  <c r="L50" i="36"/>
  <c r="F57" i="34"/>
  <c r="M45" i="34"/>
  <c r="Q45" i="34" s="1"/>
  <c r="E72" i="34"/>
  <c r="L60" i="34"/>
  <c r="F60" i="34"/>
  <c r="M48" i="34"/>
  <c r="Q48" i="34" s="1"/>
  <c r="E70" i="34"/>
  <c r="L58" i="34"/>
  <c r="E71" i="34"/>
  <c r="L59" i="34"/>
  <c r="E69" i="34"/>
  <c r="L57" i="34"/>
  <c r="Q41" i="34"/>
  <c r="F61" i="34"/>
  <c r="M49" i="34"/>
  <c r="Q49" i="34" s="1"/>
  <c r="E73" i="34"/>
  <c r="L61" i="34"/>
  <c r="F58" i="34"/>
  <c r="M46" i="34"/>
  <c r="Q46" i="34" s="1"/>
  <c r="F59" i="34"/>
  <c r="M47" i="34"/>
  <c r="Q47" i="34" s="1"/>
  <c r="R7" i="17"/>
  <c r="T7" i="17" s="1"/>
  <c r="V7" i="17" s="1"/>
  <c r="E66" i="34"/>
  <c r="L54" i="34"/>
  <c r="Q38" i="34"/>
  <c r="F62" i="34"/>
  <c r="M50" i="34"/>
  <c r="Q39" i="34"/>
  <c r="E67" i="34"/>
  <c r="L55" i="34"/>
  <c r="F65" i="34"/>
  <c r="M53" i="34"/>
  <c r="F55" i="34"/>
  <c r="M43" i="34"/>
  <c r="Q43" i="34" s="1"/>
  <c r="E62" i="34"/>
  <c r="L50" i="34"/>
  <c r="F54" i="34"/>
  <c r="M42" i="34"/>
  <c r="Q42" i="34" s="1"/>
  <c r="E68" i="34"/>
  <c r="L56" i="34"/>
  <c r="F63" i="34"/>
  <c r="M51" i="34"/>
  <c r="E65" i="34"/>
  <c r="L53" i="34"/>
  <c r="E63" i="34"/>
  <c r="L51" i="34"/>
  <c r="Q40" i="34"/>
  <c r="F56" i="34"/>
  <c r="M44" i="34"/>
  <c r="Q44" i="34" s="1"/>
  <c r="F64" i="34"/>
  <c r="M52" i="34"/>
  <c r="E64" i="34"/>
  <c r="L52" i="34"/>
  <c r="L39" i="38"/>
  <c r="O39" i="38" s="1"/>
  <c r="F51" i="38"/>
  <c r="L38" i="38"/>
  <c r="O38" i="38" s="1"/>
  <c r="F50" i="38"/>
  <c r="L40" i="38"/>
  <c r="O40" i="38" s="1"/>
  <c r="F52" i="38"/>
  <c r="G7" i="17"/>
  <c r="I7" i="17" s="1"/>
  <c r="K7" i="17" s="1"/>
  <c r="K51" i="38"/>
  <c r="E63" i="38"/>
  <c r="K53" i="38"/>
  <c r="E65" i="38"/>
  <c r="K50" i="38"/>
  <c r="E62" i="38"/>
  <c r="K52" i="38"/>
  <c r="E64" i="38"/>
  <c r="L41" i="38"/>
  <c r="O41" i="38" s="1"/>
  <c r="F53" i="38"/>
  <c r="C27" i="74" l="1"/>
  <c r="C11" i="74"/>
  <c r="D5" i="74"/>
  <c r="D11" i="74" s="1"/>
  <c r="Q50" i="36"/>
  <c r="H18" i="57"/>
  <c r="K48" i="17"/>
  <c r="V48" i="17"/>
  <c r="AG48" i="17"/>
  <c r="AC50" i="17"/>
  <c r="S53" i="77"/>
  <c r="AE49" i="17"/>
  <c r="S55" i="77"/>
  <c r="S52" i="77"/>
  <c r="R50" i="17"/>
  <c r="N66" i="77"/>
  <c r="E78" i="77"/>
  <c r="O65" i="77"/>
  <c r="F77" i="77"/>
  <c r="N62" i="77"/>
  <c r="E74" i="77"/>
  <c r="S50" i="77"/>
  <c r="O63" i="77"/>
  <c r="F75" i="77"/>
  <c r="N65" i="77"/>
  <c r="E77" i="77"/>
  <c r="S56" i="77"/>
  <c r="S54" i="77"/>
  <c r="O66" i="77"/>
  <c r="F78" i="77"/>
  <c r="O64" i="77"/>
  <c r="F76" i="77"/>
  <c r="O68" i="77"/>
  <c r="F80" i="77"/>
  <c r="N68" i="77"/>
  <c r="E80" i="77"/>
  <c r="S51" i="77"/>
  <c r="O67" i="77"/>
  <c r="F79" i="77"/>
  <c r="O62" i="77"/>
  <c r="F74" i="77"/>
  <c r="N64" i="77"/>
  <c r="E76" i="77"/>
  <c r="N63" i="77"/>
  <c r="E75" i="77"/>
  <c r="N67" i="77"/>
  <c r="E79" i="77"/>
  <c r="S50" i="76"/>
  <c r="T49" i="17"/>
  <c r="E4" i="74" s="1"/>
  <c r="S55" i="76"/>
  <c r="S57" i="76"/>
  <c r="N67" i="76"/>
  <c r="E79" i="76"/>
  <c r="N64" i="76"/>
  <c r="E76" i="76"/>
  <c r="O69" i="76"/>
  <c r="F81" i="76"/>
  <c r="O66" i="76"/>
  <c r="F78" i="76"/>
  <c r="O67" i="76"/>
  <c r="F79" i="76"/>
  <c r="O64" i="76"/>
  <c r="F76" i="76"/>
  <c r="S52" i="76"/>
  <c r="N65" i="76"/>
  <c r="E77" i="76"/>
  <c r="N66" i="76"/>
  <c r="E78" i="76"/>
  <c r="O62" i="76"/>
  <c r="F74" i="76"/>
  <c r="S53" i="76"/>
  <c r="O65" i="76"/>
  <c r="F77" i="76"/>
  <c r="S51" i="76"/>
  <c r="N62" i="76"/>
  <c r="E74" i="76"/>
  <c r="S54" i="76"/>
  <c r="N68" i="76"/>
  <c r="E80" i="76"/>
  <c r="O68" i="76"/>
  <c r="F80" i="76"/>
  <c r="N63" i="76"/>
  <c r="E75" i="76"/>
  <c r="N69" i="76"/>
  <c r="E81" i="76"/>
  <c r="O63" i="76"/>
  <c r="F75" i="76"/>
  <c r="S56" i="76"/>
  <c r="AG6" i="17"/>
  <c r="O70" i="75"/>
  <c r="O68" i="75"/>
  <c r="N57" i="75"/>
  <c r="R57" i="75" s="1"/>
  <c r="N61" i="75"/>
  <c r="R61" i="75" s="1"/>
  <c r="O62" i="75"/>
  <c r="N59" i="75"/>
  <c r="R59" i="75" s="1"/>
  <c r="O67" i="75"/>
  <c r="N53" i="75"/>
  <c r="R53" i="75" s="1"/>
  <c r="N51" i="75"/>
  <c r="R51" i="75" s="1"/>
  <c r="C19" i="57"/>
  <c r="D19" i="57" s="1"/>
  <c r="D27" i="74" s="1"/>
  <c r="O66" i="75"/>
  <c r="N52" i="75"/>
  <c r="R52" i="75" s="1"/>
  <c r="O73" i="75"/>
  <c r="O72" i="75"/>
  <c r="N50" i="75"/>
  <c r="R50" i="75" s="1"/>
  <c r="N55" i="75"/>
  <c r="R55" i="75" s="1"/>
  <c r="O63" i="75"/>
  <c r="I49" i="17"/>
  <c r="E3" i="74" s="1"/>
  <c r="N60" i="75"/>
  <c r="R60" i="75" s="1"/>
  <c r="N56" i="75"/>
  <c r="R56" i="75" s="1"/>
  <c r="N54" i="75"/>
  <c r="R54" i="75" s="1"/>
  <c r="O71" i="75"/>
  <c r="O69" i="75"/>
  <c r="N58" i="75"/>
  <c r="R58" i="75" s="1"/>
  <c r="G50" i="17"/>
  <c r="L62" i="36"/>
  <c r="M62" i="36"/>
  <c r="AC7" i="17"/>
  <c r="AE7" i="17" s="1"/>
  <c r="E81" i="34"/>
  <c r="L69" i="34"/>
  <c r="F71" i="34"/>
  <c r="M59" i="34"/>
  <c r="Q59" i="34" s="1"/>
  <c r="F70" i="34"/>
  <c r="M58" i="34"/>
  <c r="Q58" i="34" s="1"/>
  <c r="F72" i="34"/>
  <c r="M60" i="34"/>
  <c r="Q60" i="34" s="1"/>
  <c r="F73" i="34"/>
  <c r="M61" i="34"/>
  <c r="Q61" i="34" s="1"/>
  <c r="Q51" i="34"/>
  <c r="E83" i="34"/>
  <c r="L71" i="34"/>
  <c r="E85" i="34"/>
  <c r="L73" i="34"/>
  <c r="E84" i="34"/>
  <c r="L72" i="34"/>
  <c r="E82" i="34"/>
  <c r="L70" i="34"/>
  <c r="F69" i="34"/>
  <c r="M57" i="34"/>
  <c r="Q57" i="34" s="1"/>
  <c r="E79" i="34"/>
  <c r="L67" i="34"/>
  <c r="E75" i="34"/>
  <c r="L63" i="34"/>
  <c r="F75" i="34"/>
  <c r="M63" i="34"/>
  <c r="F74" i="34"/>
  <c r="M62" i="34"/>
  <c r="E77" i="34"/>
  <c r="L65" i="34"/>
  <c r="F67" i="34"/>
  <c r="M55" i="34"/>
  <c r="Q55" i="34" s="1"/>
  <c r="E80" i="34"/>
  <c r="L68" i="34"/>
  <c r="F68" i="34"/>
  <c r="M56" i="34"/>
  <c r="Q56" i="34" s="1"/>
  <c r="R8" i="17"/>
  <c r="T8" i="17" s="1"/>
  <c r="V8" i="17" s="1"/>
  <c r="Q52" i="34"/>
  <c r="F66" i="34"/>
  <c r="M54" i="34"/>
  <c r="Q54" i="34" s="1"/>
  <c r="E74" i="34"/>
  <c r="L62" i="34"/>
  <c r="F76" i="34"/>
  <c r="M64" i="34"/>
  <c r="F77" i="34"/>
  <c r="M65" i="34"/>
  <c r="Q53" i="34"/>
  <c r="E76" i="34"/>
  <c r="L64" i="34"/>
  <c r="Q50" i="34"/>
  <c r="E78" i="34"/>
  <c r="L66" i="34"/>
  <c r="G8" i="17"/>
  <c r="I8" i="17" s="1"/>
  <c r="K8" i="17" s="1"/>
  <c r="L50" i="38"/>
  <c r="O50" i="38" s="1"/>
  <c r="F62" i="38"/>
  <c r="K64" i="38"/>
  <c r="E76" i="38"/>
  <c r="L51" i="38"/>
  <c r="O51" i="38" s="1"/>
  <c r="F63" i="38"/>
  <c r="K65" i="38"/>
  <c r="E77" i="38"/>
  <c r="K63" i="38"/>
  <c r="E75" i="38"/>
  <c r="L52" i="38"/>
  <c r="O52" i="38" s="1"/>
  <c r="F64" i="38"/>
  <c r="L53" i="38"/>
  <c r="O53" i="38" s="1"/>
  <c r="F65" i="38"/>
  <c r="K62" i="38"/>
  <c r="E74" i="38"/>
  <c r="E5" i="74" l="1"/>
  <c r="E11" i="74" s="1"/>
  <c r="Q62" i="36"/>
  <c r="D11" i="25"/>
  <c r="M6" i="24"/>
  <c r="H19" i="57"/>
  <c r="K49" i="17"/>
  <c r="C11" i="25"/>
  <c r="S68" i="77"/>
  <c r="AG49" i="17"/>
  <c r="AE50" i="17"/>
  <c r="AC51" i="17"/>
  <c r="T50" i="17"/>
  <c r="F4" i="74" s="1"/>
  <c r="S65" i="77"/>
  <c r="S66" i="77"/>
  <c r="N79" i="77"/>
  <c r="E91" i="77"/>
  <c r="S67" i="77"/>
  <c r="O80" i="77"/>
  <c r="F92" i="77"/>
  <c r="V49" i="17"/>
  <c r="N75" i="77"/>
  <c r="E87" i="77"/>
  <c r="N78" i="77"/>
  <c r="E90" i="77"/>
  <c r="O78" i="77"/>
  <c r="F90" i="77"/>
  <c r="N74" i="77"/>
  <c r="E86" i="77"/>
  <c r="N80" i="77"/>
  <c r="E92" i="77"/>
  <c r="S63" i="77"/>
  <c r="N76" i="77"/>
  <c r="E88" i="77"/>
  <c r="N77" i="77"/>
  <c r="E89" i="77"/>
  <c r="O75" i="77"/>
  <c r="F87" i="77"/>
  <c r="S62" i="77"/>
  <c r="O77" i="77"/>
  <c r="F89" i="77"/>
  <c r="S64" i="77"/>
  <c r="O79" i="77"/>
  <c r="F91" i="77"/>
  <c r="O76" i="77"/>
  <c r="F88" i="77"/>
  <c r="O74" i="77"/>
  <c r="F86" i="77"/>
  <c r="R51" i="17"/>
  <c r="S69" i="76"/>
  <c r="S62" i="76"/>
  <c r="N75" i="76"/>
  <c r="E87" i="76"/>
  <c r="N78" i="76"/>
  <c r="E90" i="76"/>
  <c r="O81" i="76"/>
  <c r="F93" i="76"/>
  <c r="S63" i="76"/>
  <c r="S66" i="76"/>
  <c r="O74" i="76"/>
  <c r="F86" i="76"/>
  <c r="N77" i="76"/>
  <c r="E89" i="76"/>
  <c r="S64" i="76"/>
  <c r="N81" i="76"/>
  <c r="E93" i="76"/>
  <c r="O80" i="76"/>
  <c r="F92" i="76"/>
  <c r="N76" i="76"/>
  <c r="E88" i="76"/>
  <c r="S65" i="76"/>
  <c r="N79" i="76"/>
  <c r="E91" i="76"/>
  <c r="O79" i="76"/>
  <c r="F91" i="76"/>
  <c r="O75" i="76"/>
  <c r="F87" i="76"/>
  <c r="N80" i="76"/>
  <c r="E92" i="76"/>
  <c r="S67" i="76"/>
  <c r="O76" i="76"/>
  <c r="F88" i="76"/>
  <c r="O77" i="76"/>
  <c r="F89" i="76"/>
  <c r="O78" i="76"/>
  <c r="F90" i="76"/>
  <c r="S68" i="76"/>
  <c r="N74" i="76"/>
  <c r="E86" i="76"/>
  <c r="AC8" i="17"/>
  <c r="AE8" i="17" s="1"/>
  <c r="AG8" i="17" s="1"/>
  <c r="N71" i="75"/>
  <c r="R71" i="75" s="1"/>
  <c r="O74" i="75"/>
  <c r="N72" i="75"/>
  <c r="R72" i="75" s="1"/>
  <c r="O78" i="75"/>
  <c r="N69" i="75"/>
  <c r="R69" i="75" s="1"/>
  <c r="O79" i="75"/>
  <c r="N62" i="75"/>
  <c r="R62" i="75" s="1"/>
  <c r="O83" i="75"/>
  <c r="N66" i="75"/>
  <c r="R66" i="75" s="1"/>
  <c r="O85" i="75"/>
  <c r="O77" i="75"/>
  <c r="R64" i="75"/>
  <c r="I50" i="17"/>
  <c r="F3" i="74" s="1"/>
  <c r="N63" i="75"/>
  <c r="R63" i="75" s="1"/>
  <c r="G51" i="17"/>
  <c r="O84" i="75"/>
  <c r="N68" i="75"/>
  <c r="R68" i="75" s="1"/>
  <c r="N70" i="75"/>
  <c r="R70" i="75" s="1"/>
  <c r="O75" i="75"/>
  <c r="O80" i="75"/>
  <c r="O81" i="75"/>
  <c r="N65" i="75"/>
  <c r="R65" i="75" s="1"/>
  <c r="O76" i="75"/>
  <c r="N73" i="75"/>
  <c r="R73" i="75" s="1"/>
  <c r="N67" i="75"/>
  <c r="R67" i="75" s="1"/>
  <c r="O82" i="75"/>
  <c r="M74" i="36"/>
  <c r="L74" i="36"/>
  <c r="C7" i="57"/>
  <c r="D7" i="57" s="1"/>
  <c r="AG7" i="17"/>
  <c r="C20" i="57"/>
  <c r="D20" i="57" s="1"/>
  <c r="E27" i="74" s="1"/>
  <c r="Q64" i="34"/>
  <c r="F84" i="34"/>
  <c r="M72" i="34"/>
  <c r="Q72" i="34" s="1"/>
  <c r="E94" i="34"/>
  <c r="L82" i="34"/>
  <c r="F81" i="34"/>
  <c r="M69" i="34"/>
  <c r="Q69" i="34" s="1"/>
  <c r="E96" i="34"/>
  <c r="L84" i="34"/>
  <c r="F82" i="34"/>
  <c r="M70" i="34"/>
  <c r="Q70" i="34" s="1"/>
  <c r="E97" i="34"/>
  <c r="L85" i="34"/>
  <c r="F83" i="34"/>
  <c r="M71" i="34"/>
  <c r="Q71" i="34" s="1"/>
  <c r="F85" i="34"/>
  <c r="M73" i="34"/>
  <c r="Q73" i="34" s="1"/>
  <c r="E95" i="34"/>
  <c r="L83" i="34"/>
  <c r="E93" i="34"/>
  <c r="L81" i="34"/>
  <c r="F89" i="34"/>
  <c r="M77" i="34"/>
  <c r="F88" i="34"/>
  <c r="M76" i="34"/>
  <c r="F86" i="34"/>
  <c r="M74" i="34"/>
  <c r="E88" i="34"/>
  <c r="L76" i="34"/>
  <c r="E86" i="34"/>
  <c r="L74" i="34"/>
  <c r="F78" i="34"/>
  <c r="M66" i="34"/>
  <c r="Q66" i="34" s="1"/>
  <c r="F87" i="34"/>
  <c r="M75" i="34"/>
  <c r="E92" i="34"/>
  <c r="L80" i="34"/>
  <c r="E89" i="34"/>
  <c r="L77" i="34"/>
  <c r="Q62" i="34"/>
  <c r="Q63" i="34"/>
  <c r="E87" i="34"/>
  <c r="L75" i="34"/>
  <c r="F79" i="34"/>
  <c r="M67" i="34"/>
  <c r="Q67" i="34" s="1"/>
  <c r="Q65" i="34"/>
  <c r="E90" i="34"/>
  <c r="L78" i="34"/>
  <c r="R9" i="17"/>
  <c r="T9" i="17" s="1"/>
  <c r="V9" i="17" s="1"/>
  <c r="F80" i="34"/>
  <c r="M68" i="34"/>
  <c r="Q68" i="34" s="1"/>
  <c r="E91" i="34"/>
  <c r="L79" i="34"/>
  <c r="G9" i="17"/>
  <c r="I9" i="17" s="1"/>
  <c r="K9" i="17" s="1"/>
  <c r="L62" i="38"/>
  <c r="O62" i="38" s="1"/>
  <c r="F74" i="38"/>
  <c r="F77" i="38"/>
  <c r="L65" i="38"/>
  <c r="O65" i="38" s="1"/>
  <c r="E87" i="38"/>
  <c r="K75" i="38"/>
  <c r="E88" i="38"/>
  <c r="K76" i="38"/>
  <c r="E86" i="38"/>
  <c r="K74" i="38"/>
  <c r="L63" i="38"/>
  <c r="O63" i="38" s="1"/>
  <c r="F75" i="38"/>
  <c r="E89" i="38"/>
  <c r="K77" i="38"/>
  <c r="L64" i="38"/>
  <c r="O64" i="38" s="1"/>
  <c r="F76" i="38"/>
  <c r="F5" i="74" l="1"/>
  <c r="F11" i="74" s="1"/>
  <c r="Q74" i="36"/>
  <c r="F11" i="25"/>
  <c r="M8" i="24"/>
  <c r="E11" i="25"/>
  <c r="M7" i="24"/>
  <c r="H20" i="57"/>
  <c r="K50" i="17"/>
  <c r="T51" i="17"/>
  <c r="AG50" i="17"/>
  <c r="AE51" i="17"/>
  <c r="V50" i="17"/>
  <c r="N87" i="77"/>
  <c r="E99" i="77"/>
  <c r="O86" i="77"/>
  <c r="F98" i="77"/>
  <c r="N89" i="77"/>
  <c r="E101" i="77"/>
  <c r="O90" i="77"/>
  <c r="F102" i="77"/>
  <c r="O88" i="77"/>
  <c r="F100" i="77"/>
  <c r="N86" i="77"/>
  <c r="E98" i="77"/>
  <c r="O89" i="77"/>
  <c r="F101" i="77"/>
  <c r="AC52" i="17"/>
  <c r="N88" i="77"/>
  <c r="E100" i="77"/>
  <c r="N92" i="77"/>
  <c r="E104" i="77"/>
  <c r="E116" i="77" s="1"/>
  <c r="N116" i="77" s="1"/>
  <c r="O87" i="77"/>
  <c r="F99" i="77"/>
  <c r="O92" i="77"/>
  <c r="F104" i="77"/>
  <c r="F116" i="77" s="1"/>
  <c r="O116" i="77" s="1"/>
  <c r="N91" i="77"/>
  <c r="E103" i="77"/>
  <c r="N90" i="77"/>
  <c r="E102" i="77"/>
  <c r="O91" i="77"/>
  <c r="F103" i="77"/>
  <c r="R52" i="17"/>
  <c r="O91" i="76"/>
  <c r="F103" i="76"/>
  <c r="O90" i="76"/>
  <c r="F102" i="76"/>
  <c r="N91" i="76"/>
  <c r="E103" i="76"/>
  <c r="O93" i="76"/>
  <c r="F105" i="76"/>
  <c r="F117" i="76" s="1"/>
  <c r="O117" i="76" s="1"/>
  <c r="C21" i="57"/>
  <c r="O89" i="76"/>
  <c r="F101" i="76"/>
  <c r="C8" i="57"/>
  <c r="D8" i="57" s="1"/>
  <c r="O88" i="76"/>
  <c r="F100" i="76"/>
  <c r="N88" i="76"/>
  <c r="E100" i="76"/>
  <c r="N87" i="76"/>
  <c r="E99" i="76"/>
  <c r="N90" i="76"/>
  <c r="E102" i="76"/>
  <c r="O92" i="76"/>
  <c r="F104" i="76"/>
  <c r="F116" i="76" s="1"/>
  <c r="O116" i="76" s="1"/>
  <c r="N86" i="76"/>
  <c r="E98" i="76"/>
  <c r="O87" i="76"/>
  <c r="F99" i="76"/>
  <c r="N92" i="76"/>
  <c r="E104" i="76"/>
  <c r="E116" i="76" s="1"/>
  <c r="N116" i="76" s="1"/>
  <c r="N89" i="76"/>
  <c r="E101" i="76"/>
  <c r="O86" i="76"/>
  <c r="F98" i="76"/>
  <c r="N93" i="76"/>
  <c r="E105" i="76"/>
  <c r="E117" i="76" s="1"/>
  <c r="N117" i="76" s="1"/>
  <c r="N74" i="75"/>
  <c r="G52" i="17"/>
  <c r="N75" i="75"/>
  <c r="O116" i="75"/>
  <c r="O92" i="75"/>
  <c r="O87" i="75"/>
  <c r="O89" i="75"/>
  <c r="N84" i="75"/>
  <c r="I51" i="17"/>
  <c r="G3" i="74" s="1"/>
  <c r="N77" i="75"/>
  <c r="N81" i="75"/>
  <c r="AC9" i="17"/>
  <c r="AE9" i="17" s="1"/>
  <c r="C22" i="57" s="1"/>
  <c r="D22" i="57" s="1"/>
  <c r="G27" i="74" s="1"/>
  <c r="O118" i="75"/>
  <c r="O94" i="75"/>
  <c r="N82" i="75"/>
  <c r="O97" i="75"/>
  <c r="O121" i="75"/>
  <c r="O86" i="75"/>
  <c r="O119" i="75"/>
  <c r="O91" i="75"/>
  <c r="N76" i="75"/>
  <c r="N85" i="75"/>
  <c r="O120" i="75"/>
  <c r="O96" i="75"/>
  <c r="O88" i="75"/>
  <c r="O93" i="75"/>
  <c r="O117" i="75"/>
  <c r="O90" i="75"/>
  <c r="N78" i="75"/>
  <c r="N79" i="75"/>
  <c r="N80" i="75"/>
  <c r="N83" i="75"/>
  <c r="L86" i="36"/>
  <c r="M86" i="36"/>
  <c r="E107" i="34"/>
  <c r="E119" i="34" s="1"/>
  <c r="L119" i="34" s="1"/>
  <c r="L95" i="34"/>
  <c r="E109" i="34"/>
  <c r="E121" i="34" s="1"/>
  <c r="L121" i="34" s="1"/>
  <c r="L97" i="34"/>
  <c r="Q77" i="34"/>
  <c r="F93" i="34"/>
  <c r="M81" i="34"/>
  <c r="Q81" i="34" s="1"/>
  <c r="F95" i="34"/>
  <c r="M83" i="34"/>
  <c r="Q83" i="34" s="1"/>
  <c r="F94" i="34"/>
  <c r="M82" i="34"/>
  <c r="Q82" i="34" s="1"/>
  <c r="Q74" i="34"/>
  <c r="E106" i="34"/>
  <c r="E118" i="34" s="1"/>
  <c r="L118" i="34" s="1"/>
  <c r="L94" i="34"/>
  <c r="E108" i="34"/>
  <c r="E120" i="34" s="1"/>
  <c r="L120" i="34" s="1"/>
  <c r="L96" i="34"/>
  <c r="F97" i="34"/>
  <c r="M85" i="34"/>
  <c r="Q85" i="34" s="1"/>
  <c r="E105" i="34"/>
  <c r="E117" i="34" s="1"/>
  <c r="L117" i="34" s="1"/>
  <c r="L93" i="34"/>
  <c r="Q76" i="34"/>
  <c r="F96" i="34"/>
  <c r="M84" i="34"/>
  <c r="Q84" i="34" s="1"/>
  <c r="Q75" i="34"/>
  <c r="E100" i="34"/>
  <c r="L88" i="34"/>
  <c r="E104" i="34"/>
  <c r="E116" i="34" s="1"/>
  <c r="L116" i="34" s="1"/>
  <c r="L92" i="34"/>
  <c r="E102" i="34"/>
  <c r="L90" i="34"/>
  <c r="E99" i="34"/>
  <c r="L87" i="34"/>
  <c r="F98" i="34"/>
  <c r="M86" i="34"/>
  <c r="F99" i="34"/>
  <c r="M87" i="34"/>
  <c r="F90" i="34"/>
  <c r="M78" i="34"/>
  <c r="Q78" i="34" s="1"/>
  <c r="E98" i="34"/>
  <c r="L86" i="34"/>
  <c r="R10" i="17"/>
  <c r="T10" i="17" s="1"/>
  <c r="V10" i="17" s="1"/>
  <c r="F100" i="34"/>
  <c r="M88" i="34"/>
  <c r="F91" i="34"/>
  <c r="M79" i="34"/>
  <c r="Q79" i="34" s="1"/>
  <c r="E103" i="34"/>
  <c r="L91" i="34"/>
  <c r="F92" i="34"/>
  <c r="M80" i="34"/>
  <c r="Q80" i="34" s="1"/>
  <c r="E101" i="34"/>
  <c r="L89" i="34"/>
  <c r="F101" i="34"/>
  <c r="M89" i="34"/>
  <c r="K86" i="38"/>
  <c r="E98" i="38"/>
  <c r="E100" i="38"/>
  <c r="K88" i="38"/>
  <c r="L76" i="38"/>
  <c r="O76" i="38" s="1"/>
  <c r="F88" i="38"/>
  <c r="G10" i="17"/>
  <c r="I10" i="17" s="1"/>
  <c r="K10" i="17" s="1"/>
  <c r="L74" i="38"/>
  <c r="O74" i="38" s="1"/>
  <c r="F86" i="38"/>
  <c r="F87" i="38"/>
  <c r="L75" i="38"/>
  <c r="O75" i="38" s="1"/>
  <c r="E99" i="38"/>
  <c r="K87" i="38"/>
  <c r="F89" i="38"/>
  <c r="L77" i="38"/>
  <c r="O77" i="38" s="1"/>
  <c r="E101" i="38"/>
  <c r="K89" i="38"/>
  <c r="G5" i="74" l="1"/>
  <c r="Q86" i="36"/>
  <c r="N8" i="24"/>
  <c r="N7" i="24"/>
  <c r="H22" i="57"/>
  <c r="V51" i="17"/>
  <c r="G4" i="74"/>
  <c r="K51" i="17"/>
  <c r="AG51" i="17"/>
  <c r="D21" i="57"/>
  <c r="F27" i="74" s="1"/>
  <c r="O104" i="77"/>
  <c r="N100" i="77"/>
  <c r="E112" i="77"/>
  <c r="F115" i="77"/>
  <c r="O103" i="77"/>
  <c r="E113" i="77"/>
  <c r="N101" i="77"/>
  <c r="AE52" i="17"/>
  <c r="O99" i="77"/>
  <c r="F111" i="77"/>
  <c r="O101" i="77"/>
  <c r="F113" i="77"/>
  <c r="O100" i="77"/>
  <c r="F112" i="77"/>
  <c r="N104" i="77"/>
  <c r="N102" i="77"/>
  <c r="E114" i="77"/>
  <c r="E115" i="77"/>
  <c r="N103" i="77"/>
  <c r="E111" i="77"/>
  <c r="N99" i="77"/>
  <c r="O102" i="77"/>
  <c r="F114" i="77"/>
  <c r="F110" i="77"/>
  <c r="O98" i="77"/>
  <c r="E110" i="77"/>
  <c r="N98" i="77"/>
  <c r="T52" i="17"/>
  <c r="H4" i="74" s="1"/>
  <c r="N105" i="76"/>
  <c r="N99" i="76"/>
  <c r="E111" i="76"/>
  <c r="N103" i="76"/>
  <c r="E115" i="76"/>
  <c r="O98" i="76"/>
  <c r="F110" i="76"/>
  <c r="E114" i="76"/>
  <c r="N102" i="76"/>
  <c r="N104" i="76"/>
  <c r="O103" i="76"/>
  <c r="F115" i="76"/>
  <c r="O104" i="76"/>
  <c r="N100" i="76"/>
  <c r="E112" i="76"/>
  <c r="N101" i="76"/>
  <c r="E113" i="76"/>
  <c r="N98" i="76"/>
  <c r="E110" i="76"/>
  <c r="O101" i="76"/>
  <c r="F113" i="76"/>
  <c r="O105" i="76"/>
  <c r="O102" i="76"/>
  <c r="F114" i="76"/>
  <c r="O99" i="76"/>
  <c r="F111" i="76"/>
  <c r="O100" i="76"/>
  <c r="F112" i="76"/>
  <c r="N96" i="75"/>
  <c r="N120" i="75"/>
  <c r="O104" i="75"/>
  <c r="O108" i="75"/>
  <c r="O106" i="75"/>
  <c r="O100" i="75"/>
  <c r="N87" i="75"/>
  <c r="O107" i="75"/>
  <c r="O98" i="75"/>
  <c r="O101" i="75"/>
  <c r="AG9" i="17"/>
  <c r="N95" i="75"/>
  <c r="N119" i="75"/>
  <c r="N121" i="75"/>
  <c r="N97" i="75"/>
  <c r="N117" i="75"/>
  <c r="N93" i="75"/>
  <c r="N90" i="75"/>
  <c r="O105" i="75"/>
  <c r="C9" i="57"/>
  <c r="D9" i="57" s="1"/>
  <c r="N116" i="75"/>
  <c r="N92" i="75"/>
  <c r="I52" i="17"/>
  <c r="H3" i="74" s="1"/>
  <c r="O109" i="75"/>
  <c r="O99" i="75"/>
  <c r="N88" i="75"/>
  <c r="N89" i="75"/>
  <c r="N86" i="75"/>
  <c r="O102" i="75"/>
  <c r="N118" i="75"/>
  <c r="N94" i="75"/>
  <c r="N91" i="75"/>
  <c r="O103" i="75"/>
  <c r="AC10" i="17"/>
  <c r="AE10" i="17" s="1"/>
  <c r="C10" i="57" s="1"/>
  <c r="D10" i="57" s="1"/>
  <c r="L98" i="36"/>
  <c r="M98" i="36"/>
  <c r="F105" i="34"/>
  <c r="F117" i="34" s="1"/>
  <c r="M117" i="34" s="1"/>
  <c r="Q117" i="34" s="1"/>
  <c r="M93" i="34"/>
  <c r="Q93" i="34" s="1"/>
  <c r="F109" i="34"/>
  <c r="F121" i="34" s="1"/>
  <c r="M121" i="34" s="1"/>
  <c r="Q121" i="34" s="1"/>
  <c r="M97" i="34"/>
  <c r="Q97" i="34" s="1"/>
  <c r="F106" i="34"/>
  <c r="F118" i="34" s="1"/>
  <c r="M118" i="34" s="1"/>
  <c r="Q118" i="34" s="1"/>
  <c r="M94" i="34"/>
  <c r="Q94" i="34" s="1"/>
  <c r="L105" i="34"/>
  <c r="L109" i="34"/>
  <c r="F108" i="34"/>
  <c r="F120" i="34" s="1"/>
  <c r="M120" i="34" s="1"/>
  <c r="Q120" i="34" s="1"/>
  <c r="M96" i="34"/>
  <c r="Q96" i="34" s="1"/>
  <c r="L108" i="34"/>
  <c r="F107" i="34"/>
  <c r="F119" i="34" s="1"/>
  <c r="M119" i="34" s="1"/>
  <c r="Q119" i="34" s="1"/>
  <c r="M95" i="34"/>
  <c r="Q95" i="34" s="1"/>
  <c r="L107" i="34"/>
  <c r="L106" i="34"/>
  <c r="R11" i="17"/>
  <c r="Q89" i="34"/>
  <c r="Q87" i="34"/>
  <c r="F102" i="34"/>
  <c r="M90" i="34"/>
  <c r="Q90" i="34" s="1"/>
  <c r="F104" i="34"/>
  <c r="F116" i="34" s="1"/>
  <c r="M116" i="34" s="1"/>
  <c r="Q116" i="34" s="1"/>
  <c r="M92" i="34"/>
  <c r="Q92" i="34" s="1"/>
  <c r="F112" i="34"/>
  <c r="M100" i="34"/>
  <c r="F110" i="34"/>
  <c r="M98" i="34"/>
  <c r="L104" i="34"/>
  <c r="F111" i="34"/>
  <c r="M99" i="34"/>
  <c r="E115" i="34"/>
  <c r="L103" i="34"/>
  <c r="Q86" i="34"/>
  <c r="Q88" i="34"/>
  <c r="E113" i="34"/>
  <c r="L101" i="34"/>
  <c r="E114" i="34"/>
  <c r="L102" i="34"/>
  <c r="E110" i="34"/>
  <c r="L98" i="34"/>
  <c r="E112" i="34"/>
  <c r="L100" i="34"/>
  <c r="E111" i="34"/>
  <c r="L99" i="34"/>
  <c r="F103" i="34"/>
  <c r="M91" i="34"/>
  <c r="Q91" i="34" s="1"/>
  <c r="F113" i="34"/>
  <c r="M101" i="34"/>
  <c r="G11" i="17"/>
  <c r="K101" i="38"/>
  <c r="E113" i="38"/>
  <c r="L89" i="38"/>
  <c r="O89" i="38" s="1"/>
  <c r="F101" i="38"/>
  <c r="E110" i="38"/>
  <c r="K98" i="38"/>
  <c r="L88" i="38"/>
  <c r="O88" i="38" s="1"/>
  <c r="F100" i="38"/>
  <c r="E111" i="38"/>
  <c r="K99" i="38"/>
  <c r="L87" i="38"/>
  <c r="O87" i="38" s="1"/>
  <c r="F99" i="38"/>
  <c r="F98" i="38"/>
  <c r="L86" i="38"/>
  <c r="O86" i="38" s="1"/>
  <c r="K100" i="38"/>
  <c r="E112" i="38"/>
  <c r="H5" i="74" l="1"/>
  <c r="H11" i="74" s="1"/>
  <c r="Q98" i="36"/>
  <c r="H21" i="57"/>
  <c r="K52" i="17"/>
  <c r="V52" i="17"/>
  <c r="N111" i="77"/>
  <c r="E123" i="77"/>
  <c r="N115" i="77"/>
  <c r="E127" i="77"/>
  <c r="N114" i="77"/>
  <c r="E126" i="77"/>
  <c r="E128" i="77"/>
  <c r="O111" i="77"/>
  <c r="F123" i="77"/>
  <c r="AG52" i="17"/>
  <c r="N113" i="77"/>
  <c r="E125" i="77"/>
  <c r="O115" i="77"/>
  <c r="F127" i="77"/>
  <c r="N112" i="77"/>
  <c r="E124" i="77"/>
  <c r="N110" i="77"/>
  <c r="E122" i="77"/>
  <c r="F128" i="77"/>
  <c r="O110" i="77"/>
  <c r="F122" i="77"/>
  <c r="O113" i="77"/>
  <c r="F125" i="77"/>
  <c r="O114" i="77"/>
  <c r="F126" i="77"/>
  <c r="O112" i="77"/>
  <c r="F124" i="77"/>
  <c r="O114" i="76"/>
  <c r="F126" i="76"/>
  <c r="F128" i="76"/>
  <c r="N115" i="76"/>
  <c r="E127" i="76"/>
  <c r="O110" i="76"/>
  <c r="F122" i="76"/>
  <c r="F129" i="76"/>
  <c r="O115" i="76"/>
  <c r="F127" i="76"/>
  <c r="N111" i="76"/>
  <c r="E123" i="76"/>
  <c r="O113" i="76"/>
  <c r="F125" i="76"/>
  <c r="E129" i="76"/>
  <c r="N113" i="76"/>
  <c r="E125" i="76"/>
  <c r="E128" i="76"/>
  <c r="N114" i="76"/>
  <c r="E126" i="76"/>
  <c r="O112" i="76"/>
  <c r="F124" i="76"/>
  <c r="N112" i="76"/>
  <c r="E124" i="76"/>
  <c r="N110" i="76"/>
  <c r="E122" i="76"/>
  <c r="O111" i="76"/>
  <c r="F123" i="76"/>
  <c r="N106" i="75"/>
  <c r="N98" i="75"/>
  <c r="O112" i="75"/>
  <c r="F124" i="75"/>
  <c r="I124" i="75" s="1"/>
  <c r="N109" i="75"/>
  <c r="F132" i="75"/>
  <c r="I132" i="75" s="1"/>
  <c r="O110" i="75"/>
  <c r="F122" i="75"/>
  <c r="I122" i="75" s="1"/>
  <c r="O114" i="75"/>
  <c r="F126" i="75"/>
  <c r="I126" i="75" s="1"/>
  <c r="N100" i="75"/>
  <c r="O111" i="75"/>
  <c r="F123" i="75"/>
  <c r="I123" i="75" s="1"/>
  <c r="N107" i="75"/>
  <c r="N99" i="75"/>
  <c r="F128" i="75"/>
  <c r="I128" i="75" s="1"/>
  <c r="F131" i="75"/>
  <c r="I131" i="75" s="1"/>
  <c r="O115" i="75"/>
  <c r="F127" i="75"/>
  <c r="I127" i="75" s="1"/>
  <c r="F133" i="75"/>
  <c r="I133" i="75" s="1"/>
  <c r="N101" i="75"/>
  <c r="AC11" i="17"/>
  <c r="N108" i="75"/>
  <c r="N104" i="75"/>
  <c r="F129" i="75"/>
  <c r="I129" i="75" s="1"/>
  <c r="N102" i="75"/>
  <c r="N105" i="75"/>
  <c r="F130" i="75"/>
  <c r="I130" i="75" s="1"/>
  <c r="N103" i="75"/>
  <c r="O113" i="75"/>
  <c r="F125" i="75"/>
  <c r="I125" i="75" s="1"/>
  <c r="AG10" i="17"/>
  <c r="C23" i="57"/>
  <c r="M110" i="36"/>
  <c r="L110" i="36"/>
  <c r="Q100" i="34"/>
  <c r="E129" i="34"/>
  <c r="M106" i="34"/>
  <c r="Q106" i="34" s="1"/>
  <c r="E131" i="34"/>
  <c r="E132" i="34"/>
  <c r="M108" i="34"/>
  <c r="Q108" i="34" s="1"/>
  <c r="M109" i="34"/>
  <c r="Q109" i="34" s="1"/>
  <c r="E133" i="34"/>
  <c r="M107" i="34"/>
  <c r="Q107" i="34" s="1"/>
  <c r="E130" i="34"/>
  <c r="M105" i="34"/>
  <c r="Q105" i="34" s="1"/>
  <c r="E122" i="34"/>
  <c r="L110" i="34"/>
  <c r="F115" i="34"/>
  <c r="M103" i="34"/>
  <c r="Q103" i="34" s="1"/>
  <c r="Q98" i="34"/>
  <c r="E126" i="34"/>
  <c r="L114" i="34"/>
  <c r="F124" i="34"/>
  <c r="M112" i="34"/>
  <c r="Q101" i="34"/>
  <c r="E127" i="34"/>
  <c r="L115" i="34"/>
  <c r="E125" i="34"/>
  <c r="L113" i="34"/>
  <c r="M104" i="34"/>
  <c r="Q104" i="34" s="1"/>
  <c r="F123" i="34"/>
  <c r="M111" i="34"/>
  <c r="E123" i="34"/>
  <c r="L111" i="34"/>
  <c r="Q99" i="34"/>
  <c r="E128" i="34"/>
  <c r="E124" i="34"/>
  <c r="L112" i="34"/>
  <c r="M110" i="34"/>
  <c r="F122" i="34"/>
  <c r="R12" i="17"/>
  <c r="F114" i="34"/>
  <c r="M102" i="34"/>
  <c r="Q102" i="34" s="1"/>
  <c r="M113" i="34"/>
  <c r="F125" i="34"/>
  <c r="K111" i="38"/>
  <c r="E123" i="38"/>
  <c r="F112" i="38"/>
  <c r="L100" i="38"/>
  <c r="O100" i="38" s="1"/>
  <c r="K110" i="38"/>
  <c r="E122" i="38"/>
  <c r="K112" i="38"/>
  <c r="E124" i="38"/>
  <c r="F113" i="38"/>
  <c r="L101" i="38"/>
  <c r="O101" i="38" s="1"/>
  <c r="K113" i="38"/>
  <c r="E125" i="38"/>
  <c r="F110" i="38"/>
  <c r="L98" i="38"/>
  <c r="O98" i="38" s="1"/>
  <c r="G12" i="17"/>
  <c r="F111" i="38"/>
  <c r="L99" i="38"/>
  <c r="O99" i="38" s="1"/>
  <c r="Q110" i="36" l="1"/>
  <c r="H11" i="25"/>
  <c r="M10" i="24"/>
  <c r="P131" i="75"/>
  <c r="P128" i="75"/>
  <c r="P125" i="75"/>
  <c r="P123" i="75"/>
  <c r="P130" i="75"/>
  <c r="P129" i="75"/>
  <c r="P126" i="75"/>
  <c r="P132" i="75"/>
  <c r="P133" i="75"/>
  <c r="P124" i="75"/>
  <c r="P127" i="75"/>
  <c r="O122" i="75"/>
  <c r="P122" i="75"/>
  <c r="S4" i="25"/>
  <c r="S12" i="25" s="1"/>
  <c r="I11" i="25"/>
  <c r="D23" i="57"/>
  <c r="H27" i="74" s="1"/>
  <c r="F135" i="77"/>
  <c r="O135" i="77" s="1"/>
  <c r="O123" i="77"/>
  <c r="N128" i="77"/>
  <c r="E140" i="77"/>
  <c r="N140" i="77" s="1"/>
  <c r="N126" i="77"/>
  <c r="E138" i="77"/>
  <c r="N138" i="77" s="1"/>
  <c r="N122" i="77"/>
  <c r="E134" i="77"/>
  <c r="N134" i="77" s="1"/>
  <c r="O124" i="77"/>
  <c r="F136" i="77"/>
  <c r="O136" i="77" s="1"/>
  <c r="N123" i="77"/>
  <c r="E135" i="77"/>
  <c r="N135" i="77" s="1"/>
  <c r="O126" i="77"/>
  <c r="F138" i="77"/>
  <c r="O138" i="77" s="1"/>
  <c r="O127" i="77"/>
  <c r="F139" i="77"/>
  <c r="O139" i="77" s="1"/>
  <c r="E137" i="77"/>
  <c r="N137" i="77" s="1"/>
  <c r="N125" i="77"/>
  <c r="E136" i="77"/>
  <c r="N136" i="77" s="1"/>
  <c r="N124" i="77"/>
  <c r="F134" i="77"/>
  <c r="O134" i="77" s="1"/>
  <c r="O122" i="77"/>
  <c r="F140" i="77"/>
  <c r="O140" i="77" s="1"/>
  <c r="O128" i="77"/>
  <c r="N127" i="77"/>
  <c r="E139" i="77"/>
  <c r="N139" i="77" s="1"/>
  <c r="F137" i="77"/>
  <c r="O137" i="77" s="1"/>
  <c r="O125" i="77"/>
  <c r="F141" i="76"/>
  <c r="O141" i="76" s="1"/>
  <c r="O129" i="76"/>
  <c r="N129" i="76"/>
  <c r="E141" i="76"/>
  <c r="N141" i="76" s="1"/>
  <c r="F140" i="76"/>
  <c r="O140" i="76" s="1"/>
  <c r="O128" i="76"/>
  <c r="N126" i="76"/>
  <c r="E138" i="76"/>
  <c r="N138" i="76" s="1"/>
  <c r="E134" i="76"/>
  <c r="N134" i="76" s="1"/>
  <c r="N122" i="76"/>
  <c r="O127" i="76"/>
  <c r="F139" i="76"/>
  <c r="O139" i="76" s="1"/>
  <c r="N125" i="76"/>
  <c r="E137" i="76"/>
  <c r="N137" i="76" s="1"/>
  <c r="O126" i="76"/>
  <c r="F138" i="76"/>
  <c r="O138" i="76" s="1"/>
  <c r="E136" i="76"/>
  <c r="N136" i="76" s="1"/>
  <c r="N124" i="76"/>
  <c r="E135" i="76"/>
  <c r="N135" i="76" s="1"/>
  <c r="N123" i="76"/>
  <c r="F135" i="76"/>
  <c r="O135" i="76" s="1"/>
  <c r="O123" i="76"/>
  <c r="F137" i="76"/>
  <c r="O137" i="76" s="1"/>
  <c r="O125" i="76"/>
  <c r="O124" i="76"/>
  <c r="F136" i="76"/>
  <c r="O136" i="76" s="1"/>
  <c r="O122" i="76"/>
  <c r="F134" i="76"/>
  <c r="O134" i="76" s="1"/>
  <c r="E140" i="76"/>
  <c r="N140" i="76" s="1"/>
  <c r="N128" i="76"/>
  <c r="E139" i="76"/>
  <c r="N139" i="76" s="1"/>
  <c r="N127" i="76"/>
  <c r="O130" i="75"/>
  <c r="F142" i="75"/>
  <c r="I142" i="75" s="1"/>
  <c r="F143" i="75"/>
  <c r="I143" i="75" s="1"/>
  <c r="O131" i="75"/>
  <c r="F140" i="75"/>
  <c r="I140" i="75" s="1"/>
  <c r="O128" i="75"/>
  <c r="N111" i="75"/>
  <c r="E123" i="75"/>
  <c r="E132" i="75"/>
  <c r="E131" i="75"/>
  <c r="F136" i="75"/>
  <c r="I136" i="75" s="1"/>
  <c r="O124" i="75"/>
  <c r="F134" i="75"/>
  <c r="I134" i="75" s="1"/>
  <c r="F141" i="75"/>
  <c r="I141" i="75" s="1"/>
  <c r="O129" i="75"/>
  <c r="E133" i="75"/>
  <c r="F135" i="75"/>
  <c r="I135" i="75" s="1"/>
  <c r="O123" i="75"/>
  <c r="N114" i="75"/>
  <c r="E126" i="75"/>
  <c r="F137" i="75"/>
  <c r="I137" i="75" s="1"/>
  <c r="O125" i="75"/>
  <c r="N113" i="75"/>
  <c r="E125" i="75"/>
  <c r="N110" i="75"/>
  <c r="E122" i="75"/>
  <c r="O126" i="75"/>
  <c r="F138" i="75"/>
  <c r="I138" i="75" s="1"/>
  <c r="E129" i="75"/>
  <c r="N115" i="75"/>
  <c r="E127" i="75"/>
  <c r="O133" i="75"/>
  <c r="F145" i="75"/>
  <c r="I145" i="75" s="1"/>
  <c r="E130" i="75"/>
  <c r="F139" i="75"/>
  <c r="I139" i="75" s="1"/>
  <c r="O127" i="75"/>
  <c r="F144" i="75"/>
  <c r="I144" i="75" s="1"/>
  <c r="O132" i="75"/>
  <c r="E128" i="75"/>
  <c r="N112" i="75"/>
  <c r="E124" i="75"/>
  <c r="AC12" i="17"/>
  <c r="Q111" i="34"/>
  <c r="M122" i="36"/>
  <c r="L122" i="36"/>
  <c r="E145" i="34"/>
  <c r="L145" i="34" s="1"/>
  <c r="L133" i="34"/>
  <c r="F132" i="34"/>
  <c r="E143" i="34"/>
  <c r="L143" i="34" s="1"/>
  <c r="L131" i="34"/>
  <c r="F133" i="34"/>
  <c r="E142" i="34"/>
  <c r="L142" i="34" s="1"/>
  <c r="L130" i="34"/>
  <c r="F130" i="34"/>
  <c r="E144" i="34"/>
  <c r="L144" i="34" s="1"/>
  <c r="L132" i="34"/>
  <c r="F131" i="34"/>
  <c r="F129" i="34"/>
  <c r="E141" i="34"/>
  <c r="L141" i="34" s="1"/>
  <c r="L129" i="34"/>
  <c r="Q113" i="34"/>
  <c r="E137" i="34"/>
  <c r="L137" i="34" s="1"/>
  <c r="L125" i="34"/>
  <c r="E139" i="34"/>
  <c r="L139" i="34" s="1"/>
  <c r="L127" i="34"/>
  <c r="R13" i="17"/>
  <c r="E138" i="34"/>
  <c r="L138" i="34" s="1"/>
  <c r="L126" i="34"/>
  <c r="M122" i="34"/>
  <c r="F134" i="34"/>
  <c r="M134" i="34" s="1"/>
  <c r="F136" i="34"/>
  <c r="M136" i="34" s="1"/>
  <c r="M124" i="34"/>
  <c r="E140" i="34"/>
  <c r="L140" i="34" s="1"/>
  <c r="L128" i="34"/>
  <c r="E135" i="34"/>
  <c r="L135" i="34" s="1"/>
  <c r="L123" i="34"/>
  <c r="F127" i="34"/>
  <c r="M115" i="34"/>
  <c r="Q115" i="34" s="1"/>
  <c r="Q112" i="34"/>
  <c r="M123" i="34"/>
  <c r="F135" i="34"/>
  <c r="M135" i="34" s="1"/>
  <c r="M114" i="34"/>
  <c r="Q114" i="34" s="1"/>
  <c r="F126" i="34"/>
  <c r="F137" i="34"/>
  <c r="M137" i="34" s="1"/>
  <c r="M125" i="34"/>
  <c r="Q110" i="34"/>
  <c r="E136" i="34"/>
  <c r="L136" i="34" s="1"/>
  <c r="L124" i="34"/>
  <c r="F128" i="34"/>
  <c r="E134" i="34"/>
  <c r="L134" i="34" s="1"/>
  <c r="L122" i="34"/>
  <c r="G13" i="17"/>
  <c r="L112" i="38"/>
  <c r="O112" i="38" s="1"/>
  <c r="F124" i="38"/>
  <c r="G124" i="38" s="1"/>
  <c r="M124" i="38" s="1"/>
  <c r="E137" i="38"/>
  <c r="K125" i="38"/>
  <c r="E135" i="38"/>
  <c r="K123" i="38"/>
  <c r="L113" i="38"/>
  <c r="O113" i="38" s="1"/>
  <c r="F125" i="38"/>
  <c r="G125" i="38" s="1"/>
  <c r="M125" i="38" s="1"/>
  <c r="K122" i="38"/>
  <c r="E134" i="38"/>
  <c r="K124" i="38"/>
  <c r="E136" i="38"/>
  <c r="L111" i="38"/>
  <c r="O111" i="38" s="1"/>
  <c r="F123" i="38"/>
  <c r="G123" i="38" s="1"/>
  <c r="M123" i="38" s="1"/>
  <c r="L110" i="38"/>
  <c r="O110" i="38" s="1"/>
  <c r="F122" i="38"/>
  <c r="G122" i="38" s="1"/>
  <c r="M122" i="38" s="1"/>
  <c r="S138" i="77" l="1"/>
  <c r="S127" i="77"/>
  <c r="S139" i="77"/>
  <c r="S135" i="77"/>
  <c r="S124" i="77"/>
  <c r="S126" i="77"/>
  <c r="S123" i="77"/>
  <c r="S140" i="77"/>
  <c r="S134" i="77"/>
  <c r="S122" i="77"/>
  <c r="S136" i="77"/>
  <c r="S128" i="77"/>
  <c r="S125" i="77"/>
  <c r="S137" i="77"/>
  <c r="Q122" i="36"/>
  <c r="O144" i="75"/>
  <c r="P144" i="75"/>
  <c r="O139" i="75"/>
  <c r="P139" i="75"/>
  <c r="O145" i="75"/>
  <c r="P145" i="75"/>
  <c r="O138" i="75"/>
  <c r="P138" i="75"/>
  <c r="O137" i="75"/>
  <c r="P137" i="75"/>
  <c r="O135" i="75"/>
  <c r="P135" i="75"/>
  <c r="O141" i="75"/>
  <c r="P141" i="75"/>
  <c r="O134" i="75"/>
  <c r="P134" i="75"/>
  <c r="O136" i="75"/>
  <c r="P136" i="75"/>
  <c r="O140" i="75"/>
  <c r="P140" i="75"/>
  <c r="O143" i="75"/>
  <c r="P143" i="75"/>
  <c r="O142" i="75"/>
  <c r="P142" i="75"/>
  <c r="N122" i="75"/>
  <c r="R122" i="75" s="1"/>
  <c r="K136" i="38"/>
  <c r="K134" i="38"/>
  <c r="K135" i="38"/>
  <c r="K137" i="38"/>
  <c r="T4" i="25"/>
  <c r="T12" i="25" s="1"/>
  <c r="J11" i="25"/>
  <c r="H23" i="57"/>
  <c r="R14" i="17"/>
  <c r="G14" i="17"/>
  <c r="S122" i="76"/>
  <c r="S138" i="76"/>
  <c r="S126" i="76"/>
  <c r="S134" i="76"/>
  <c r="S128" i="76"/>
  <c r="S141" i="76"/>
  <c r="S135" i="76"/>
  <c r="S125" i="76"/>
  <c r="S136" i="76"/>
  <c r="S129" i="76"/>
  <c r="S140" i="76"/>
  <c r="S137" i="76"/>
  <c r="S139" i="76"/>
  <c r="S127" i="76"/>
  <c r="S124" i="76"/>
  <c r="S123" i="76"/>
  <c r="N127" i="75"/>
  <c r="R127" i="75" s="1"/>
  <c r="E139" i="75"/>
  <c r="N139" i="75" s="1"/>
  <c r="E135" i="75"/>
  <c r="N135" i="75" s="1"/>
  <c r="N123" i="75"/>
  <c r="R123" i="75" s="1"/>
  <c r="E140" i="75"/>
  <c r="N140" i="75" s="1"/>
  <c r="N128" i="75"/>
  <c r="R128" i="75" s="1"/>
  <c r="E141" i="75"/>
  <c r="N141" i="75" s="1"/>
  <c r="N129" i="75"/>
  <c r="R129" i="75" s="1"/>
  <c r="N131" i="75"/>
  <c r="R131" i="75" s="1"/>
  <c r="E143" i="75"/>
  <c r="N143" i="75" s="1"/>
  <c r="N126" i="75"/>
  <c r="R126" i="75" s="1"/>
  <c r="E138" i="75"/>
  <c r="N138" i="75" s="1"/>
  <c r="N133" i="75"/>
  <c r="R133" i="75" s="1"/>
  <c r="E145" i="75"/>
  <c r="N145" i="75" s="1"/>
  <c r="E134" i="75"/>
  <c r="N134" i="75" s="1"/>
  <c r="E137" i="75"/>
  <c r="N137" i="75" s="1"/>
  <c r="N125" i="75"/>
  <c r="R125" i="75" s="1"/>
  <c r="E142" i="75"/>
  <c r="N142" i="75" s="1"/>
  <c r="N130" i="75"/>
  <c r="R130" i="75" s="1"/>
  <c r="N132" i="75"/>
  <c r="R132" i="75" s="1"/>
  <c r="E144" i="75"/>
  <c r="N144" i="75" s="1"/>
  <c r="N124" i="75"/>
  <c r="R124" i="75" s="1"/>
  <c r="E136" i="75"/>
  <c r="N136" i="75" s="1"/>
  <c r="Q124" i="34"/>
  <c r="Q136" i="34"/>
  <c r="AC13" i="17"/>
  <c r="L134" i="36"/>
  <c r="M134" i="36"/>
  <c r="F141" i="34"/>
  <c r="M141" i="34" s="1"/>
  <c r="Q141" i="34" s="1"/>
  <c r="M129" i="34"/>
  <c r="Q129" i="34" s="1"/>
  <c r="Q135" i="34"/>
  <c r="M132" i="34"/>
  <c r="Q132" i="34" s="1"/>
  <c r="F144" i="34"/>
  <c r="M144" i="34" s="1"/>
  <c r="Q144" i="34" s="1"/>
  <c r="M131" i="34"/>
  <c r="Q131" i="34" s="1"/>
  <c r="F143" i="34"/>
  <c r="M143" i="34" s="1"/>
  <c r="Q143" i="34" s="1"/>
  <c r="M130" i="34"/>
  <c r="Q130" i="34" s="1"/>
  <c r="F142" i="34"/>
  <c r="M142" i="34" s="1"/>
  <c r="Q142" i="34" s="1"/>
  <c r="M133" i="34"/>
  <c r="Q133" i="34" s="1"/>
  <c r="F145" i="34"/>
  <c r="M145" i="34" s="1"/>
  <c r="Q145" i="34" s="1"/>
  <c r="Q123" i="34"/>
  <c r="F138" i="34"/>
  <c r="M138" i="34" s="1"/>
  <c r="Q138" i="34" s="1"/>
  <c r="M126" i="34"/>
  <c r="Q126" i="34" s="1"/>
  <c r="F140" i="34"/>
  <c r="M140" i="34" s="1"/>
  <c r="Q140" i="34" s="1"/>
  <c r="M128" i="34"/>
  <c r="Q128" i="34" s="1"/>
  <c r="Q122" i="34"/>
  <c r="Q125" i="34"/>
  <c r="Q134" i="34"/>
  <c r="F139" i="34"/>
  <c r="M139" i="34" s="1"/>
  <c r="Q139" i="34" s="1"/>
  <c r="M127" i="34"/>
  <c r="Q127" i="34" s="1"/>
  <c r="Q137" i="34"/>
  <c r="F137" i="38"/>
  <c r="L125" i="38"/>
  <c r="O125" i="38" s="1"/>
  <c r="F134" i="38"/>
  <c r="L122" i="38"/>
  <c r="O122" i="38" s="1"/>
  <c r="L124" i="38"/>
  <c r="O124" i="38" s="1"/>
  <c r="F136" i="38"/>
  <c r="F135" i="38"/>
  <c r="L123" i="38"/>
  <c r="O123" i="38" s="1"/>
  <c r="R144" i="75" l="1"/>
  <c r="R136" i="75"/>
  <c r="Q134" i="36"/>
  <c r="R140" i="75"/>
  <c r="R145" i="75"/>
  <c r="R143" i="75"/>
  <c r="R138" i="75"/>
  <c r="R141" i="75"/>
  <c r="R137" i="75"/>
  <c r="R142" i="75"/>
  <c r="R135" i="75"/>
  <c r="R139" i="75"/>
  <c r="R134" i="75"/>
  <c r="L135" i="38"/>
  <c r="G135" i="38"/>
  <c r="M135" i="38" s="1"/>
  <c r="L136" i="38"/>
  <c r="G136" i="38"/>
  <c r="M136" i="38" s="1"/>
  <c r="L134" i="38"/>
  <c r="G134" i="38"/>
  <c r="M134" i="38" s="1"/>
  <c r="L137" i="38"/>
  <c r="G137" i="38"/>
  <c r="M137" i="38" s="1"/>
  <c r="AC14" i="17"/>
  <c r="AC58" i="17"/>
  <c r="AC57" i="17"/>
  <c r="R58" i="17"/>
  <c r="R57" i="17"/>
  <c r="G57" i="17"/>
  <c r="R15" i="17"/>
  <c r="R16" i="17"/>
  <c r="G15" i="17"/>
  <c r="G58" i="17" l="1"/>
  <c r="O137" i="38"/>
  <c r="O136" i="38"/>
  <c r="O134" i="38"/>
  <c r="O135" i="38"/>
  <c r="U4" i="25"/>
  <c r="U12" i="25" s="1"/>
  <c r="K11" i="25"/>
  <c r="V4" i="25"/>
  <c r="V12" i="25" s="1"/>
  <c r="L11" i="25"/>
  <c r="AC16" i="17"/>
  <c r="AC15" i="17"/>
  <c r="G16" i="17" l="1"/>
  <c r="M18" i="69"/>
  <c r="M21" i="69" s="1"/>
  <c r="G143" i="69" s="1"/>
  <c r="M25" i="69"/>
  <c r="M13" i="69"/>
  <c r="Q66" i="69"/>
  <c r="Q69" i="69" s="1"/>
  <c r="Q29" i="69"/>
  <c r="Q32" i="69" s="1"/>
  <c r="P29" i="69"/>
  <c r="P32" i="69" s="1"/>
  <c r="P66" i="69"/>
  <c r="P69" i="69" s="1"/>
  <c r="O29" i="69"/>
  <c r="O22" i="69" s="1"/>
  <c r="O66" i="69"/>
  <c r="O54" i="69" s="1"/>
  <c r="O57" i="69" s="1"/>
  <c r="N66" i="69"/>
  <c r="N69" i="69" s="1"/>
  <c r="R29" i="69"/>
  <c r="R32" i="69" s="1"/>
  <c r="R66" i="69"/>
  <c r="R49" i="69" s="1"/>
  <c r="N29" i="69"/>
  <c r="AA29" i="69"/>
  <c r="AA32" i="69" s="1"/>
  <c r="AA66" i="69"/>
  <c r="AA69" i="69" s="1"/>
  <c r="Z66" i="69"/>
  <c r="Z49" i="69" s="1"/>
  <c r="Z29" i="69"/>
  <c r="Z32" i="69" s="1"/>
  <c r="Y29" i="69"/>
  <c r="Y32" i="69" s="1"/>
  <c r="Y66" i="69"/>
  <c r="Y69" i="69" s="1"/>
  <c r="X66" i="69"/>
  <c r="X49" i="69" s="1"/>
  <c r="X29" i="69"/>
  <c r="X32" i="69" s="1"/>
  <c r="W66" i="69"/>
  <c r="W59" i="69" s="1"/>
  <c r="W62" i="69" s="1"/>
  <c r="W29" i="69"/>
  <c r="V66" i="69"/>
  <c r="V59" i="69" s="1"/>
  <c r="V62" i="69" s="1"/>
  <c r="V29" i="69"/>
  <c r="V32" i="69" s="1"/>
  <c r="U66" i="69"/>
  <c r="U69" i="69" s="1"/>
  <c r="U29" i="69"/>
  <c r="S66" i="69"/>
  <c r="S54" i="69" s="1"/>
  <c r="S57" i="69" s="1"/>
  <c r="S29" i="69"/>
  <c r="S32" i="69" s="1"/>
  <c r="T66" i="69"/>
  <c r="T69" i="69" s="1"/>
  <c r="P28" i="69"/>
  <c r="Q28" i="69" s="1"/>
  <c r="R28" i="69" s="1"/>
  <c r="S28" i="69" s="1"/>
  <c r="T28" i="69" s="1"/>
  <c r="U28" i="69" s="1"/>
  <c r="V28" i="69" s="1"/>
  <c r="W28" i="69" s="1"/>
  <c r="T29" i="69"/>
  <c r="T32" i="69" s="1"/>
  <c r="N22" i="69" l="1"/>
  <c r="N17" i="69"/>
  <c r="M23" i="69"/>
  <c r="N23" i="69" s="1"/>
  <c r="N26" i="69" s="1"/>
  <c r="V69" i="69"/>
  <c r="W69" i="69"/>
  <c r="Z69" i="69"/>
  <c r="O32" i="69"/>
  <c r="X54" i="69"/>
  <c r="X57" i="69" s="1"/>
  <c r="W49" i="69"/>
  <c r="W52" i="69" s="1"/>
  <c r="S69" i="69"/>
  <c r="S49" i="69"/>
  <c r="S52" i="69" s="1"/>
  <c r="X69" i="69"/>
  <c r="P49" i="69"/>
  <c r="P52" i="69" s="1"/>
  <c r="Q59" i="69"/>
  <c r="Q62" i="69" s="1"/>
  <c r="P54" i="69"/>
  <c r="P57" i="69" s="1"/>
  <c r="Q54" i="69"/>
  <c r="Q57" i="69" s="1"/>
  <c r="P59" i="69"/>
  <c r="P62" i="69" s="1"/>
  <c r="R69" i="69"/>
  <c r="Q49" i="69"/>
  <c r="Q52" i="69" s="1"/>
  <c r="R59" i="69"/>
  <c r="R62" i="69" s="1"/>
  <c r="Y59" i="69"/>
  <c r="Y62" i="69" s="1"/>
  <c r="N49" i="69"/>
  <c r="N50" i="69" s="1"/>
  <c r="W54" i="69"/>
  <c r="W57" i="69" s="1"/>
  <c r="S59" i="69"/>
  <c r="S62" i="69" s="1"/>
  <c r="Z59" i="69"/>
  <c r="Z62" i="69" s="1"/>
  <c r="Y54" i="69"/>
  <c r="Y57" i="69" s="1"/>
  <c r="V54" i="69"/>
  <c r="V57" i="69" s="1"/>
  <c r="V49" i="69"/>
  <c r="V52" i="69" s="1"/>
  <c r="Z54" i="69"/>
  <c r="Z57" i="69" s="1"/>
  <c r="O17" i="69"/>
  <c r="O20" i="69" s="1"/>
  <c r="G132" i="69"/>
  <c r="G141" i="69" s="1"/>
  <c r="M15" i="69"/>
  <c r="M20" i="69"/>
  <c r="V17" i="69"/>
  <c r="V20" i="69" s="1"/>
  <c r="G142" i="69"/>
  <c r="G131" i="69"/>
  <c r="G137" i="69" s="1"/>
  <c r="M26" i="69"/>
  <c r="G147" i="69" s="1"/>
  <c r="G133" i="69"/>
  <c r="G145" i="69" s="1"/>
  <c r="R12" i="69"/>
  <c r="L131" i="69" s="1"/>
  <c r="U54" i="69"/>
  <c r="U57" i="69" s="1"/>
  <c r="U49" i="69"/>
  <c r="U59" i="69"/>
  <c r="U62" i="69" s="1"/>
  <c r="X52" i="69"/>
  <c r="X28" i="69"/>
  <c r="Y28" i="69" s="1"/>
  <c r="Z28" i="69" s="1"/>
  <c r="AA28" i="69" s="1"/>
  <c r="AA22" i="69" s="1"/>
  <c r="AA25" i="69" s="1"/>
  <c r="W17" i="69"/>
  <c r="W20" i="69" s="1"/>
  <c r="N25" i="69"/>
  <c r="AA49" i="69"/>
  <c r="AA59" i="69"/>
  <c r="AA62" i="69" s="1"/>
  <c r="AA54" i="69"/>
  <c r="AA57" i="69" s="1"/>
  <c r="O25" i="69"/>
  <c r="Z52" i="69"/>
  <c r="T54" i="69"/>
  <c r="T57" i="69" s="1"/>
  <c r="T59" i="69"/>
  <c r="T62" i="69" s="1"/>
  <c r="T49" i="69"/>
  <c r="W22" i="69"/>
  <c r="W25" i="69" s="1"/>
  <c r="R52" i="69"/>
  <c r="T22" i="69"/>
  <c r="T25" i="69" s="1"/>
  <c r="O69" i="69"/>
  <c r="O59" i="69"/>
  <c r="O62" i="69" s="1"/>
  <c r="O49" i="69"/>
  <c r="S17" i="69"/>
  <c r="S20" i="69" s="1"/>
  <c r="Q17" i="69"/>
  <c r="G138" i="69"/>
  <c r="M16" i="69"/>
  <c r="U17" i="69"/>
  <c r="U20" i="69" s="1"/>
  <c r="N12" i="69"/>
  <c r="N13" i="69" s="1"/>
  <c r="O12" i="69"/>
  <c r="N32" i="69"/>
  <c r="G146" i="69"/>
  <c r="T12" i="69"/>
  <c r="Q22" i="69"/>
  <c r="W12" i="69"/>
  <c r="V22" i="69"/>
  <c r="V25" i="69" s="1"/>
  <c r="T17" i="69"/>
  <c r="T20" i="69" s="1"/>
  <c r="P17" i="69"/>
  <c r="U32" i="69"/>
  <c r="W32" i="69"/>
  <c r="X59" i="69"/>
  <c r="X62" i="69" s="1"/>
  <c r="P12" i="69"/>
  <c r="R22" i="69"/>
  <c r="Y49" i="69"/>
  <c r="N54" i="69"/>
  <c r="Q12" i="69"/>
  <c r="R54" i="69"/>
  <c r="R57" i="69" s="1"/>
  <c r="N59" i="69"/>
  <c r="H133" i="69" s="1"/>
  <c r="H145" i="69" s="1"/>
  <c r="R17" i="69"/>
  <c r="P22" i="69"/>
  <c r="V12" i="69"/>
  <c r="S22" i="69"/>
  <c r="S25" i="69" s="1"/>
  <c r="U12" i="69"/>
  <c r="S12" i="69"/>
  <c r="U22" i="69"/>
  <c r="U25" i="69" s="1"/>
  <c r="N18" i="69"/>
  <c r="M93" i="69" l="1"/>
  <c r="M100" i="69" s="1"/>
  <c r="M94" i="69"/>
  <c r="M101" i="69" s="1"/>
  <c r="G139" i="69"/>
  <c r="M90" i="69"/>
  <c r="M91" i="69"/>
  <c r="M92" i="69"/>
  <c r="H138" i="69"/>
  <c r="Z12" i="69"/>
  <c r="Z22" i="69"/>
  <c r="Z25" i="69" s="1"/>
  <c r="X17" i="69"/>
  <c r="X20" i="69" s="1"/>
  <c r="V46" i="69"/>
  <c r="V68" i="69" s="1"/>
  <c r="Z46" i="69"/>
  <c r="Z68" i="69" s="1"/>
  <c r="I132" i="69"/>
  <c r="I141" i="69" s="1"/>
  <c r="W46" i="69"/>
  <c r="W68" i="69" s="1"/>
  <c r="S46" i="69"/>
  <c r="S68" i="69" s="1"/>
  <c r="N52" i="69"/>
  <c r="P46" i="69"/>
  <c r="P68" i="69" s="1"/>
  <c r="Q46" i="69"/>
  <c r="Q68" i="69" s="1"/>
  <c r="O23" i="69"/>
  <c r="O26" i="69" s="1"/>
  <c r="R46" i="69"/>
  <c r="R68" i="69" s="1"/>
  <c r="AA12" i="69"/>
  <c r="AA15" i="69" s="1"/>
  <c r="AA17" i="69"/>
  <c r="AA20" i="69" s="1"/>
  <c r="I133" i="69"/>
  <c r="I145" i="69" s="1"/>
  <c r="Y12" i="69"/>
  <c r="Y15" i="69" s="1"/>
  <c r="R15" i="69"/>
  <c r="Z17" i="69"/>
  <c r="Z20" i="69" s="1"/>
  <c r="R9" i="69"/>
  <c r="R31" i="69" s="1"/>
  <c r="X22" i="69"/>
  <c r="X25" i="69" s="1"/>
  <c r="N46" i="69"/>
  <c r="N47" i="69" s="1"/>
  <c r="G130" i="69"/>
  <c r="O18" i="69"/>
  <c r="N21" i="69"/>
  <c r="K131" i="69"/>
  <c r="Q9" i="69"/>
  <c r="Q31" i="69" s="1"/>
  <c r="K129" i="69" s="1"/>
  <c r="Q15" i="69"/>
  <c r="U9" i="69"/>
  <c r="U31" i="69" s="1"/>
  <c r="U15" i="69"/>
  <c r="O50" i="69"/>
  <c r="N53" i="69"/>
  <c r="O13" i="69"/>
  <c r="N16" i="69"/>
  <c r="Q25" i="69"/>
  <c r="K133" i="69"/>
  <c r="Y52" i="69"/>
  <c r="Y46" i="69"/>
  <c r="Y68" i="69" s="1"/>
  <c r="O15" i="69"/>
  <c r="I131" i="69"/>
  <c r="O9" i="69"/>
  <c r="O31" i="69" s="1"/>
  <c r="V9" i="69"/>
  <c r="V31" i="69" s="1"/>
  <c r="V15" i="69"/>
  <c r="T52" i="69"/>
  <c r="T46" i="69"/>
  <c r="T68" i="69" s="1"/>
  <c r="L132" i="69"/>
  <c r="R20" i="69"/>
  <c r="X12" i="69"/>
  <c r="W9" i="69"/>
  <c r="W31" i="69" s="1"/>
  <c r="W15" i="69"/>
  <c r="T9" i="69"/>
  <c r="T31" i="69" s="1"/>
  <c r="T15" i="69"/>
  <c r="AA46" i="69"/>
  <c r="AA68" i="69" s="1"/>
  <c r="AA52" i="69"/>
  <c r="L133" i="69"/>
  <c r="R25" i="69"/>
  <c r="P9" i="69"/>
  <c r="P31" i="69" s="1"/>
  <c r="P15" i="69"/>
  <c r="J131" i="69"/>
  <c r="P20" i="69"/>
  <c r="J132" i="69"/>
  <c r="N62" i="69"/>
  <c r="N60" i="69"/>
  <c r="U46" i="69"/>
  <c r="U68" i="69" s="1"/>
  <c r="U52" i="69"/>
  <c r="N55" i="69"/>
  <c r="N57" i="69"/>
  <c r="H132" i="69"/>
  <c r="H141" i="69" s="1"/>
  <c r="N20" i="69"/>
  <c r="Q20" i="69"/>
  <c r="K132" i="69"/>
  <c r="Z15" i="69"/>
  <c r="S9" i="69"/>
  <c r="S31" i="69" s="1"/>
  <c r="S15" i="69"/>
  <c r="N15" i="69"/>
  <c r="N9" i="69"/>
  <c r="H131" i="69"/>
  <c r="O52" i="69"/>
  <c r="O46" i="69"/>
  <c r="O68" i="69" s="1"/>
  <c r="J133" i="69"/>
  <c r="P25" i="69"/>
  <c r="X46" i="69"/>
  <c r="X68" i="69" s="1"/>
  <c r="Y17" i="69"/>
  <c r="Y20" i="69" s="1"/>
  <c r="Y22" i="69"/>
  <c r="Y25" i="69" s="1"/>
  <c r="M99" i="69" l="1"/>
  <c r="M102" i="69" s="1"/>
  <c r="M95" i="69"/>
  <c r="H139" i="69"/>
  <c r="H140" i="69" s="1"/>
  <c r="L130" i="69"/>
  <c r="J129" i="69"/>
  <c r="P23" i="69"/>
  <c r="P26" i="69" s="1"/>
  <c r="L129" i="69"/>
  <c r="Z9" i="69"/>
  <c r="Z31" i="69" s="1"/>
  <c r="N68" i="69"/>
  <c r="AA9" i="69"/>
  <c r="AA31" i="69" s="1"/>
  <c r="P13" i="69"/>
  <c r="I138" i="69"/>
  <c r="O16" i="69"/>
  <c r="O55" i="69"/>
  <c r="N58" i="69"/>
  <c r="H146" i="69"/>
  <c r="I129" i="69"/>
  <c r="I130" i="69"/>
  <c r="I137" i="69"/>
  <c r="H137" i="69"/>
  <c r="H130" i="69"/>
  <c r="N31" i="69"/>
  <c r="N10" i="69"/>
  <c r="O10" i="69" s="1"/>
  <c r="P10" i="69" s="1"/>
  <c r="Q10" i="69" s="1"/>
  <c r="R10" i="69" s="1"/>
  <c r="S10" i="69" s="1"/>
  <c r="T10" i="69" s="1"/>
  <c r="U10" i="69" s="1"/>
  <c r="V10" i="69" s="1"/>
  <c r="W10" i="69" s="1"/>
  <c r="P50" i="69"/>
  <c r="O53" i="69"/>
  <c r="N63" i="69"/>
  <c r="H147" i="69" s="1"/>
  <c r="O60" i="69"/>
  <c r="K130" i="69"/>
  <c r="J130" i="69"/>
  <c r="X15" i="69"/>
  <c r="X9" i="69"/>
  <c r="X31" i="69" s="1"/>
  <c r="O21" i="69"/>
  <c r="P18" i="69"/>
  <c r="O47" i="69"/>
  <c r="P47" i="69" s="1"/>
  <c r="Q47" i="69" s="1"/>
  <c r="R47" i="69" s="1"/>
  <c r="S47" i="69" s="1"/>
  <c r="T47" i="69" s="1"/>
  <c r="U47" i="69" s="1"/>
  <c r="V47" i="69" s="1"/>
  <c r="W47" i="69" s="1"/>
  <c r="X47" i="69" s="1"/>
  <c r="Y47" i="69" s="1"/>
  <c r="Z47" i="69" s="1"/>
  <c r="AA47" i="69" s="1"/>
  <c r="Y9" i="69"/>
  <c r="Y31" i="69" s="1"/>
  <c r="H142" i="69"/>
  <c r="I157" i="69" l="1"/>
  <c r="I155" i="69" s="1"/>
  <c r="N94" i="69"/>
  <c r="N101" i="69" s="1"/>
  <c r="H8" i="71" s="1"/>
  <c r="H20" i="71" s="1"/>
  <c r="N93" i="69"/>
  <c r="N100" i="69" s="1"/>
  <c r="H7" i="71" s="1"/>
  <c r="H19" i="71" s="1"/>
  <c r="H148" i="69"/>
  <c r="K157" i="69" s="1"/>
  <c r="K154" i="69" s="1"/>
  <c r="H129" i="69"/>
  <c r="N90" i="69"/>
  <c r="N92" i="69"/>
  <c r="N99" i="69" s="1"/>
  <c r="I143" i="69"/>
  <c r="N91" i="69"/>
  <c r="O90" i="69"/>
  <c r="O91" i="69"/>
  <c r="O92" i="69"/>
  <c r="H143" i="69"/>
  <c r="H144" i="69" s="1"/>
  <c r="J157" i="69" s="1"/>
  <c r="J156" i="69" s="1"/>
  <c r="Q23" i="69"/>
  <c r="R23" i="69" s="1"/>
  <c r="I139" i="69"/>
  <c r="I140" i="69" s="1"/>
  <c r="L157" i="69" s="1"/>
  <c r="P60" i="69"/>
  <c r="O63" i="69"/>
  <c r="I147" i="69" s="1"/>
  <c r="P55" i="69"/>
  <c r="O58" i="69"/>
  <c r="I148" i="69" s="1"/>
  <c r="N157" i="69" s="1"/>
  <c r="I146" i="69"/>
  <c r="P53" i="69"/>
  <c r="Q50" i="69"/>
  <c r="I142" i="69"/>
  <c r="Q18" i="69"/>
  <c r="P21" i="69"/>
  <c r="K153" i="69"/>
  <c r="X10" i="69"/>
  <c r="Y10" i="69" s="1"/>
  <c r="Z10" i="69" s="1"/>
  <c r="AA10" i="69" s="1"/>
  <c r="Q13" i="69"/>
  <c r="P16" i="69"/>
  <c r="O20" i="24" l="1"/>
  <c r="O28" i="57"/>
  <c r="X20" i="24"/>
  <c r="X28" i="57"/>
  <c r="I154" i="69"/>
  <c r="I153" i="69"/>
  <c r="F162" i="69" s="1"/>
  <c r="F170" i="69" s="1"/>
  <c r="I152" i="69"/>
  <c r="K152" i="69"/>
  <c r="I156" i="69"/>
  <c r="N155" i="69"/>
  <c r="N156" i="69"/>
  <c r="L155" i="69"/>
  <c r="L156" i="69"/>
  <c r="K155" i="69"/>
  <c r="K156" i="69"/>
  <c r="J152" i="69"/>
  <c r="F161" i="69" s="1"/>
  <c r="J155" i="69"/>
  <c r="O99" i="69"/>
  <c r="J153" i="69"/>
  <c r="N95" i="69"/>
  <c r="O93" i="69"/>
  <c r="O100" i="69" s="1"/>
  <c r="I7" i="71" s="1"/>
  <c r="I19" i="71" s="1"/>
  <c r="J154" i="69"/>
  <c r="F163" i="69" s="1"/>
  <c r="F171" i="69" s="1"/>
  <c r="O94" i="69"/>
  <c r="O101" i="69" s="1"/>
  <c r="I8" i="71" s="1"/>
  <c r="I20" i="71" s="1"/>
  <c r="H6" i="71"/>
  <c r="Q26" i="69"/>
  <c r="I144" i="69"/>
  <c r="M157" i="69" s="1"/>
  <c r="M156" i="69" s="1"/>
  <c r="P63" i="69"/>
  <c r="Q60" i="69"/>
  <c r="R50" i="69"/>
  <c r="Q53" i="69"/>
  <c r="Q21" i="69"/>
  <c r="R18" i="69"/>
  <c r="R13" i="69"/>
  <c r="Q16" i="69"/>
  <c r="N152" i="69"/>
  <c r="N154" i="69"/>
  <c r="N153" i="69"/>
  <c r="L153" i="69"/>
  <c r="L152" i="69"/>
  <c r="L154" i="69"/>
  <c r="S23" i="69"/>
  <c r="R26" i="69"/>
  <c r="Q55" i="69"/>
  <c r="P58" i="69"/>
  <c r="H9" i="71" l="1"/>
  <c r="H18" i="71"/>
  <c r="H21" i="71" s="1"/>
  <c r="F164" i="69"/>
  <c r="F172" i="69" s="1"/>
  <c r="D7" i="71" s="1"/>
  <c r="D19" i="71" s="1"/>
  <c r="O21" i="24"/>
  <c r="O29" i="57"/>
  <c r="X21" i="24"/>
  <c r="X29" i="57"/>
  <c r="G165" i="69"/>
  <c r="F165" i="69"/>
  <c r="F173" i="69" s="1"/>
  <c r="D8" i="71" s="1"/>
  <c r="G173" i="69"/>
  <c r="E8" i="71" s="1"/>
  <c r="E20" i="71" s="1"/>
  <c r="O102" i="69"/>
  <c r="F169" i="69"/>
  <c r="F174" i="69" s="1"/>
  <c r="F166" i="69"/>
  <c r="M153" i="69"/>
  <c r="G162" i="69" s="1"/>
  <c r="M155" i="69"/>
  <c r="G164" i="69" s="1"/>
  <c r="G172" i="69" s="1"/>
  <c r="E7" i="71" s="1"/>
  <c r="E19" i="71" s="1"/>
  <c r="I6" i="71"/>
  <c r="N102" i="69"/>
  <c r="G20" i="24"/>
  <c r="M152" i="69"/>
  <c r="G161" i="69" s="1"/>
  <c r="M154" i="69"/>
  <c r="G163" i="69" s="1"/>
  <c r="G171" i="69" s="1"/>
  <c r="E6" i="71" s="1"/>
  <c r="O95" i="69"/>
  <c r="D6" i="71"/>
  <c r="D18" i="71" s="1"/>
  <c r="Q58" i="69"/>
  <c r="R55" i="69"/>
  <c r="S50" i="69"/>
  <c r="R53" i="69"/>
  <c r="R21" i="69"/>
  <c r="S18" i="69"/>
  <c r="D5" i="71"/>
  <c r="D17" i="71" s="1"/>
  <c r="Q63" i="69"/>
  <c r="R60" i="69"/>
  <c r="T23" i="69"/>
  <c r="S26" i="69"/>
  <c r="S13" i="69"/>
  <c r="R16" i="69"/>
  <c r="I9" i="71" l="1"/>
  <c r="I18" i="71"/>
  <c r="I21" i="71" s="1"/>
  <c r="AF16" i="17"/>
  <c r="E18" i="71"/>
  <c r="AF58" i="17" s="1"/>
  <c r="D20" i="71"/>
  <c r="BB15" i="17" s="1"/>
  <c r="BB57" i="17" s="1"/>
  <c r="AF15" i="17"/>
  <c r="AQ15" i="17"/>
  <c r="AQ57" i="17" s="1"/>
  <c r="G18" i="25"/>
  <c r="AQ16" i="17"/>
  <c r="AQ58" i="17" s="1"/>
  <c r="G19" i="25"/>
  <c r="BB16" i="17"/>
  <c r="BB58" i="17" s="1"/>
  <c r="G29" i="57"/>
  <c r="G169" i="69"/>
  <c r="E4" i="71" s="1"/>
  <c r="G166" i="69"/>
  <c r="G28" i="57"/>
  <c r="G170" i="69"/>
  <c r="E5" i="71" s="1"/>
  <c r="E17" i="71" s="1"/>
  <c r="S16" i="69"/>
  <c r="T13" i="69"/>
  <c r="S60" i="69"/>
  <c r="R63" i="69"/>
  <c r="S55" i="69"/>
  <c r="R58" i="69"/>
  <c r="T26" i="69"/>
  <c r="U23" i="69"/>
  <c r="U57" i="17"/>
  <c r="U15" i="17"/>
  <c r="S53" i="69"/>
  <c r="T50" i="69"/>
  <c r="AF57" i="17"/>
  <c r="D4" i="71"/>
  <c r="S21" i="69"/>
  <c r="T18" i="69"/>
  <c r="E9" i="71" l="1"/>
  <c r="E16" i="71"/>
  <c r="E21" i="71" s="1"/>
  <c r="D9" i="71"/>
  <c r="D16" i="71"/>
  <c r="D21" i="71" s="1"/>
  <c r="G17" i="25"/>
  <c r="G21" i="24"/>
  <c r="G174" i="69"/>
  <c r="S58" i="69"/>
  <c r="T55" i="69"/>
  <c r="V23" i="69"/>
  <c r="U26" i="69"/>
  <c r="U18" i="69"/>
  <c r="T21" i="69"/>
  <c r="T16" i="69"/>
  <c r="U13" i="69"/>
  <c r="U16" i="17"/>
  <c r="U58" i="17"/>
  <c r="G16" i="25"/>
  <c r="T60" i="69"/>
  <c r="S63" i="69"/>
  <c r="T53" i="69"/>
  <c r="U50" i="69"/>
  <c r="T58" i="69" l="1"/>
  <c r="U55" i="69"/>
  <c r="V50" i="69"/>
  <c r="U53" i="69"/>
  <c r="U16" i="69"/>
  <c r="V13" i="69"/>
  <c r="V18" i="69"/>
  <c r="U21" i="69"/>
  <c r="J58" i="17"/>
  <c r="G15" i="25"/>
  <c r="J16" i="17"/>
  <c r="J57" i="17"/>
  <c r="J15" i="17"/>
  <c r="U60" i="69"/>
  <c r="T63" i="69"/>
  <c r="W23" i="69"/>
  <c r="V26" i="69"/>
  <c r="G23" i="25" l="1"/>
  <c r="W18" i="69"/>
  <c r="V21" i="69"/>
  <c r="W26" i="69"/>
  <c r="X23" i="69"/>
  <c r="W13" i="69"/>
  <c r="V16" i="69"/>
  <c r="V53" i="69"/>
  <c r="W50" i="69"/>
  <c r="U58" i="69"/>
  <c r="V55" i="69"/>
  <c r="U63" i="69"/>
  <c r="V60" i="69"/>
  <c r="Y23" i="69" l="1"/>
  <c r="X26" i="69"/>
  <c r="V63" i="69"/>
  <c r="W60" i="69"/>
  <c r="V58" i="69"/>
  <c r="W55" i="69"/>
  <c r="W16" i="69"/>
  <c r="X13" i="69"/>
  <c r="W21" i="69"/>
  <c r="X18" i="69"/>
  <c r="W53" i="69"/>
  <c r="X50" i="69"/>
  <c r="Y18" i="69" l="1"/>
  <c r="X21" i="69"/>
  <c r="Y13" i="69"/>
  <c r="X16" i="69"/>
  <c r="X55" i="69"/>
  <c r="W58" i="69"/>
  <c r="Y50" i="69"/>
  <c r="X53" i="69"/>
  <c r="X60" i="69"/>
  <c r="W63" i="69"/>
  <c r="Y26" i="69"/>
  <c r="Z23" i="69"/>
  <c r="Y55" i="69" l="1"/>
  <c r="X58" i="69"/>
  <c r="Y21" i="69"/>
  <c r="Z18" i="69"/>
  <c r="Z13" i="69"/>
  <c r="Y16" i="69"/>
  <c r="Z26" i="69"/>
  <c r="AA23" i="69"/>
  <c r="AA26" i="69" s="1"/>
  <c r="Y60" i="69"/>
  <c r="X63" i="69"/>
  <c r="Z50" i="69"/>
  <c r="Y53" i="69"/>
  <c r="AA13" i="69" l="1"/>
  <c r="AA16" i="69" s="1"/>
  <c r="Z16" i="69"/>
  <c r="Y63" i="69"/>
  <c r="Z60" i="69"/>
  <c r="Z21" i="69"/>
  <c r="AA18" i="69"/>
  <c r="AA21" i="69" s="1"/>
  <c r="Z53" i="69"/>
  <c r="AA50" i="69"/>
  <c r="AA53" i="69" s="1"/>
  <c r="Y58" i="69"/>
  <c r="Z55" i="69"/>
  <c r="Z63" i="69" l="1"/>
  <c r="AA60" i="69"/>
  <c r="AA63" i="69" s="1"/>
  <c r="AA55" i="69"/>
  <c r="AA58" i="69" s="1"/>
  <c r="Z58" i="69"/>
  <c r="U62" i="72" l="1"/>
  <c r="T5" i="72" l="1"/>
  <c r="R5" i="72"/>
  <c r="U5" i="72"/>
  <c r="Q5" i="72"/>
  <c r="P5" i="72"/>
  <c r="S5" i="72"/>
  <c r="S19" i="72" l="1"/>
  <c r="U19" i="72"/>
  <c r="Q19" i="72"/>
  <c r="R19" i="72"/>
  <c r="T19" i="72"/>
  <c r="E62" i="72"/>
  <c r="P19" i="72"/>
  <c r="C62" i="72"/>
  <c r="D62" i="72"/>
  <c r="G62" i="72"/>
  <c r="F62" i="72"/>
  <c r="J62" i="72" l="1"/>
  <c r="Q76" i="72" s="1"/>
  <c r="O76" i="72" l="1"/>
  <c r="R76" i="72"/>
  <c r="S76" i="72"/>
  <c r="P76" i="72"/>
  <c r="U76" i="72" l="1"/>
  <c r="U63" i="72" l="1"/>
  <c r="K4" i="72" l="1"/>
  <c r="P4" i="72" s="1"/>
  <c r="K8" i="72"/>
  <c r="U64" i="72"/>
  <c r="U61" i="72"/>
  <c r="T6" i="72"/>
  <c r="S6" i="72"/>
  <c r="R6" i="72"/>
  <c r="U6" i="72"/>
  <c r="Q6" i="72"/>
  <c r="P6" i="72"/>
  <c r="U65" i="72"/>
  <c r="Q20" i="72" l="1"/>
  <c r="U20" i="72"/>
  <c r="R20" i="72"/>
  <c r="S20" i="72"/>
  <c r="T20" i="72"/>
  <c r="G63" i="72"/>
  <c r="D63" i="72"/>
  <c r="E63" i="72"/>
  <c r="F63" i="72"/>
  <c r="T7" i="72"/>
  <c r="S7" i="72"/>
  <c r="Q7" i="72"/>
  <c r="R7" i="72"/>
  <c r="P7" i="72"/>
  <c r="U7" i="72"/>
  <c r="Q8" i="72"/>
  <c r="S8" i="72"/>
  <c r="T8" i="72"/>
  <c r="R8" i="72"/>
  <c r="P8" i="72"/>
  <c r="U8" i="72"/>
  <c r="T4" i="72"/>
  <c r="U4" i="72"/>
  <c r="S4" i="72"/>
  <c r="Q4" i="72"/>
  <c r="R4" i="72"/>
  <c r="C63" i="72"/>
  <c r="P20" i="72"/>
  <c r="U21" i="72" l="1"/>
  <c r="U22" i="72"/>
  <c r="Q39" i="72"/>
  <c r="S21" i="72"/>
  <c r="R21" i="72"/>
  <c r="T21" i="72"/>
  <c r="S40" i="72"/>
  <c r="S41" i="72"/>
  <c r="U40" i="72"/>
  <c r="U41" i="72"/>
  <c r="T22" i="72"/>
  <c r="R40" i="72"/>
  <c r="F81" i="148" s="1"/>
  <c r="F82" i="148" s="1"/>
  <c r="F83" i="148" s="1"/>
  <c r="F84" i="148" s="1"/>
  <c r="R41" i="72"/>
  <c r="G81" i="148" s="1"/>
  <c r="G82" i="148" s="1"/>
  <c r="G83" i="148" s="1"/>
  <c r="G84" i="148" s="1"/>
  <c r="T40" i="72"/>
  <c r="T41" i="72"/>
  <c r="R22" i="72"/>
  <c r="S22" i="72"/>
  <c r="Q21" i="72"/>
  <c r="Q40" i="72"/>
  <c r="F75" i="148" s="1"/>
  <c r="F76" i="148" s="1"/>
  <c r="F77" i="148" s="1"/>
  <c r="F78" i="148" s="1"/>
  <c r="F79" i="148" s="1"/>
  <c r="Q41" i="72"/>
  <c r="G75" i="148" s="1"/>
  <c r="G76" i="148" s="1"/>
  <c r="G77" i="148" s="1"/>
  <c r="G78" i="148" s="1"/>
  <c r="G79" i="148" s="1"/>
  <c r="Q22" i="72"/>
  <c r="P40" i="72"/>
  <c r="F68" i="148" s="1"/>
  <c r="P41" i="72"/>
  <c r="G68" i="148" s="1"/>
  <c r="Q13" i="148" s="1"/>
  <c r="R39" i="72"/>
  <c r="E81" i="148" s="1"/>
  <c r="E82" i="148" s="1"/>
  <c r="E83" i="148" s="1"/>
  <c r="E84" i="148" s="1"/>
  <c r="R18" i="72"/>
  <c r="Q38" i="72"/>
  <c r="D75" i="148" s="1"/>
  <c r="D76" i="148" s="1"/>
  <c r="D77" i="148" s="1"/>
  <c r="D78" i="148" s="1"/>
  <c r="D79" i="148" s="1"/>
  <c r="E75" i="148"/>
  <c r="E76" i="148" s="1"/>
  <c r="E77" i="148" s="1"/>
  <c r="E78" i="148" s="1"/>
  <c r="E79" i="148" s="1"/>
  <c r="Q37" i="72"/>
  <c r="Q18" i="72"/>
  <c r="Q14" i="72"/>
  <c r="P39" i="72"/>
  <c r="E68" i="148" s="1"/>
  <c r="S39" i="72"/>
  <c r="S18" i="72"/>
  <c r="U18" i="72"/>
  <c r="U32" i="72" s="1"/>
  <c r="U39" i="72"/>
  <c r="T39" i="72"/>
  <c r="T18" i="72"/>
  <c r="E65" i="72"/>
  <c r="U38" i="72"/>
  <c r="G64" i="72"/>
  <c r="P37" i="72"/>
  <c r="C64" i="72"/>
  <c r="P21" i="72"/>
  <c r="R14" i="72"/>
  <c r="D64" i="72"/>
  <c r="J63" i="72"/>
  <c r="Q77" i="72" s="1"/>
  <c r="D61" i="72"/>
  <c r="R37" i="72"/>
  <c r="R38" i="72"/>
  <c r="D81" i="148" s="1"/>
  <c r="D82" i="148" s="1"/>
  <c r="D83" i="148" s="1"/>
  <c r="D84" i="148" s="1"/>
  <c r="S14" i="72"/>
  <c r="E64" i="72"/>
  <c r="T14" i="72"/>
  <c r="F64" i="72"/>
  <c r="C61" i="72"/>
  <c r="P18" i="72"/>
  <c r="P14" i="72"/>
  <c r="P38" i="72"/>
  <c r="D68" i="148" s="1"/>
  <c r="E61" i="72"/>
  <c r="S37" i="72"/>
  <c r="S38" i="72"/>
  <c r="G61" i="72"/>
  <c r="U37" i="72"/>
  <c r="U14" i="72"/>
  <c r="F61" i="72"/>
  <c r="T37" i="72"/>
  <c r="T38" i="72"/>
  <c r="G65" i="72"/>
  <c r="P22" i="72"/>
  <c r="C65" i="72"/>
  <c r="D65" i="72"/>
  <c r="F65" i="72"/>
  <c r="E72" i="72" l="1"/>
  <c r="U28" i="72"/>
  <c r="T42" i="72"/>
  <c r="U42" i="72"/>
  <c r="G90" i="148"/>
  <c r="G91" i="148" s="1"/>
  <c r="F11" i="73"/>
  <c r="H11" i="73" s="1"/>
  <c r="F90" i="148"/>
  <c r="F91" i="148" s="1"/>
  <c r="F10" i="73"/>
  <c r="H10" i="73" s="1"/>
  <c r="G93" i="148"/>
  <c r="I11" i="73"/>
  <c r="K11" i="73" s="1"/>
  <c r="F93" i="148"/>
  <c r="I10" i="73"/>
  <c r="K10" i="73" s="1"/>
  <c r="G86" i="148"/>
  <c r="G87" i="148" s="1"/>
  <c r="G88" i="148" s="1"/>
  <c r="C11" i="73"/>
  <c r="E11" i="73" s="1"/>
  <c r="F86" i="148"/>
  <c r="F87" i="148" s="1"/>
  <c r="F88" i="148" s="1"/>
  <c r="C10" i="73"/>
  <c r="E10" i="73" s="1"/>
  <c r="Q43" i="148"/>
  <c r="G69" i="148"/>
  <c r="Q14" i="148" s="1"/>
  <c r="Q42" i="72"/>
  <c r="S32" i="72"/>
  <c r="F72" i="72"/>
  <c r="R32" i="72"/>
  <c r="T32" i="72"/>
  <c r="P32" i="72"/>
  <c r="Q31" i="72"/>
  <c r="Q30" i="72"/>
  <c r="Q28" i="72"/>
  <c r="Q34" i="72"/>
  <c r="Q33" i="72"/>
  <c r="Q32" i="72"/>
  <c r="F69" i="148"/>
  <c r="P13" i="148"/>
  <c r="S30" i="72"/>
  <c r="S28" i="72"/>
  <c r="S34" i="72"/>
  <c r="S31" i="72"/>
  <c r="S33" i="72"/>
  <c r="R30" i="72"/>
  <c r="R28" i="72"/>
  <c r="R34" i="72"/>
  <c r="R31" i="72"/>
  <c r="R33" i="72"/>
  <c r="E69" i="148"/>
  <c r="O13" i="148"/>
  <c r="O77" i="72"/>
  <c r="S77" i="72"/>
  <c r="P77" i="72"/>
  <c r="R77" i="72"/>
  <c r="D90" i="148"/>
  <c r="D91" i="148" s="1"/>
  <c r="F8" i="73"/>
  <c r="H8" i="73" s="1"/>
  <c r="J64" i="72"/>
  <c r="Q78" i="72" s="1"/>
  <c r="T28" i="72"/>
  <c r="T30" i="72"/>
  <c r="T31" i="72"/>
  <c r="T34" i="72"/>
  <c r="T33" i="72"/>
  <c r="J61" i="72"/>
  <c r="Q75" i="72" s="1"/>
  <c r="C72" i="72"/>
  <c r="E93" i="148"/>
  <c r="I9" i="73"/>
  <c r="K9" i="73" s="1"/>
  <c r="J65" i="72"/>
  <c r="Q79" i="72" s="1"/>
  <c r="C68" i="148"/>
  <c r="P42" i="72"/>
  <c r="F7" i="73"/>
  <c r="C90" i="148"/>
  <c r="C93" i="148"/>
  <c r="I7" i="73"/>
  <c r="D69" i="148"/>
  <c r="N13" i="148"/>
  <c r="P30" i="72"/>
  <c r="P28" i="72"/>
  <c r="P34" i="72"/>
  <c r="P31" i="72"/>
  <c r="P33" i="72"/>
  <c r="U30" i="72"/>
  <c r="U34" i="72"/>
  <c r="U31" i="72"/>
  <c r="U33" i="72"/>
  <c r="G72" i="72"/>
  <c r="I8" i="73"/>
  <c r="K8" i="73" s="1"/>
  <c r="D93" i="148"/>
  <c r="D72" i="72"/>
  <c r="F9" i="73"/>
  <c r="H9" i="73" s="1"/>
  <c r="E90" i="148"/>
  <c r="E91" i="148" s="1"/>
  <c r="C9" i="73"/>
  <c r="E9" i="73" s="1"/>
  <c r="E86" i="148"/>
  <c r="E87" i="148" s="1"/>
  <c r="E88" i="148" s="1"/>
  <c r="C75" i="148"/>
  <c r="D86" i="148"/>
  <c r="D87" i="148" s="1"/>
  <c r="D88" i="148" s="1"/>
  <c r="C8" i="73"/>
  <c r="E8" i="73" s="1"/>
  <c r="C7" i="73"/>
  <c r="S42" i="72"/>
  <c r="C86" i="148"/>
  <c r="C81" i="148"/>
  <c r="R42" i="72"/>
  <c r="I15" i="73" l="1"/>
  <c r="U35" i="72"/>
  <c r="M10" i="73"/>
  <c r="N10" i="73"/>
  <c r="D24" i="73" s="1"/>
  <c r="O10" i="73"/>
  <c r="D18" i="74" s="1"/>
  <c r="O11" i="73"/>
  <c r="D19" i="74" s="1"/>
  <c r="M11" i="73"/>
  <c r="N11" i="73"/>
  <c r="D25" i="73" s="1"/>
  <c r="Q44" i="148"/>
  <c r="G70" i="148"/>
  <c r="W81" i="67"/>
  <c r="W76" i="67"/>
  <c r="W82" i="67"/>
  <c r="W77" i="67"/>
  <c r="W83" i="67"/>
  <c r="W78" i="67"/>
  <c r="W84" i="67"/>
  <c r="W79" i="67"/>
  <c r="W74" i="67"/>
  <c r="W85" i="67"/>
  <c r="W80" i="67"/>
  <c r="W75" i="67"/>
  <c r="Q35" i="72"/>
  <c r="Q86" i="72"/>
  <c r="P43" i="148"/>
  <c r="F70" i="148"/>
  <c r="P14" i="148"/>
  <c r="R35" i="72"/>
  <c r="K93" i="148"/>
  <c r="N43" i="148"/>
  <c r="D70" i="148"/>
  <c r="N14" i="148"/>
  <c r="K7" i="73"/>
  <c r="K15" i="73"/>
  <c r="C87" i="148"/>
  <c r="K86" i="148"/>
  <c r="J72" i="72"/>
  <c r="O78" i="72"/>
  <c r="S78" i="72"/>
  <c r="R78" i="72"/>
  <c r="P78" i="72"/>
  <c r="S35" i="72"/>
  <c r="T35" i="72"/>
  <c r="H7" i="73"/>
  <c r="F15" i="73"/>
  <c r="H15" i="73" s="1"/>
  <c r="C82" i="148"/>
  <c r="K81" i="148"/>
  <c r="C69" i="148"/>
  <c r="K68" i="148"/>
  <c r="M13" i="148"/>
  <c r="C76" i="148"/>
  <c r="K75" i="148"/>
  <c r="C91" i="148"/>
  <c r="K91" i="148" s="1"/>
  <c r="K90" i="148"/>
  <c r="O9" i="73"/>
  <c r="I23" i="73" s="1"/>
  <c r="M9" i="73"/>
  <c r="N9" i="73"/>
  <c r="D23" i="73" s="1"/>
  <c r="O43" i="148"/>
  <c r="E7" i="73"/>
  <c r="E15" i="73" s="1"/>
  <c r="C15" i="73"/>
  <c r="O79" i="72"/>
  <c r="S79" i="72"/>
  <c r="R79" i="72"/>
  <c r="P79" i="72"/>
  <c r="O75" i="72"/>
  <c r="P75" i="72"/>
  <c r="S75" i="72"/>
  <c r="R75" i="72"/>
  <c r="O14" i="148"/>
  <c r="E70" i="148"/>
  <c r="O8" i="73"/>
  <c r="N8" i="73"/>
  <c r="M8" i="73"/>
  <c r="U77" i="72"/>
  <c r="P35" i="72"/>
  <c r="AV53" i="17" l="1"/>
  <c r="X78" i="67"/>
  <c r="X83" i="67"/>
  <c r="X75" i="67"/>
  <c r="X77" i="67"/>
  <c r="I25" i="73"/>
  <c r="D19" i="25"/>
  <c r="X80" i="67"/>
  <c r="X82" i="67"/>
  <c r="I24" i="73"/>
  <c r="D18" i="25"/>
  <c r="X85" i="67"/>
  <c r="X76" i="67"/>
  <c r="X81" i="67"/>
  <c r="D81" i="154" s="1"/>
  <c r="X79" i="67"/>
  <c r="X84" i="67"/>
  <c r="X74" i="67"/>
  <c r="AV11" i="17"/>
  <c r="D78" i="153"/>
  <c r="V78" i="153" s="1"/>
  <c r="W78" i="153" s="1"/>
  <c r="D78" i="154"/>
  <c r="D83" i="153"/>
  <c r="V83" i="153" s="1"/>
  <c r="W83" i="153" s="1"/>
  <c r="D83" i="154"/>
  <c r="G71" i="148"/>
  <c r="Q15" i="148"/>
  <c r="W97" i="67"/>
  <c r="W92" i="67"/>
  <c r="W87" i="67"/>
  <c r="W86" i="67"/>
  <c r="W93" i="67"/>
  <c r="W88" i="67"/>
  <c r="W94" i="67"/>
  <c r="W89" i="67"/>
  <c r="W95" i="67"/>
  <c r="W90" i="67"/>
  <c r="W96" i="67"/>
  <c r="W91" i="67"/>
  <c r="P44" i="148"/>
  <c r="F71" i="148"/>
  <c r="P15" i="148"/>
  <c r="R83" i="67"/>
  <c r="R76" i="67"/>
  <c r="R80" i="67"/>
  <c r="R84" i="67"/>
  <c r="R77" i="67"/>
  <c r="R81" i="67"/>
  <c r="R85" i="67"/>
  <c r="R74" i="67"/>
  <c r="R78" i="67"/>
  <c r="R82" i="67"/>
  <c r="R75" i="67"/>
  <c r="R79" i="67"/>
  <c r="M14" i="148"/>
  <c r="K69" i="148"/>
  <c r="C70" i="148"/>
  <c r="N44" i="148"/>
  <c r="K82" i="148"/>
  <c r="C83" i="148"/>
  <c r="N15" i="148"/>
  <c r="D71" i="148"/>
  <c r="P86" i="72"/>
  <c r="U75" i="72"/>
  <c r="M80" i="67"/>
  <c r="M79" i="67"/>
  <c r="M78" i="67"/>
  <c r="M84" i="67"/>
  <c r="M77" i="67"/>
  <c r="M75" i="67"/>
  <c r="M85" i="67"/>
  <c r="M74" i="67"/>
  <c r="M76" i="67"/>
  <c r="M82" i="67"/>
  <c r="M83" i="67"/>
  <c r="M81" i="67"/>
  <c r="U79" i="72"/>
  <c r="D28" i="73"/>
  <c r="O7" i="73"/>
  <c r="N7" i="73"/>
  <c r="M7" i="73"/>
  <c r="D17" i="25"/>
  <c r="D17" i="74"/>
  <c r="O86" i="72"/>
  <c r="U78" i="72"/>
  <c r="O15" i="148"/>
  <c r="E71" i="148"/>
  <c r="K76" i="148"/>
  <c r="C77" i="148"/>
  <c r="K77" i="148" s="1"/>
  <c r="D16" i="25"/>
  <c r="D16" i="74"/>
  <c r="O44" i="148"/>
  <c r="R86" i="72"/>
  <c r="M43" i="148"/>
  <c r="U13" i="148"/>
  <c r="C88" i="148"/>
  <c r="K88" i="148" s="1"/>
  <c r="K87" i="148"/>
  <c r="S86" i="72"/>
  <c r="I82" i="67"/>
  <c r="I83" i="67"/>
  <c r="I79" i="67"/>
  <c r="I85" i="67"/>
  <c r="I81" i="67"/>
  <c r="I77" i="67"/>
  <c r="I84" i="67"/>
  <c r="I74" i="67"/>
  <c r="I76" i="67"/>
  <c r="I75" i="67"/>
  <c r="I80" i="67"/>
  <c r="I78" i="67"/>
  <c r="D76" i="153" l="1"/>
  <c r="V76" i="153" s="1"/>
  <c r="W76" i="153" s="1"/>
  <c r="D75" i="154"/>
  <c r="D85" i="154"/>
  <c r="D85" i="153"/>
  <c r="V85" i="153" s="1"/>
  <c r="W85" i="153" s="1"/>
  <c r="AK53" i="17"/>
  <c r="D74" i="156"/>
  <c r="W74" i="156" s="1"/>
  <c r="D82" i="156"/>
  <c r="W82" i="156" s="1"/>
  <c r="AV54" i="17"/>
  <c r="D80" i="156"/>
  <c r="W80" i="156" s="1"/>
  <c r="D84" i="156"/>
  <c r="W84" i="156" s="1"/>
  <c r="D79" i="156"/>
  <c r="W79" i="156" s="1"/>
  <c r="D77" i="156"/>
  <c r="W77" i="156" s="1"/>
  <c r="D81" i="156"/>
  <c r="W81" i="156" s="1"/>
  <c r="D75" i="156"/>
  <c r="W75" i="156" s="1"/>
  <c r="D76" i="156"/>
  <c r="W76" i="156" s="1"/>
  <c r="D83" i="156"/>
  <c r="W83" i="156" s="1"/>
  <c r="D85" i="156"/>
  <c r="W85" i="156" s="1"/>
  <c r="D78" i="156"/>
  <c r="W78" i="156" s="1"/>
  <c r="AZ53" i="17"/>
  <c r="AW53" i="17"/>
  <c r="D82" i="154"/>
  <c r="D80" i="154"/>
  <c r="D80" i="153"/>
  <c r="V80" i="153" s="1"/>
  <c r="W80" i="153" s="1"/>
  <c r="D82" i="153"/>
  <c r="V82" i="153" s="1"/>
  <c r="W82" i="153" s="1"/>
  <c r="D77" i="153"/>
  <c r="V77" i="153" s="1"/>
  <c r="W77" i="153" s="1"/>
  <c r="D77" i="154"/>
  <c r="D84" i="154"/>
  <c r="D84" i="153"/>
  <c r="V84" i="153" s="1"/>
  <c r="W84" i="153" s="1"/>
  <c r="D79" i="154"/>
  <c r="D79" i="153"/>
  <c r="V79" i="153" s="1"/>
  <c r="W79" i="153" s="1"/>
  <c r="J80" i="67"/>
  <c r="N77" i="67"/>
  <c r="D77" i="32" s="1"/>
  <c r="R77" i="32" s="1"/>
  <c r="S77" i="32" s="1"/>
  <c r="S75" i="67"/>
  <c r="S80" i="67"/>
  <c r="X90" i="67"/>
  <c r="X92" i="67"/>
  <c r="J75" i="67"/>
  <c r="J83" i="67"/>
  <c r="N81" i="67"/>
  <c r="N84" i="67"/>
  <c r="S82" i="67"/>
  <c r="S76" i="67"/>
  <c r="X95" i="67"/>
  <c r="X97" i="67"/>
  <c r="J82" i="67"/>
  <c r="D82" i="34" s="1"/>
  <c r="N83" i="67"/>
  <c r="N78" i="67"/>
  <c r="S78" i="67"/>
  <c r="S83" i="67"/>
  <c r="X89" i="67"/>
  <c r="N82" i="67"/>
  <c r="N79" i="67"/>
  <c r="X94" i="67"/>
  <c r="D75" i="153"/>
  <c r="V75" i="153" s="1"/>
  <c r="W75" i="153" s="1"/>
  <c r="N76" i="67"/>
  <c r="J76" i="67"/>
  <c r="N80" i="67"/>
  <c r="S85" i="67"/>
  <c r="X88" i="67"/>
  <c r="D88" i="153" s="1"/>
  <c r="V88" i="153" s="1"/>
  <c r="W88" i="153" s="1"/>
  <c r="J77" i="67"/>
  <c r="S81" i="67"/>
  <c r="X93" i="67"/>
  <c r="D81" i="153"/>
  <c r="V81" i="153" s="1"/>
  <c r="W81" i="153" s="1"/>
  <c r="J79" i="67"/>
  <c r="J84" i="67"/>
  <c r="J81" i="67"/>
  <c r="N85" i="67"/>
  <c r="S77" i="67"/>
  <c r="X91" i="67"/>
  <c r="D76" i="154"/>
  <c r="J78" i="67"/>
  <c r="J85" i="67"/>
  <c r="N75" i="67"/>
  <c r="S79" i="67"/>
  <c r="S84" i="67"/>
  <c r="X96" i="67"/>
  <c r="X87" i="67"/>
  <c r="S74" i="67"/>
  <c r="AK11" i="17"/>
  <c r="D95" i="154"/>
  <c r="D89" i="153"/>
  <c r="V89" i="153" s="1"/>
  <c r="W89" i="153" s="1"/>
  <c r="X86" i="67"/>
  <c r="AV12" i="17"/>
  <c r="D87" i="153"/>
  <c r="V87" i="153" s="1"/>
  <c r="W87" i="153" s="1"/>
  <c r="D92" i="154"/>
  <c r="AZ11" i="17"/>
  <c r="BA11" i="17" s="1"/>
  <c r="AW11" i="17"/>
  <c r="D74" i="153"/>
  <c r="V74" i="153" s="1"/>
  <c r="W74" i="153" s="1"/>
  <c r="D74" i="154"/>
  <c r="Q45" i="148"/>
  <c r="G72" i="148"/>
  <c r="Q27" i="148"/>
  <c r="Q16" i="148"/>
  <c r="Q46" i="148" s="1"/>
  <c r="W121" i="67" s="1"/>
  <c r="X121" i="67" s="1"/>
  <c r="D121" i="156" s="1"/>
  <c r="W121" i="156" s="1"/>
  <c r="P45" i="148"/>
  <c r="F72" i="148"/>
  <c r="P27" i="148"/>
  <c r="P16" i="148"/>
  <c r="P46" i="148" s="1"/>
  <c r="R121" i="67" s="1"/>
  <c r="S121" i="67" s="1"/>
  <c r="D121" i="155" s="1"/>
  <c r="P121" i="155" s="1"/>
  <c r="R89" i="67"/>
  <c r="R87" i="67"/>
  <c r="R88" i="67"/>
  <c r="R92" i="67"/>
  <c r="R96" i="67"/>
  <c r="R93" i="67"/>
  <c r="R97" i="67"/>
  <c r="R90" i="67"/>
  <c r="R94" i="67"/>
  <c r="R86" i="67"/>
  <c r="R91" i="67"/>
  <c r="R95" i="67"/>
  <c r="U86" i="72"/>
  <c r="O45" i="148"/>
  <c r="D82" i="36"/>
  <c r="D82" i="32"/>
  <c r="R82" i="32" s="1"/>
  <c r="S82" i="32" s="1"/>
  <c r="N74" i="67"/>
  <c r="Z53" i="17"/>
  <c r="Z11" i="17"/>
  <c r="ES76" i="4"/>
  <c r="O11" i="17"/>
  <c r="O53" i="17"/>
  <c r="J74" i="67"/>
  <c r="I28" i="73"/>
  <c r="DQ80" i="4"/>
  <c r="D75" i="34"/>
  <c r="DQ75" i="4"/>
  <c r="ES75" i="4"/>
  <c r="D77" i="77"/>
  <c r="S77" i="77" s="1"/>
  <c r="D77" i="36"/>
  <c r="ET77" i="4"/>
  <c r="ET78" i="4"/>
  <c r="DR79" i="4"/>
  <c r="D79" i="77"/>
  <c r="S79" i="77" s="1"/>
  <c r="D79" i="32"/>
  <c r="R79" i="32" s="1"/>
  <c r="S79" i="32" s="1"/>
  <c r="D15" i="74"/>
  <c r="D23" i="74" s="1"/>
  <c r="D15" i="25"/>
  <c r="D23" i="25" s="1"/>
  <c r="D82" i="30"/>
  <c r="R82" i="30" s="1"/>
  <c r="S82" i="30" s="1"/>
  <c r="M95" i="67"/>
  <c r="M97" i="67"/>
  <c r="M89" i="67"/>
  <c r="M87" i="67"/>
  <c r="M94" i="67"/>
  <c r="M88" i="67"/>
  <c r="M86" i="67"/>
  <c r="M90" i="67"/>
  <c r="M91" i="67"/>
  <c r="M92" i="67"/>
  <c r="M96" i="67"/>
  <c r="M93" i="67"/>
  <c r="E80" i="67"/>
  <c r="E82" i="67"/>
  <c r="E85" i="67"/>
  <c r="E83" i="67"/>
  <c r="E76" i="67"/>
  <c r="E75" i="67"/>
  <c r="E74" i="67"/>
  <c r="E81" i="67"/>
  <c r="E78" i="67"/>
  <c r="E77" i="67"/>
  <c r="E79" i="67"/>
  <c r="E84" i="67"/>
  <c r="D72" i="148"/>
  <c r="N16" i="148"/>
  <c r="N46" i="148" s="1"/>
  <c r="I118" i="67" s="1"/>
  <c r="N27" i="148"/>
  <c r="I92" i="67"/>
  <c r="I97" i="67"/>
  <c r="I93" i="67"/>
  <c r="I95" i="67"/>
  <c r="I94" i="67"/>
  <c r="I96" i="67"/>
  <c r="I90" i="67"/>
  <c r="I87" i="67"/>
  <c r="I89" i="67"/>
  <c r="I88" i="67"/>
  <c r="I86" i="67"/>
  <c r="I91" i="67"/>
  <c r="C78" i="148"/>
  <c r="N45" i="148"/>
  <c r="K70" i="148"/>
  <c r="M15" i="148"/>
  <c r="C71" i="148"/>
  <c r="D81" i="36"/>
  <c r="K83" i="148"/>
  <c r="C84" i="148"/>
  <c r="K84" i="148" s="1"/>
  <c r="ES83" i="4"/>
  <c r="DQ83" i="4"/>
  <c r="D83" i="76"/>
  <c r="S83" i="76" s="1"/>
  <c r="D83" i="34"/>
  <c r="O27" i="148"/>
  <c r="E72" i="148"/>
  <c r="O16" i="148"/>
  <c r="O46" i="148" s="1"/>
  <c r="M120" i="67" s="1"/>
  <c r="D83" i="32"/>
  <c r="R83" i="32" s="1"/>
  <c r="S83" i="32" s="1"/>
  <c r="DR83" i="4"/>
  <c r="ET83" i="4"/>
  <c r="D83" i="36"/>
  <c r="U14" i="148"/>
  <c r="M44" i="148"/>
  <c r="DR77" i="4" l="1"/>
  <c r="D87" i="154"/>
  <c r="D85" i="152"/>
  <c r="DQ77" i="4"/>
  <c r="D77" i="34"/>
  <c r="ES77" i="4"/>
  <c r="D77" i="30"/>
  <c r="R77" i="30" s="1"/>
  <c r="S77" i="30" s="1"/>
  <c r="ES82" i="4"/>
  <c r="D96" i="154"/>
  <c r="D80" i="151"/>
  <c r="P80" i="151" s="1"/>
  <c r="Q80" i="151" s="1"/>
  <c r="DQ82" i="4"/>
  <c r="D75" i="30"/>
  <c r="R75" i="30" s="1"/>
  <c r="S75" i="30" s="1"/>
  <c r="DS85" i="4"/>
  <c r="D85" i="76"/>
  <c r="S85" i="76" s="1"/>
  <c r="DQ85" i="4"/>
  <c r="D83" i="30"/>
  <c r="R83" i="30" s="1"/>
  <c r="S83" i="30" s="1"/>
  <c r="BC11" i="17"/>
  <c r="T24" i="57"/>
  <c r="U24" i="57" s="1"/>
  <c r="D79" i="76"/>
  <c r="S79" i="76" s="1"/>
  <c r="D78" i="77"/>
  <c r="S78" i="77" s="1"/>
  <c r="D80" i="34"/>
  <c r="DR78" i="4"/>
  <c r="ES80" i="4"/>
  <c r="ET81" i="4"/>
  <c r="D80" i="76"/>
  <c r="S80" i="76" s="1"/>
  <c r="D80" i="30"/>
  <c r="R80" i="30" s="1"/>
  <c r="S80" i="30" s="1"/>
  <c r="DR81" i="4"/>
  <c r="D81" i="77"/>
  <c r="S81" i="77" s="1"/>
  <c r="D81" i="32"/>
  <c r="R81" i="32" s="1"/>
  <c r="S81" i="32" s="1"/>
  <c r="ET85" i="4"/>
  <c r="D96" i="156"/>
  <c r="W96" i="156" s="1"/>
  <c r="D88" i="156"/>
  <c r="W88" i="156" s="1"/>
  <c r="D89" i="156"/>
  <c r="W89" i="156" s="1"/>
  <c r="D76" i="155"/>
  <c r="P76" i="155" s="1"/>
  <c r="D80" i="155"/>
  <c r="P80" i="155" s="1"/>
  <c r="D86" i="156"/>
  <c r="W86" i="156" s="1"/>
  <c r="D84" i="155"/>
  <c r="P84" i="155" s="1"/>
  <c r="D85" i="155"/>
  <c r="P85" i="155" s="1"/>
  <c r="DR80" i="4"/>
  <c r="D93" i="156"/>
  <c r="W93" i="156" s="1"/>
  <c r="D88" i="154"/>
  <c r="D83" i="155"/>
  <c r="P83" i="155" s="1"/>
  <c r="D82" i="155"/>
  <c r="P82" i="155" s="1"/>
  <c r="D75" i="155"/>
  <c r="P75" i="155" s="1"/>
  <c r="D78" i="155"/>
  <c r="P78" i="155" s="1"/>
  <c r="D80" i="36"/>
  <c r="ET80" i="4"/>
  <c r="D80" i="32"/>
  <c r="R80" i="32" s="1"/>
  <c r="S80" i="32" s="1"/>
  <c r="AZ54" i="17"/>
  <c r="AW54" i="17"/>
  <c r="AK54" i="17"/>
  <c r="D80" i="77"/>
  <c r="S80" i="77" s="1"/>
  <c r="D94" i="156"/>
  <c r="W94" i="156" s="1"/>
  <c r="D74" i="155"/>
  <c r="P74" i="155" s="1"/>
  <c r="D81" i="155"/>
  <c r="P81" i="155" s="1"/>
  <c r="AY53" i="17"/>
  <c r="BA53" i="17" s="1"/>
  <c r="D85" i="36"/>
  <c r="D91" i="156"/>
  <c r="W91" i="156" s="1"/>
  <c r="D97" i="156"/>
  <c r="W97" i="156" s="1"/>
  <c r="D92" i="156"/>
  <c r="W92" i="156" s="1"/>
  <c r="D79" i="155"/>
  <c r="P79" i="155" s="1"/>
  <c r="D79" i="34"/>
  <c r="D75" i="76"/>
  <c r="S75" i="76" s="1"/>
  <c r="D87" i="156"/>
  <c r="W87" i="156" s="1"/>
  <c r="AO53" i="17"/>
  <c r="AL53" i="17"/>
  <c r="D77" i="155"/>
  <c r="P77" i="155" s="1"/>
  <c r="D95" i="156"/>
  <c r="W95" i="156" s="1"/>
  <c r="D90" i="156"/>
  <c r="W90" i="156" s="1"/>
  <c r="D84" i="152"/>
  <c r="D76" i="152"/>
  <c r="DQ76" i="4"/>
  <c r="D79" i="36"/>
  <c r="D81" i="151"/>
  <c r="P81" i="151" s="1"/>
  <c r="Q81" i="151" s="1"/>
  <c r="D81" i="34"/>
  <c r="D78" i="36"/>
  <c r="D93" i="153"/>
  <c r="V93" i="153" s="1"/>
  <c r="W93" i="153" s="1"/>
  <c r="DQ81" i="4"/>
  <c r="DS81" i="4"/>
  <c r="ES79" i="4"/>
  <c r="D77" i="76"/>
  <c r="S77" i="76" s="1"/>
  <c r="D75" i="32"/>
  <c r="R75" i="32" s="1"/>
  <c r="S75" i="32" s="1"/>
  <c r="D94" i="154"/>
  <c r="D83" i="77"/>
  <c r="S83" i="77" s="1"/>
  <c r="DQ79" i="4"/>
  <c r="D94" i="153"/>
  <c r="V94" i="153" s="1"/>
  <c r="W94" i="153" s="1"/>
  <c r="D82" i="76"/>
  <c r="S82" i="76" s="1"/>
  <c r="D91" i="153"/>
  <c r="V91" i="153" s="1"/>
  <c r="W91" i="153" s="1"/>
  <c r="D97" i="154"/>
  <c r="D85" i="34"/>
  <c r="ET79" i="4"/>
  <c r="D78" i="30"/>
  <c r="R78" i="30" s="1"/>
  <c r="S78" i="30" s="1"/>
  <c r="DS84" i="4"/>
  <c r="D85" i="30"/>
  <c r="R85" i="30" s="1"/>
  <c r="S85" i="30" s="1"/>
  <c r="ES85" i="4"/>
  <c r="D76" i="36"/>
  <c r="DR76" i="4"/>
  <c r="ET76" i="4"/>
  <c r="D78" i="32"/>
  <c r="R78" i="32" s="1"/>
  <c r="S78" i="32" s="1"/>
  <c r="D76" i="77"/>
  <c r="S76" i="77" s="1"/>
  <c r="DS82" i="4"/>
  <c r="D76" i="32"/>
  <c r="R76" i="32" s="1"/>
  <c r="S76" i="32" s="1"/>
  <c r="D85" i="32"/>
  <c r="R85" i="32" s="1"/>
  <c r="S85" i="32" s="1"/>
  <c r="D79" i="30"/>
  <c r="R79" i="30" s="1"/>
  <c r="S79" i="30" s="1"/>
  <c r="DR85" i="4"/>
  <c r="D91" i="154"/>
  <c r="D84" i="30"/>
  <c r="R84" i="30" s="1"/>
  <c r="S84" i="30" s="1"/>
  <c r="DR84" i="4"/>
  <c r="D78" i="34"/>
  <c r="ET84" i="4"/>
  <c r="D93" i="154"/>
  <c r="DS78" i="4"/>
  <c r="ES78" i="4"/>
  <c r="D96" i="153"/>
  <c r="V96" i="153" s="1"/>
  <c r="W96" i="153" s="1"/>
  <c r="D75" i="152"/>
  <c r="D78" i="151"/>
  <c r="P78" i="151" s="1"/>
  <c r="Q78" i="151" s="1"/>
  <c r="D84" i="34"/>
  <c r="D84" i="36"/>
  <c r="D84" i="76"/>
  <c r="S84" i="76" s="1"/>
  <c r="D78" i="76"/>
  <c r="S78" i="76" s="1"/>
  <c r="D79" i="151"/>
  <c r="P79" i="151" s="1"/>
  <c r="Q79" i="151" s="1"/>
  <c r="D84" i="32"/>
  <c r="R84" i="32" s="1"/>
  <c r="S84" i="32" s="1"/>
  <c r="D84" i="77"/>
  <c r="S84" i="77" s="1"/>
  <c r="DQ84" i="4"/>
  <c r="DQ78" i="4"/>
  <c r="D75" i="36"/>
  <c r="D85" i="77"/>
  <c r="S85" i="77" s="1"/>
  <c r="D83" i="152"/>
  <c r="DS83" i="4"/>
  <c r="D81" i="30"/>
  <c r="R81" i="30" s="1"/>
  <c r="S81" i="30" s="1"/>
  <c r="D76" i="30"/>
  <c r="R76" i="30" s="1"/>
  <c r="S76" i="30" s="1"/>
  <c r="D83" i="151"/>
  <c r="P83" i="151" s="1"/>
  <c r="Q83" i="151" s="1"/>
  <c r="D78" i="152"/>
  <c r="D81" i="76"/>
  <c r="S81" i="76" s="1"/>
  <c r="D76" i="34"/>
  <c r="DS76" i="4"/>
  <c r="ES81" i="4"/>
  <c r="D76" i="76"/>
  <c r="S76" i="76" s="1"/>
  <c r="D76" i="151"/>
  <c r="P76" i="151" s="1"/>
  <c r="Q76" i="151" s="1"/>
  <c r="D82" i="152"/>
  <c r="D89" i="154"/>
  <c r="D82" i="151"/>
  <c r="P82" i="151" s="1"/>
  <c r="Q82" i="151" s="1"/>
  <c r="D75" i="77"/>
  <c r="S75" i="77" s="1"/>
  <c r="D82" i="77"/>
  <c r="S82" i="77" s="1"/>
  <c r="D97" i="153"/>
  <c r="V97" i="153" s="1"/>
  <c r="W97" i="153" s="1"/>
  <c r="D95" i="153"/>
  <c r="V95" i="153" s="1"/>
  <c r="W95" i="153" s="1"/>
  <c r="DS77" i="4"/>
  <c r="DS75" i="4"/>
  <c r="ET82" i="4"/>
  <c r="D90" i="154"/>
  <c r="D77" i="151"/>
  <c r="P77" i="151" s="1"/>
  <c r="Q77" i="151" s="1"/>
  <c r="D79" i="152"/>
  <c r="ET75" i="4"/>
  <c r="ES84" i="4"/>
  <c r="DR75" i="4"/>
  <c r="DR82" i="4"/>
  <c r="D92" i="153"/>
  <c r="V92" i="153" s="1"/>
  <c r="W92" i="153" s="1"/>
  <c r="D90" i="153"/>
  <c r="V90" i="153" s="1"/>
  <c r="W90" i="153" s="1"/>
  <c r="D77" i="152"/>
  <c r="DS79" i="4"/>
  <c r="N96" i="67"/>
  <c r="N89" i="67"/>
  <c r="S95" i="67"/>
  <c r="S92" i="67"/>
  <c r="J87" i="67"/>
  <c r="S91" i="67"/>
  <c r="S88" i="67"/>
  <c r="F75" i="67"/>
  <c r="F76" i="67"/>
  <c r="N91" i="67"/>
  <c r="N95" i="67"/>
  <c r="S87" i="67"/>
  <c r="J118" i="67"/>
  <c r="D118" i="76" s="1"/>
  <c r="S118" i="76" s="1"/>
  <c r="J94" i="67"/>
  <c r="DQ94" i="4" s="1"/>
  <c r="F84" i="67"/>
  <c r="F83" i="67"/>
  <c r="N90" i="67"/>
  <c r="S94" i="67"/>
  <c r="S89" i="67"/>
  <c r="D84" i="151"/>
  <c r="P84" i="151" s="1"/>
  <c r="Q84" i="151" s="1"/>
  <c r="N120" i="67"/>
  <c r="J91" i="67"/>
  <c r="J95" i="67"/>
  <c r="F79" i="67"/>
  <c r="F85" i="67"/>
  <c r="S90" i="67"/>
  <c r="D85" i="151"/>
  <c r="P85" i="151" s="1"/>
  <c r="Q85" i="151" s="1"/>
  <c r="N92" i="67"/>
  <c r="J96" i="67"/>
  <c r="J93" i="67"/>
  <c r="F77" i="67"/>
  <c r="F82" i="67"/>
  <c r="N88" i="67"/>
  <c r="S97" i="67"/>
  <c r="J90" i="67"/>
  <c r="J88" i="67"/>
  <c r="F78" i="67"/>
  <c r="F80" i="67"/>
  <c r="N94" i="67"/>
  <c r="S93" i="67"/>
  <c r="D80" i="152"/>
  <c r="N97" i="67"/>
  <c r="J97" i="67"/>
  <c r="J89" i="67"/>
  <c r="J92" i="67"/>
  <c r="F81" i="67"/>
  <c r="ER81" i="4" s="1"/>
  <c r="N93" i="67"/>
  <c r="N87" i="67"/>
  <c r="S96" i="67"/>
  <c r="DS80" i="4"/>
  <c r="D81" i="152"/>
  <c r="D75" i="151"/>
  <c r="P75" i="151" s="1"/>
  <c r="Q75" i="151" s="1"/>
  <c r="S86" i="67"/>
  <c r="AK12" i="17"/>
  <c r="D92" i="151"/>
  <c r="P92" i="151" s="1"/>
  <c r="Q92" i="151" s="1"/>
  <c r="D121" i="151"/>
  <c r="P121" i="151" s="1"/>
  <c r="Q121" i="151" s="1"/>
  <c r="DS121" i="4"/>
  <c r="D121" i="152"/>
  <c r="D121" i="154"/>
  <c r="D121" i="153"/>
  <c r="V121" i="153" s="1"/>
  <c r="W121" i="153" s="1"/>
  <c r="AZ12" i="17"/>
  <c r="BA12" i="17" s="1"/>
  <c r="AW12" i="17"/>
  <c r="D86" i="153"/>
  <c r="V86" i="153" s="1"/>
  <c r="W86" i="153" s="1"/>
  <c r="D86" i="154"/>
  <c r="AO11" i="17"/>
  <c r="AP11" i="17" s="1"/>
  <c r="AR11" i="17" s="1"/>
  <c r="K24" i="57" s="1"/>
  <c r="AL11" i="17"/>
  <c r="D74" i="151"/>
  <c r="P74" i="151" s="1"/>
  <c r="Q74" i="151" s="1"/>
  <c r="DS74" i="4"/>
  <c r="D74" i="152"/>
  <c r="W110" i="67"/>
  <c r="W114" i="67"/>
  <c r="G73" i="148"/>
  <c r="Q17" i="148"/>
  <c r="Q28" i="148"/>
  <c r="AZ15" i="17" s="1"/>
  <c r="W115" i="67"/>
  <c r="W113" i="67"/>
  <c r="W112" i="67"/>
  <c r="W111" i="67"/>
  <c r="W116" i="67"/>
  <c r="W117" i="67"/>
  <c r="W118" i="67"/>
  <c r="W119" i="67"/>
  <c r="W120" i="67"/>
  <c r="W98" i="67"/>
  <c r="W99" i="67"/>
  <c r="W100" i="67"/>
  <c r="W101" i="67"/>
  <c r="W102" i="67"/>
  <c r="W103" i="67"/>
  <c r="W104" i="67"/>
  <c r="W105" i="67"/>
  <c r="W106" i="67"/>
  <c r="W107" i="67"/>
  <c r="W108" i="67"/>
  <c r="W109" i="67"/>
  <c r="F73" i="148"/>
  <c r="P17" i="148"/>
  <c r="P28" i="148"/>
  <c r="AO15" i="17" s="1"/>
  <c r="R115" i="67"/>
  <c r="R114" i="67"/>
  <c r="R113" i="67"/>
  <c r="R112" i="67"/>
  <c r="R111" i="67"/>
  <c r="R110" i="67"/>
  <c r="R116" i="67"/>
  <c r="R117" i="67"/>
  <c r="R118" i="67"/>
  <c r="R119" i="67"/>
  <c r="R120" i="67"/>
  <c r="R100" i="67"/>
  <c r="R109" i="67"/>
  <c r="R101" i="67"/>
  <c r="R102" i="67"/>
  <c r="R103" i="67"/>
  <c r="R104" i="67"/>
  <c r="R105" i="67"/>
  <c r="R106" i="67"/>
  <c r="R98" i="67"/>
  <c r="R107" i="67"/>
  <c r="R99" i="67"/>
  <c r="R108" i="67"/>
  <c r="I117" i="67"/>
  <c r="I121" i="67"/>
  <c r="J121" i="67" s="1"/>
  <c r="DQ121" i="4" s="1"/>
  <c r="I119" i="67"/>
  <c r="I116" i="67"/>
  <c r="I112" i="67"/>
  <c r="I98" i="67"/>
  <c r="I103" i="67"/>
  <c r="I107" i="67"/>
  <c r="I99" i="67"/>
  <c r="I102" i="67"/>
  <c r="I104" i="67"/>
  <c r="I108" i="67"/>
  <c r="I100" i="67"/>
  <c r="I101" i="67"/>
  <c r="I105" i="67"/>
  <c r="I109" i="67"/>
  <c r="I106" i="67"/>
  <c r="D93" i="76"/>
  <c r="S93" i="76" s="1"/>
  <c r="D83" i="75"/>
  <c r="R83" i="75" s="1"/>
  <c r="D83" i="28"/>
  <c r="P83" i="28" s="1"/>
  <c r="Q83" i="28" s="1"/>
  <c r="D83" i="38"/>
  <c r="D95" i="76"/>
  <c r="S95" i="76" s="1"/>
  <c r="ES95" i="4"/>
  <c r="K71" i="148"/>
  <c r="M16" i="148"/>
  <c r="C72" i="148"/>
  <c r="M27" i="148"/>
  <c r="U27" i="148" s="1"/>
  <c r="K78" i="148"/>
  <c r="C79" i="148"/>
  <c r="K79" i="148" s="1"/>
  <c r="ES94" i="4"/>
  <c r="U15" i="148"/>
  <c r="M45" i="148"/>
  <c r="ES92" i="4"/>
  <c r="D92" i="76"/>
  <c r="S92" i="76" s="1"/>
  <c r="D92" i="30"/>
  <c r="R92" i="30" s="1"/>
  <c r="S92" i="30" s="1"/>
  <c r="DQ92" i="4"/>
  <c r="DR93" i="4"/>
  <c r="D93" i="32"/>
  <c r="R93" i="32" s="1"/>
  <c r="S93" i="32" s="1"/>
  <c r="D93" i="77"/>
  <c r="S93" i="77" s="1"/>
  <c r="D93" i="36"/>
  <c r="ET93" i="4"/>
  <c r="M113" i="67"/>
  <c r="D120" i="36"/>
  <c r="D120" i="32"/>
  <c r="R120" i="32" s="1"/>
  <c r="S120" i="32" s="1"/>
  <c r="D120" i="77"/>
  <c r="S120" i="77" s="1"/>
  <c r="E73" i="148"/>
  <c r="O28" i="148"/>
  <c r="AD15" i="17" s="1"/>
  <c r="O17" i="148"/>
  <c r="D96" i="36"/>
  <c r="D96" i="32"/>
  <c r="R96" i="32" s="1"/>
  <c r="S96" i="32" s="1"/>
  <c r="DR96" i="4"/>
  <c r="ET96" i="4"/>
  <c r="D96" i="77"/>
  <c r="S96" i="77" s="1"/>
  <c r="ES74" i="4"/>
  <c r="DQ74" i="4"/>
  <c r="D74" i="34"/>
  <c r="D74" i="76"/>
  <c r="S74" i="76" s="1"/>
  <c r="D74" i="30"/>
  <c r="M118" i="67"/>
  <c r="D118" i="30"/>
  <c r="R118" i="30" s="1"/>
  <c r="S118" i="30" s="1"/>
  <c r="D118" i="34"/>
  <c r="DQ118" i="4"/>
  <c r="P53" i="17"/>
  <c r="S53" i="17"/>
  <c r="M121" i="67"/>
  <c r="N121" i="67" s="1"/>
  <c r="P11" i="17"/>
  <c r="S11" i="17"/>
  <c r="T11" i="17" s="1"/>
  <c r="V11" i="17" s="1"/>
  <c r="AD11" i="17"/>
  <c r="AE11" i="17" s="1"/>
  <c r="AA11" i="17"/>
  <c r="M112" i="67"/>
  <c r="D84" i="28"/>
  <c r="P84" i="28" s="1"/>
  <c r="Q84" i="28" s="1"/>
  <c r="AA53" i="17"/>
  <c r="AD53" i="17"/>
  <c r="M111" i="67"/>
  <c r="D74" i="32"/>
  <c r="ET74" i="4"/>
  <c r="DR74" i="4"/>
  <c r="D74" i="77"/>
  <c r="S74" i="77" s="1"/>
  <c r="D74" i="36"/>
  <c r="M110" i="67"/>
  <c r="M117" i="67"/>
  <c r="M116" i="67"/>
  <c r="D91" i="77"/>
  <c r="S91" i="77" s="1"/>
  <c r="D91" i="36"/>
  <c r="D91" i="32"/>
  <c r="R91" i="32" s="1"/>
  <c r="S91" i="32" s="1"/>
  <c r="ET91" i="4"/>
  <c r="D91" i="34"/>
  <c r="D91" i="30"/>
  <c r="R91" i="30" s="1"/>
  <c r="S91" i="30" s="1"/>
  <c r="D91" i="76"/>
  <c r="S91" i="76" s="1"/>
  <c r="DQ91" i="4"/>
  <c r="ES91" i="4"/>
  <c r="ER77" i="4"/>
  <c r="D77" i="75"/>
  <c r="R77" i="75" s="1"/>
  <c r="DP77" i="4"/>
  <c r="D77" i="38"/>
  <c r="ET94" i="4"/>
  <c r="D94" i="36"/>
  <c r="D94" i="77"/>
  <c r="S94" i="77" s="1"/>
  <c r="D94" i="32"/>
  <c r="R94" i="32" s="1"/>
  <c r="S94" i="32" s="1"/>
  <c r="D87" i="77"/>
  <c r="S87" i="77" s="1"/>
  <c r="ET87" i="4"/>
  <c r="D87" i="32"/>
  <c r="R87" i="32" s="1"/>
  <c r="S87" i="32" s="1"/>
  <c r="DR87" i="4"/>
  <c r="M114" i="67"/>
  <c r="I115" i="67"/>
  <c r="D81" i="28"/>
  <c r="P81" i="28" s="1"/>
  <c r="Q81" i="28" s="1"/>
  <c r="DP81" i="4"/>
  <c r="D81" i="75"/>
  <c r="R81" i="75" s="1"/>
  <c r="E96" i="67"/>
  <c r="E86" i="67"/>
  <c r="E94" i="67"/>
  <c r="E97" i="67"/>
  <c r="E95" i="67"/>
  <c r="E87" i="67"/>
  <c r="E92" i="67"/>
  <c r="E88" i="67"/>
  <c r="E90" i="67"/>
  <c r="E89" i="67"/>
  <c r="E91" i="67"/>
  <c r="E93" i="67"/>
  <c r="I114" i="67"/>
  <c r="D87" i="76"/>
  <c r="S87" i="76" s="1"/>
  <c r="D87" i="34"/>
  <c r="D87" i="30"/>
  <c r="R87" i="30" s="1"/>
  <c r="S87" i="30" s="1"/>
  <c r="ES87" i="4"/>
  <c r="DQ87" i="4"/>
  <c r="D53" i="17"/>
  <c r="F74" i="67"/>
  <c r="D11" i="17"/>
  <c r="D89" i="77"/>
  <c r="S89" i="77" s="1"/>
  <c r="D89" i="32"/>
  <c r="R89" i="32" s="1"/>
  <c r="S89" i="32" s="1"/>
  <c r="DR89" i="4"/>
  <c r="D89" i="36"/>
  <c r="ET89" i="4"/>
  <c r="M119" i="67"/>
  <c r="D73" i="148"/>
  <c r="N28" i="148"/>
  <c r="N17" i="148"/>
  <c r="ET90" i="4"/>
  <c r="D90" i="77"/>
  <c r="S90" i="77" s="1"/>
  <c r="D90" i="32"/>
  <c r="R90" i="32" s="1"/>
  <c r="S90" i="32" s="1"/>
  <c r="D90" i="36"/>
  <c r="DR90" i="4"/>
  <c r="I110" i="67"/>
  <c r="ER79" i="4"/>
  <c r="DP79" i="4"/>
  <c r="D79" i="75"/>
  <c r="R79" i="75" s="1"/>
  <c r="D79" i="38"/>
  <c r="D79" i="28"/>
  <c r="P79" i="28" s="1"/>
  <c r="Q79" i="28" s="1"/>
  <c r="N86" i="67"/>
  <c r="Z12" i="17"/>
  <c r="Z54" i="17"/>
  <c r="O12" i="17"/>
  <c r="J86" i="67"/>
  <c r="O54" i="17"/>
  <c r="DR88" i="4"/>
  <c r="D88" i="36"/>
  <c r="I113" i="67"/>
  <c r="ER78" i="4"/>
  <c r="I111" i="67"/>
  <c r="DP75" i="4"/>
  <c r="D75" i="28"/>
  <c r="P75" i="28" s="1"/>
  <c r="Q75" i="28" s="1"/>
  <c r="D75" i="38"/>
  <c r="ER75" i="4"/>
  <c r="D75" i="75"/>
  <c r="R75" i="75" s="1"/>
  <c r="M115" i="67"/>
  <c r="I120" i="67"/>
  <c r="D76" i="38"/>
  <c r="D76" i="28"/>
  <c r="P76" i="28" s="1"/>
  <c r="Q76" i="28" s="1"/>
  <c r="ER76" i="4"/>
  <c r="DP76" i="4"/>
  <c r="D76" i="75"/>
  <c r="R76" i="75" s="1"/>
  <c r="M109" i="67"/>
  <c r="M103" i="67"/>
  <c r="M100" i="67"/>
  <c r="M101" i="67"/>
  <c r="M99" i="67"/>
  <c r="M102" i="67"/>
  <c r="M98" i="67"/>
  <c r="M105" i="67"/>
  <c r="M104" i="67"/>
  <c r="M108" i="67"/>
  <c r="M106" i="67"/>
  <c r="M107" i="67"/>
  <c r="ES118" i="4" l="1"/>
  <c r="D88" i="32"/>
  <c r="R88" i="32" s="1"/>
  <c r="S88" i="32" s="1"/>
  <c r="ET88" i="4"/>
  <c r="D88" i="77"/>
  <c r="S88" i="77" s="1"/>
  <c r="DS92" i="4"/>
  <c r="Y24" i="57"/>
  <c r="I29" i="74"/>
  <c r="D80" i="75"/>
  <c r="R80" i="75" s="1"/>
  <c r="ET120" i="4"/>
  <c r="ER80" i="4"/>
  <c r="BC12" i="17"/>
  <c r="T25" i="57"/>
  <c r="U25" i="57" s="1"/>
  <c r="BC53" i="17"/>
  <c r="I7" i="74"/>
  <c r="D95" i="77"/>
  <c r="S95" i="77" s="1"/>
  <c r="DQ90" i="4"/>
  <c r="D95" i="36"/>
  <c r="D78" i="28"/>
  <c r="P78" i="28" s="1"/>
  <c r="Q78" i="28" s="1"/>
  <c r="D88" i="30"/>
  <c r="R88" i="30" s="1"/>
  <c r="S88" i="30" s="1"/>
  <c r="DR92" i="4"/>
  <c r="D93" i="30"/>
  <c r="R93" i="30" s="1"/>
  <c r="S93" i="30" s="1"/>
  <c r="ET95" i="4"/>
  <c r="D90" i="34"/>
  <c r="D95" i="32"/>
  <c r="R95" i="32" s="1"/>
  <c r="S95" i="32" s="1"/>
  <c r="ES90" i="4"/>
  <c r="D80" i="28"/>
  <c r="P80" i="28" s="1"/>
  <c r="Q80" i="28" s="1"/>
  <c r="ES93" i="4"/>
  <c r="AN53" i="17"/>
  <c r="AP53" i="17" s="1"/>
  <c r="AP15" i="17"/>
  <c r="AR15" i="17" s="1"/>
  <c r="AO57" i="17"/>
  <c r="AP57" i="17" s="1"/>
  <c r="AR57" i="17" s="1"/>
  <c r="D86" i="155"/>
  <c r="P86" i="155" s="1"/>
  <c r="D89" i="155"/>
  <c r="P89" i="155" s="1"/>
  <c r="D95" i="155"/>
  <c r="P95" i="155" s="1"/>
  <c r="ER84" i="4"/>
  <c r="D95" i="152"/>
  <c r="D84" i="75"/>
  <c r="R84" i="75" s="1"/>
  <c r="D95" i="151"/>
  <c r="P95" i="151" s="1"/>
  <c r="Q95" i="151" s="1"/>
  <c r="D94" i="155"/>
  <c r="P94" i="155" s="1"/>
  <c r="D90" i="155"/>
  <c r="P90" i="155" s="1"/>
  <c r="D97" i="155"/>
  <c r="P97" i="155" s="1"/>
  <c r="AY54" i="17"/>
  <c r="BA54" i="17" s="1"/>
  <c r="DQ88" i="4"/>
  <c r="D77" i="28"/>
  <c r="P77" i="28" s="1"/>
  <c r="Q77" i="28" s="1"/>
  <c r="ES97" i="4"/>
  <c r="D96" i="155"/>
  <c r="P96" i="155" s="1"/>
  <c r="BA15" i="17"/>
  <c r="AZ57" i="17"/>
  <c r="BA57" i="17" s="1"/>
  <c r="BC57" i="17" s="1"/>
  <c r="D93" i="155"/>
  <c r="P93" i="155" s="1"/>
  <c r="D88" i="155"/>
  <c r="P88" i="155" s="1"/>
  <c r="AK56" i="17"/>
  <c r="D91" i="155"/>
  <c r="P91" i="155" s="1"/>
  <c r="D92" i="36"/>
  <c r="D88" i="152"/>
  <c r="AV56" i="17"/>
  <c r="AK55" i="17"/>
  <c r="D92" i="77"/>
  <c r="S92" i="77" s="1"/>
  <c r="AO54" i="17"/>
  <c r="AL54" i="17"/>
  <c r="DR95" i="4"/>
  <c r="D87" i="36"/>
  <c r="D92" i="32"/>
  <c r="R92" i="32" s="1"/>
  <c r="S92" i="32" s="1"/>
  <c r="D95" i="30"/>
  <c r="R95" i="30" s="1"/>
  <c r="S95" i="30" s="1"/>
  <c r="AV55" i="17"/>
  <c r="D96" i="151"/>
  <c r="P96" i="151" s="1"/>
  <c r="Q96" i="151" s="1"/>
  <c r="D87" i="155"/>
  <c r="P87" i="155" s="1"/>
  <c r="D92" i="155"/>
  <c r="P92" i="155" s="1"/>
  <c r="D95" i="34"/>
  <c r="D97" i="77"/>
  <c r="S97" i="77" s="1"/>
  <c r="D97" i="151"/>
  <c r="P97" i="151" s="1"/>
  <c r="Q97" i="151" s="1"/>
  <c r="D97" i="36"/>
  <c r="AC53" i="17"/>
  <c r="AE53" i="17" s="1"/>
  <c r="DS95" i="4"/>
  <c r="ET97" i="4"/>
  <c r="D92" i="34"/>
  <c r="D85" i="38"/>
  <c r="D85" i="75"/>
  <c r="R85" i="75" s="1"/>
  <c r="ER85" i="4"/>
  <c r="DP85" i="4"/>
  <c r="DR97" i="4"/>
  <c r="D85" i="28"/>
  <c r="P85" i="28" s="1"/>
  <c r="Q85" i="28" s="1"/>
  <c r="DR94" i="4"/>
  <c r="D97" i="32"/>
  <c r="R97" i="32" s="1"/>
  <c r="S97" i="32" s="1"/>
  <c r="DS93" i="4"/>
  <c r="D89" i="34"/>
  <c r="D96" i="76"/>
  <c r="S96" i="76" s="1"/>
  <c r="D97" i="76"/>
  <c r="S97" i="76" s="1"/>
  <c r="D89" i="30"/>
  <c r="R89" i="30" s="1"/>
  <c r="S89" i="30" s="1"/>
  <c r="DQ89" i="4"/>
  <c r="D78" i="75"/>
  <c r="R78" i="75" s="1"/>
  <c r="D97" i="30"/>
  <c r="R97" i="30" s="1"/>
  <c r="S97" i="30" s="1"/>
  <c r="D96" i="34"/>
  <c r="DQ97" i="4"/>
  <c r="DP78" i="4"/>
  <c r="D97" i="34"/>
  <c r="DS91" i="4"/>
  <c r="ES96" i="4"/>
  <c r="DQ96" i="4"/>
  <c r="D90" i="30"/>
  <c r="R90" i="30" s="1"/>
  <c r="S90" i="30" s="1"/>
  <c r="D96" i="30"/>
  <c r="R96" i="30" s="1"/>
  <c r="S96" i="30" s="1"/>
  <c r="D87" i="151"/>
  <c r="P87" i="151" s="1"/>
  <c r="Q87" i="151" s="1"/>
  <c r="D91" i="151"/>
  <c r="P91" i="151" s="1"/>
  <c r="Q91" i="151" s="1"/>
  <c r="DQ95" i="4"/>
  <c r="D94" i="30"/>
  <c r="R94" i="30" s="1"/>
  <c r="S94" i="30" s="1"/>
  <c r="DP83" i="4"/>
  <c r="D78" i="38"/>
  <c r="D89" i="76"/>
  <c r="S89" i="76" s="1"/>
  <c r="D88" i="34"/>
  <c r="D94" i="34"/>
  <c r="ER83" i="4"/>
  <c r="ES89" i="4"/>
  <c r="ES88" i="4"/>
  <c r="D94" i="76"/>
  <c r="S94" i="76" s="1"/>
  <c r="D82" i="38"/>
  <c r="D91" i="152"/>
  <c r="D81" i="38"/>
  <c r="ET92" i="4"/>
  <c r="D80" i="38"/>
  <c r="D93" i="34"/>
  <c r="D89" i="152"/>
  <c r="D88" i="76"/>
  <c r="S88" i="76" s="1"/>
  <c r="DR120" i="4"/>
  <c r="DS96" i="4"/>
  <c r="DP80" i="4"/>
  <c r="DQ93" i="4"/>
  <c r="D97" i="152"/>
  <c r="D84" i="38"/>
  <c r="DP84" i="4"/>
  <c r="D82" i="75"/>
  <c r="R82" i="75" s="1"/>
  <c r="ER82" i="4"/>
  <c r="DP82" i="4"/>
  <c r="R53" i="17"/>
  <c r="T53" i="17" s="1"/>
  <c r="V53" i="17" s="1"/>
  <c r="D94" i="152"/>
  <c r="DS94" i="4"/>
  <c r="D90" i="76"/>
  <c r="S90" i="76" s="1"/>
  <c r="D82" i="28"/>
  <c r="P82" i="28" s="1"/>
  <c r="Q82" i="28" s="1"/>
  <c r="DS88" i="4"/>
  <c r="D94" i="151"/>
  <c r="P94" i="151" s="1"/>
  <c r="Q94" i="151" s="1"/>
  <c r="D88" i="151"/>
  <c r="P88" i="151" s="1"/>
  <c r="Q88" i="151" s="1"/>
  <c r="DR91" i="4"/>
  <c r="D93" i="151"/>
  <c r="P93" i="151" s="1"/>
  <c r="Q93" i="151" s="1"/>
  <c r="DS97" i="4"/>
  <c r="DS89" i="4"/>
  <c r="D90" i="152"/>
  <c r="D89" i="151"/>
  <c r="P89" i="151" s="1"/>
  <c r="Q89" i="151" s="1"/>
  <c r="DS90" i="4"/>
  <c r="D87" i="152"/>
  <c r="D90" i="151"/>
  <c r="P90" i="151" s="1"/>
  <c r="Q90" i="151" s="1"/>
  <c r="N105" i="67"/>
  <c r="N104" i="67"/>
  <c r="N109" i="67"/>
  <c r="J120" i="67"/>
  <c r="D120" i="76" s="1"/>
  <c r="S120" i="76" s="1"/>
  <c r="F90" i="67"/>
  <c r="F96" i="67"/>
  <c r="J106" i="67"/>
  <c r="J99" i="67"/>
  <c r="J117" i="67"/>
  <c r="S103" i="67"/>
  <c r="S117" i="67"/>
  <c r="X104" i="67"/>
  <c r="X119" i="67"/>
  <c r="J109" i="67"/>
  <c r="J107" i="67"/>
  <c r="S108" i="67"/>
  <c r="S102" i="67"/>
  <c r="S116" i="67"/>
  <c r="X103" i="67"/>
  <c r="X118" i="67"/>
  <c r="D118" i="154" s="1"/>
  <c r="F88" i="67"/>
  <c r="F92" i="67"/>
  <c r="N118" i="67"/>
  <c r="D118" i="36" s="1"/>
  <c r="J105" i="67"/>
  <c r="ES105" i="4" s="1"/>
  <c r="J103" i="67"/>
  <c r="D103" i="34" s="1"/>
  <c r="S99" i="67"/>
  <c r="S101" i="67"/>
  <c r="X102" i="67"/>
  <c r="X117" i="67"/>
  <c r="D117" i="154" s="1"/>
  <c r="N115" i="67"/>
  <c r="J111" i="67"/>
  <c r="N102" i="67"/>
  <c r="F87" i="67"/>
  <c r="J115" i="67"/>
  <c r="N116" i="67"/>
  <c r="J101" i="67"/>
  <c r="S107" i="67"/>
  <c r="S109" i="67"/>
  <c r="S111" i="67"/>
  <c r="X109" i="67"/>
  <c r="X101" i="67"/>
  <c r="X116" i="67"/>
  <c r="X114" i="67"/>
  <c r="J114" i="67"/>
  <c r="F95" i="67"/>
  <c r="N114" i="67"/>
  <c r="N117" i="67"/>
  <c r="J100" i="67"/>
  <c r="J112" i="67"/>
  <c r="S100" i="67"/>
  <c r="S112" i="67"/>
  <c r="X108" i="67"/>
  <c r="X100" i="67"/>
  <c r="X111" i="67"/>
  <c r="D92" i="152"/>
  <c r="D93" i="152"/>
  <c r="F93" i="67"/>
  <c r="D93" i="75" s="1"/>
  <c r="R93" i="75" s="1"/>
  <c r="F97" i="67"/>
  <c r="N111" i="67"/>
  <c r="N112" i="67"/>
  <c r="N113" i="67"/>
  <c r="D113" i="36" s="1"/>
  <c r="J108" i="67"/>
  <c r="J116" i="67"/>
  <c r="S106" i="67"/>
  <c r="S120" i="67"/>
  <c r="S113" i="67"/>
  <c r="X107" i="67"/>
  <c r="X99" i="67"/>
  <c r="X112" i="67"/>
  <c r="N101" i="67"/>
  <c r="N106" i="67"/>
  <c r="N119" i="67"/>
  <c r="F91" i="67"/>
  <c r="F94" i="67"/>
  <c r="J104" i="67"/>
  <c r="J119" i="67"/>
  <c r="S105" i="67"/>
  <c r="S119" i="67"/>
  <c r="S114" i="67"/>
  <c r="X106" i="67"/>
  <c r="X113" i="67"/>
  <c r="N99" i="67"/>
  <c r="N107" i="67"/>
  <c r="N100" i="67"/>
  <c r="N108" i="67"/>
  <c r="N103" i="67"/>
  <c r="J113" i="67"/>
  <c r="F89" i="67"/>
  <c r="J102" i="67"/>
  <c r="S104" i="67"/>
  <c r="S118" i="67"/>
  <c r="S115" i="67"/>
  <c r="X105" i="67"/>
  <c r="X120" i="67"/>
  <c r="X115" i="67"/>
  <c r="DS87" i="4"/>
  <c r="D96" i="152"/>
  <c r="D121" i="34"/>
  <c r="D121" i="30"/>
  <c r="R121" i="30" s="1"/>
  <c r="S121" i="30" s="1"/>
  <c r="D121" i="76"/>
  <c r="S121" i="76" s="1"/>
  <c r="D108" i="152"/>
  <c r="S98" i="67"/>
  <c r="AK13" i="17"/>
  <c r="S110" i="67"/>
  <c r="AK14" i="17"/>
  <c r="D109" i="153"/>
  <c r="V109" i="153" s="1"/>
  <c r="W109" i="153" s="1"/>
  <c r="X98" i="67"/>
  <c r="AV13" i="17"/>
  <c r="X110" i="67"/>
  <c r="AV14" i="17"/>
  <c r="AO12" i="17"/>
  <c r="AP12" i="17" s="1"/>
  <c r="AR12" i="17" s="1"/>
  <c r="K25" i="57" s="1"/>
  <c r="AL12" i="17"/>
  <c r="D86" i="151"/>
  <c r="P86" i="151" s="1"/>
  <c r="Q86" i="151" s="1"/>
  <c r="DS86" i="4"/>
  <c r="D86" i="152"/>
  <c r="Q18" i="148"/>
  <c r="Q29" i="148"/>
  <c r="AZ16" i="17" s="1"/>
  <c r="ES121" i="4"/>
  <c r="P18" i="148"/>
  <c r="P29" i="148"/>
  <c r="AO16" i="17" s="1"/>
  <c r="D86" i="30"/>
  <c r="D86" i="34"/>
  <c r="DQ86" i="4"/>
  <c r="ES86" i="4"/>
  <c r="D86" i="76"/>
  <c r="S86" i="76" s="1"/>
  <c r="H53" i="17"/>
  <c r="E53" i="17"/>
  <c r="ET109" i="4"/>
  <c r="DQ120" i="4"/>
  <c r="O14" i="17"/>
  <c r="O56" i="17"/>
  <c r="J110" i="67"/>
  <c r="N110" i="67"/>
  <c r="Z56" i="17"/>
  <c r="Z14" i="17"/>
  <c r="AG11" i="17"/>
  <c r="M11" i="24" s="1"/>
  <c r="C24" i="57"/>
  <c r="D24" i="57" s="1"/>
  <c r="I27" i="74" s="1"/>
  <c r="C11" i="57"/>
  <c r="D11" i="57" s="1"/>
  <c r="AD57" i="17"/>
  <c r="AE57" i="17" s="1"/>
  <c r="AG57" i="17" s="1"/>
  <c r="AE15" i="17"/>
  <c r="DQ105" i="4"/>
  <c r="D105" i="76"/>
  <c r="S105" i="76" s="1"/>
  <c r="D88" i="75"/>
  <c r="R88" i="75" s="1"/>
  <c r="O18" i="148"/>
  <c r="O29" i="148"/>
  <c r="Z55" i="17"/>
  <c r="N98" i="67"/>
  <c r="Z13" i="17"/>
  <c r="D121" i="36"/>
  <c r="D121" i="77"/>
  <c r="S121" i="77" s="1"/>
  <c r="D121" i="32"/>
  <c r="R121" i="32" s="1"/>
  <c r="S121" i="32" s="1"/>
  <c r="ET121" i="4"/>
  <c r="DR121" i="4"/>
  <c r="M28" i="148"/>
  <c r="K72" i="148"/>
  <c r="C73" i="148"/>
  <c r="M17" i="148"/>
  <c r="U17" i="148" s="1"/>
  <c r="DQ100" i="4"/>
  <c r="ET102" i="4"/>
  <c r="D115" i="34"/>
  <c r="M46" i="148"/>
  <c r="U16" i="148"/>
  <c r="E11" i="17"/>
  <c r="H11" i="17"/>
  <c r="I11" i="17" s="1"/>
  <c r="K11" i="17" s="1"/>
  <c r="O10" i="15"/>
  <c r="Q10" i="15" s="1"/>
  <c r="R74" i="32"/>
  <c r="S74" i="32" s="1"/>
  <c r="D118" i="77"/>
  <c r="S118" i="77" s="1"/>
  <c r="D118" i="32"/>
  <c r="R118" i="32" s="1"/>
  <c r="S118" i="32" s="1"/>
  <c r="P54" i="17"/>
  <c r="S54" i="17"/>
  <c r="D74" i="28"/>
  <c r="ER74" i="4"/>
  <c r="D74" i="38"/>
  <c r="DP74" i="4"/>
  <c r="D74" i="75"/>
  <c r="R74" i="75" s="1"/>
  <c r="R74" i="30"/>
  <c r="S74" i="30" s="1"/>
  <c r="I10" i="15"/>
  <c r="K10" i="15" s="1"/>
  <c r="ES99" i="4"/>
  <c r="D99" i="76"/>
  <c r="S99" i="76" s="1"/>
  <c r="D99" i="34"/>
  <c r="D99" i="30"/>
  <c r="R99" i="30" s="1"/>
  <c r="S99" i="30" s="1"/>
  <c r="P12" i="17"/>
  <c r="S12" i="17"/>
  <c r="T12" i="17" s="1"/>
  <c r="V12" i="17" s="1"/>
  <c r="F86" i="67"/>
  <c r="D12" i="17"/>
  <c r="D54" i="17"/>
  <c r="DR113" i="4"/>
  <c r="D107" i="76"/>
  <c r="S107" i="76" s="1"/>
  <c r="D107" i="34"/>
  <c r="AD54" i="17"/>
  <c r="AA54" i="17"/>
  <c r="D96" i="28"/>
  <c r="P96" i="28" s="1"/>
  <c r="Q96" i="28" s="1"/>
  <c r="DP96" i="4"/>
  <c r="D103" i="30"/>
  <c r="R103" i="30" s="1"/>
  <c r="S103" i="30" s="1"/>
  <c r="DQ111" i="4"/>
  <c r="AD12" i="17"/>
  <c r="AE12" i="17" s="1"/>
  <c r="AA12" i="17"/>
  <c r="J98" i="67"/>
  <c r="O55" i="17"/>
  <c r="O13" i="17"/>
  <c r="D86" i="32"/>
  <c r="DR86" i="4"/>
  <c r="ET86" i="4"/>
  <c r="D86" i="36"/>
  <c r="D86" i="77"/>
  <c r="S86" i="77" s="1"/>
  <c r="S57" i="17"/>
  <c r="T57" i="17" s="1"/>
  <c r="V57" i="17" s="1"/>
  <c r="S15" i="17"/>
  <c r="T15" i="17" s="1"/>
  <c r="V15" i="17" s="1"/>
  <c r="M4" i="74" s="1"/>
  <c r="ES114" i="4"/>
  <c r="D114" i="76"/>
  <c r="S114" i="76" s="1"/>
  <c r="N29" i="148"/>
  <c r="N18" i="148"/>
  <c r="E100" i="67"/>
  <c r="E101" i="67"/>
  <c r="E106" i="67"/>
  <c r="E104" i="67"/>
  <c r="E103" i="67"/>
  <c r="E98" i="67"/>
  <c r="E107" i="67"/>
  <c r="E108" i="67"/>
  <c r="E99" i="67"/>
  <c r="E102" i="67"/>
  <c r="E109" i="67"/>
  <c r="E105" i="67"/>
  <c r="D106" i="30"/>
  <c r="R106" i="30" s="1"/>
  <c r="S106" i="30" s="1"/>
  <c r="ES106" i="4"/>
  <c r="D106" i="76"/>
  <c r="S106" i="76" s="1"/>
  <c r="D106" i="34"/>
  <c r="DQ106" i="4"/>
  <c r="D118" i="153" l="1"/>
  <c r="V118" i="153" s="1"/>
  <c r="W118" i="153" s="1"/>
  <c r="D102" i="32"/>
  <c r="R102" i="32" s="1"/>
  <c r="S102" i="32" s="1"/>
  <c r="D117" i="34"/>
  <c r="ES107" i="4"/>
  <c r="D93" i="28"/>
  <c r="P93" i="28" s="1"/>
  <c r="Q93" i="28" s="1"/>
  <c r="D100" i="30"/>
  <c r="R100" i="30" s="1"/>
  <c r="S100" i="30" s="1"/>
  <c r="D111" i="151"/>
  <c r="P111" i="151" s="1"/>
  <c r="Q111" i="151" s="1"/>
  <c r="ES100" i="4"/>
  <c r="D108" i="151"/>
  <c r="P108" i="151" s="1"/>
  <c r="Q108" i="151" s="1"/>
  <c r="D107" i="151"/>
  <c r="P107" i="151" s="1"/>
  <c r="Q107" i="151" s="1"/>
  <c r="D111" i="34"/>
  <c r="D111" i="76"/>
  <c r="S111" i="76" s="1"/>
  <c r="D111" i="30"/>
  <c r="R111" i="30" s="1"/>
  <c r="S111" i="30" s="1"/>
  <c r="D103" i="154"/>
  <c r="ES111" i="4"/>
  <c r="D112" i="76"/>
  <c r="S112" i="76" s="1"/>
  <c r="D106" i="154"/>
  <c r="D116" i="30"/>
  <c r="R116" i="30" s="1"/>
  <c r="S116" i="30" s="1"/>
  <c r="D117" i="153"/>
  <c r="V117" i="153" s="1"/>
  <c r="W117" i="153" s="1"/>
  <c r="D92" i="75"/>
  <c r="R92" i="75" s="1"/>
  <c r="D117" i="152"/>
  <c r="Y25" i="57"/>
  <c r="J29" i="74"/>
  <c r="DQ115" i="4"/>
  <c r="DR118" i="4"/>
  <c r="D100" i="34"/>
  <c r="D119" i="32"/>
  <c r="R119" i="32" s="1"/>
  <c r="S119" i="32" s="1"/>
  <c r="ET118" i="4"/>
  <c r="ER93" i="4"/>
  <c r="DP88" i="4"/>
  <c r="D93" i="38"/>
  <c r="D107" i="30"/>
  <c r="R107" i="30" s="1"/>
  <c r="S107" i="30" s="1"/>
  <c r="D111" i="32"/>
  <c r="R111" i="32" s="1"/>
  <c r="S111" i="32" s="1"/>
  <c r="D95" i="75"/>
  <c r="R95" i="75" s="1"/>
  <c r="ER88" i="4"/>
  <c r="ER89" i="4"/>
  <c r="D88" i="28"/>
  <c r="P88" i="28" s="1"/>
  <c r="Q88" i="28" s="1"/>
  <c r="D117" i="36"/>
  <c r="ET111" i="4"/>
  <c r="DQ107" i="4"/>
  <c r="D97" i="38"/>
  <c r="DP95" i="4"/>
  <c r="D105" i="34"/>
  <c r="T20" i="24"/>
  <c r="U20" i="24" s="1"/>
  <c r="Y20" i="24" s="1"/>
  <c r="F25" i="73" s="1"/>
  <c r="T28" i="57"/>
  <c r="U28" i="57" s="1"/>
  <c r="M6" i="74"/>
  <c r="K28" i="57"/>
  <c r="N6" i="25"/>
  <c r="W7" i="25" s="1"/>
  <c r="AR53" i="17"/>
  <c r="I6" i="74"/>
  <c r="BC54" i="17"/>
  <c r="J7" i="74"/>
  <c r="K20" i="24"/>
  <c r="C24" i="73"/>
  <c r="E24" i="73" s="1"/>
  <c r="ET117" i="4"/>
  <c r="DR102" i="4"/>
  <c r="D117" i="77"/>
  <c r="S117" i="77" s="1"/>
  <c r="D117" i="32"/>
  <c r="R117" i="32" s="1"/>
  <c r="S117" i="32" s="1"/>
  <c r="D89" i="38"/>
  <c r="D89" i="75"/>
  <c r="R89" i="75" s="1"/>
  <c r="D112" i="77"/>
  <c r="S112" i="77" s="1"/>
  <c r="DR112" i="4"/>
  <c r="D104" i="36"/>
  <c r="D116" i="36"/>
  <c r="D105" i="30"/>
  <c r="R105" i="30" s="1"/>
  <c r="S105" i="30" s="1"/>
  <c r="ET104" i="4"/>
  <c r="D111" i="152"/>
  <c r="D112" i="32"/>
  <c r="R112" i="32" s="1"/>
  <c r="S112" i="32" s="1"/>
  <c r="D116" i="32"/>
  <c r="R116" i="32" s="1"/>
  <c r="S116" i="32" s="1"/>
  <c r="D116" i="77"/>
  <c r="S116" i="77" s="1"/>
  <c r="D102" i="36"/>
  <c r="AC54" i="17"/>
  <c r="AE54" i="17" s="1"/>
  <c r="BC15" i="17"/>
  <c r="M7" i="74" s="1"/>
  <c r="AO56" i="17"/>
  <c r="AL56" i="17"/>
  <c r="BA16" i="17"/>
  <c r="AZ58" i="17"/>
  <c r="BA58" i="17" s="1"/>
  <c r="BC58" i="17" s="1"/>
  <c r="D118" i="155"/>
  <c r="P118" i="155" s="1"/>
  <c r="D107" i="156"/>
  <c r="W107" i="156" s="1"/>
  <c r="D100" i="155"/>
  <c r="P100" i="155" s="1"/>
  <c r="D116" i="156"/>
  <c r="W116" i="156" s="1"/>
  <c r="D99" i="155"/>
  <c r="P99" i="155" s="1"/>
  <c r="D116" i="155"/>
  <c r="P116" i="155" s="1"/>
  <c r="D113" i="155"/>
  <c r="P113" i="155" s="1"/>
  <c r="D101" i="156"/>
  <c r="W101" i="156" s="1"/>
  <c r="D102" i="155"/>
  <c r="P102" i="155" s="1"/>
  <c r="DP93" i="4"/>
  <c r="ES120" i="4"/>
  <c r="DS111" i="4"/>
  <c r="D117" i="155"/>
  <c r="P117" i="155" s="1"/>
  <c r="D113" i="156"/>
  <c r="W113" i="156" s="1"/>
  <c r="D120" i="155"/>
  <c r="P120" i="155" s="1"/>
  <c r="D109" i="156"/>
  <c r="W109" i="156" s="1"/>
  <c r="D108" i="155"/>
  <c r="P108" i="155" s="1"/>
  <c r="D111" i="155"/>
  <c r="P111" i="155" s="1"/>
  <c r="D103" i="155"/>
  <c r="P103" i="155" s="1"/>
  <c r="DR117" i="4"/>
  <c r="D96" i="75"/>
  <c r="R96" i="75" s="1"/>
  <c r="DP89" i="4"/>
  <c r="DS116" i="4"/>
  <c r="AO55" i="17"/>
  <c r="AL55" i="17"/>
  <c r="D110" i="155"/>
  <c r="P110" i="155" s="1"/>
  <c r="D89" i="28"/>
  <c r="P89" i="28" s="1"/>
  <c r="Q89" i="28" s="1"/>
  <c r="D110" i="156"/>
  <c r="W110" i="156" s="1"/>
  <c r="D115" i="156"/>
  <c r="W115" i="156" s="1"/>
  <c r="D111" i="156"/>
  <c r="W111" i="156" s="1"/>
  <c r="D109" i="155"/>
  <c r="P109" i="155" s="1"/>
  <c r="D106" i="155"/>
  <c r="P106" i="155" s="1"/>
  <c r="D96" i="38"/>
  <c r="D114" i="155"/>
  <c r="P114" i="155" s="1"/>
  <c r="D103" i="152"/>
  <c r="AZ56" i="17"/>
  <c r="AW56" i="17"/>
  <c r="D104" i="155"/>
  <c r="P104" i="155" s="1"/>
  <c r="D106" i="156"/>
  <c r="W106" i="156" s="1"/>
  <c r="ES104" i="4"/>
  <c r="ES115" i="4"/>
  <c r="D103" i="151"/>
  <c r="P103" i="151" s="1"/>
  <c r="Q103" i="151" s="1"/>
  <c r="D120" i="156"/>
  <c r="W120" i="156" s="1"/>
  <c r="D119" i="155"/>
  <c r="P119" i="155" s="1"/>
  <c r="D100" i="156"/>
  <c r="W100" i="156" s="1"/>
  <c r="D107" i="155"/>
  <c r="P107" i="155" s="1"/>
  <c r="D117" i="156"/>
  <c r="W117" i="156" s="1"/>
  <c r="DR119" i="4"/>
  <c r="ER96" i="4"/>
  <c r="D104" i="76"/>
  <c r="S104" i="76" s="1"/>
  <c r="ET119" i="4"/>
  <c r="D106" i="152"/>
  <c r="AN54" i="17"/>
  <c r="AP54" i="17" s="1"/>
  <c r="D119" i="36"/>
  <c r="ER87" i="4"/>
  <c r="D119" i="77"/>
  <c r="S119" i="77" s="1"/>
  <c r="D102" i="76"/>
  <c r="S102" i="76" s="1"/>
  <c r="D104" i="32"/>
  <c r="R104" i="32" s="1"/>
  <c r="S104" i="32" s="1"/>
  <c r="D99" i="32"/>
  <c r="R99" i="32" s="1"/>
  <c r="S99" i="32" s="1"/>
  <c r="D106" i="151"/>
  <c r="P106" i="151" s="1"/>
  <c r="Q106" i="151" s="1"/>
  <c r="D105" i="156"/>
  <c r="W105" i="156" s="1"/>
  <c r="D105" i="155"/>
  <c r="P105" i="155" s="1"/>
  <c r="D112" i="156"/>
  <c r="W112" i="156" s="1"/>
  <c r="D108" i="156"/>
  <c r="W108" i="156" s="1"/>
  <c r="D102" i="156"/>
  <c r="W102" i="156" s="1"/>
  <c r="D118" i="156"/>
  <c r="W118" i="156" s="1"/>
  <c r="D119" i="156"/>
  <c r="W119" i="156" s="1"/>
  <c r="D104" i="77"/>
  <c r="S104" i="77" s="1"/>
  <c r="AP16" i="17"/>
  <c r="AR16" i="17" s="1"/>
  <c r="K29" i="57" s="1"/>
  <c r="AO58" i="17"/>
  <c r="AP58" i="17" s="1"/>
  <c r="AR58" i="17" s="1"/>
  <c r="DR104" i="4"/>
  <c r="D98" i="156"/>
  <c r="W98" i="156" s="1"/>
  <c r="D98" i="155"/>
  <c r="P98" i="155" s="1"/>
  <c r="D115" i="155"/>
  <c r="P115" i="155" s="1"/>
  <c r="D99" i="156"/>
  <c r="W99" i="156" s="1"/>
  <c r="D112" i="155"/>
  <c r="P112" i="155" s="1"/>
  <c r="D114" i="156"/>
  <c r="W114" i="156" s="1"/>
  <c r="D101" i="155"/>
  <c r="P101" i="155" s="1"/>
  <c r="D103" i="156"/>
  <c r="W103" i="156" s="1"/>
  <c r="D104" i="156"/>
  <c r="W104" i="156" s="1"/>
  <c r="AZ55" i="17"/>
  <c r="AW55" i="17"/>
  <c r="R54" i="17"/>
  <c r="T54" i="17" s="1"/>
  <c r="D113" i="154"/>
  <c r="D91" i="75"/>
  <c r="R91" i="75" s="1"/>
  <c r="DS120" i="4"/>
  <c r="D100" i="76"/>
  <c r="S100" i="76" s="1"/>
  <c r="D100" i="32"/>
  <c r="R100" i="32" s="1"/>
  <c r="S100" i="32" s="1"/>
  <c r="ES102" i="4"/>
  <c r="ER91" i="4"/>
  <c r="DP91" i="4"/>
  <c r="D105" i="77"/>
  <c r="S105" i="77" s="1"/>
  <c r="D102" i="34"/>
  <c r="DQ102" i="4"/>
  <c r="D102" i="30"/>
  <c r="R102" i="30" s="1"/>
  <c r="S102" i="30" s="1"/>
  <c r="DR105" i="4"/>
  <c r="D102" i="77"/>
  <c r="S102" i="77" s="1"/>
  <c r="ET105" i="4"/>
  <c r="D103" i="77"/>
  <c r="S103" i="77" s="1"/>
  <c r="D105" i="32"/>
  <c r="R105" i="32" s="1"/>
  <c r="S105" i="32" s="1"/>
  <c r="D105" i="36"/>
  <c r="D91" i="28"/>
  <c r="P91" i="28" s="1"/>
  <c r="Q91" i="28" s="1"/>
  <c r="D91" i="38"/>
  <c r="G53" i="17"/>
  <c r="I53" i="17" s="1"/>
  <c r="D103" i="153"/>
  <c r="V103" i="153" s="1"/>
  <c r="W103" i="153" s="1"/>
  <c r="DS104" i="4"/>
  <c r="D107" i="36"/>
  <c r="DQ103" i="4"/>
  <c r="D101" i="34"/>
  <c r="D120" i="30"/>
  <c r="R120" i="30" s="1"/>
  <c r="S120" i="30" s="1"/>
  <c r="D100" i="152"/>
  <c r="DP92" i="4"/>
  <c r="D107" i="77"/>
  <c r="S107" i="77" s="1"/>
  <c r="DQ99" i="4"/>
  <c r="D120" i="34"/>
  <c r="D107" i="32"/>
  <c r="R107" i="32" s="1"/>
  <c r="S107" i="32" s="1"/>
  <c r="ES103" i="4"/>
  <c r="DR101" i="4"/>
  <c r="D108" i="30"/>
  <c r="R108" i="30" s="1"/>
  <c r="S108" i="30" s="1"/>
  <c r="D101" i="76"/>
  <c r="S101" i="76" s="1"/>
  <c r="D109" i="30"/>
  <c r="R109" i="30" s="1"/>
  <c r="S109" i="30" s="1"/>
  <c r="D109" i="77"/>
  <c r="S109" i="77" s="1"/>
  <c r="D100" i="151"/>
  <c r="P100" i="151" s="1"/>
  <c r="Q100" i="151" s="1"/>
  <c r="DR107" i="4"/>
  <c r="D104" i="34"/>
  <c r="DQ101" i="4"/>
  <c r="D109" i="76"/>
  <c r="S109" i="76" s="1"/>
  <c r="D109" i="32"/>
  <c r="R109" i="32" s="1"/>
  <c r="S109" i="32" s="1"/>
  <c r="D99" i="154"/>
  <c r="DS102" i="4"/>
  <c r="ET115" i="4"/>
  <c r="D103" i="76"/>
  <c r="S103" i="76" s="1"/>
  <c r="D112" i="36"/>
  <c r="D114" i="30"/>
  <c r="R114" i="30" s="1"/>
  <c r="S114" i="30" s="1"/>
  <c r="ET116" i="4"/>
  <c r="ET112" i="4"/>
  <c r="D114" i="34"/>
  <c r="DR116" i="4"/>
  <c r="D113" i="77"/>
  <c r="S113" i="77" s="1"/>
  <c r="D104" i="30"/>
  <c r="R104" i="30" s="1"/>
  <c r="S104" i="30" s="1"/>
  <c r="ES109" i="4"/>
  <c r="DR109" i="4"/>
  <c r="D102" i="153"/>
  <c r="V102" i="153" s="1"/>
  <c r="W102" i="153" s="1"/>
  <c r="D102" i="151"/>
  <c r="P102" i="151" s="1"/>
  <c r="Q102" i="151" s="1"/>
  <c r="D92" i="38"/>
  <c r="DQ109" i="4"/>
  <c r="D119" i="153"/>
  <c r="V119" i="153" s="1"/>
  <c r="W119" i="153" s="1"/>
  <c r="DS105" i="4"/>
  <c r="DQ114" i="4"/>
  <c r="ER92" i="4"/>
  <c r="D114" i="36"/>
  <c r="D113" i="32"/>
  <c r="R113" i="32" s="1"/>
  <c r="S113" i="32" s="1"/>
  <c r="D102" i="154"/>
  <c r="D116" i="151"/>
  <c r="P116" i="151" s="1"/>
  <c r="Q116" i="151" s="1"/>
  <c r="DR115" i="4"/>
  <c r="D115" i="76"/>
  <c r="S115" i="76" s="1"/>
  <c r="ES101" i="4"/>
  <c r="ER90" i="4"/>
  <c r="D105" i="153"/>
  <c r="V105" i="153" s="1"/>
  <c r="W105" i="153" s="1"/>
  <c r="DS100" i="4"/>
  <c r="D90" i="38"/>
  <c r="D115" i="36"/>
  <c r="D90" i="75"/>
  <c r="R90" i="75" s="1"/>
  <c r="D108" i="36"/>
  <c r="ET107" i="4"/>
  <c r="D115" i="32"/>
  <c r="R115" i="32" s="1"/>
  <c r="S115" i="32" s="1"/>
  <c r="DR111" i="4"/>
  <c r="DP90" i="4"/>
  <c r="D112" i="154"/>
  <c r="D106" i="153"/>
  <c r="V106" i="153" s="1"/>
  <c r="W106" i="153" s="1"/>
  <c r="D101" i="151"/>
  <c r="P101" i="151" s="1"/>
  <c r="Q101" i="151" s="1"/>
  <c r="D115" i="77"/>
  <c r="S115" i="77" s="1"/>
  <c r="D90" i="28"/>
  <c r="P90" i="28" s="1"/>
  <c r="Q90" i="28" s="1"/>
  <c r="D116" i="153"/>
  <c r="V116" i="153" s="1"/>
  <c r="W116" i="153" s="1"/>
  <c r="D107" i="154"/>
  <c r="D109" i="34"/>
  <c r="DS112" i="4"/>
  <c r="D87" i="38"/>
  <c r="D99" i="36"/>
  <c r="D115" i="152"/>
  <c r="D120" i="151"/>
  <c r="P120" i="151" s="1"/>
  <c r="Q120" i="151" s="1"/>
  <c r="D99" i="77"/>
  <c r="S99" i="77" s="1"/>
  <c r="D87" i="75"/>
  <c r="R87" i="75" s="1"/>
  <c r="D113" i="152"/>
  <c r="D87" i="28"/>
  <c r="P87" i="28" s="1"/>
  <c r="Q87" i="28" s="1"/>
  <c r="D103" i="36"/>
  <c r="ET99" i="4"/>
  <c r="D115" i="154"/>
  <c r="D101" i="154"/>
  <c r="D113" i="151"/>
  <c r="P113" i="151" s="1"/>
  <c r="Q113" i="151" s="1"/>
  <c r="D107" i="152"/>
  <c r="D94" i="28"/>
  <c r="P94" i="28" s="1"/>
  <c r="Q94" i="28" s="1"/>
  <c r="DR99" i="4"/>
  <c r="D101" i="153"/>
  <c r="V101" i="153" s="1"/>
  <c r="W101" i="153" s="1"/>
  <c r="ET113" i="4"/>
  <c r="ER95" i="4"/>
  <c r="D108" i="32"/>
  <c r="R108" i="32" s="1"/>
  <c r="S108" i="32" s="1"/>
  <c r="D112" i="34"/>
  <c r="D113" i="153"/>
  <c r="V113" i="153" s="1"/>
  <c r="W113" i="153" s="1"/>
  <c r="DS99" i="4"/>
  <c r="ES112" i="4"/>
  <c r="D111" i="77"/>
  <c r="S111" i="77" s="1"/>
  <c r="D101" i="77"/>
  <c r="S101" i="77" s="1"/>
  <c r="D92" i="28"/>
  <c r="P92" i="28" s="1"/>
  <c r="Q92" i="28" s="1"/>
  <c r="D88" i="38"/>
  <c r="D108" i="77"/>
  <c r="S108" i="77" s="1"/>
  <c r="D116" i="154"/>
  <c r="DS108" i="4"/>
  <c r="D105" i="152"/>
  <c r="D97" i="75"/>
  <c r="R97" i="75" s="1"/>
  <c r="ER97" i="4"/>
  <c r="D100" i="36"/>
  <c r="D119" i="154"/>
  <c r="D108" i="154"/>
  <c r="DS117" i="4"/>
  <c r="D105" i="151"/>
  <c r="P105" i="151" s="1"/>
  <c r="Q105" i="151" s="1"/>
  <c r="D97" i="28"/>
  <c r="P97" i="28" s="1"/>
  <c r="Q97" i="28" s="1"/>
  <c r="DP97" i="4"/>
  <c r="DR100" i="4"/>
  <c r="D108" i="153"/>
  <c r="V108" i="153" s="1"/>
  <c r="W108" i="153" s="1"/>
  <c r="D117" i="151"/>
  <c r="P117" i="151" s="1"/>
  <c r="Q117" i="151" s="1"/>
  <c r="D101" i="30"/>
  <c r="R101" i="30" s="1"/>
  <c r="S101" i="30" s="1"/>
  <c r="D109" i="36"/>
  <c r="D100" i="77"/>
  <c r="S100" i="77" s="1"/>
  <c r="D120" i="154"/>
  <c r="D109" i="154"/>
  <c r="D119" i="152"/>
  <c r="DS106" i="4"/>
  <c r="DP87" i="4"/>
  <c r="DP94" i="4"/>
  <c r="ER94" i="4"/>
  <c r="D94" i="38"/>
  <c r="DR106" i="4"/>
  <c r="D103" i="32"/>
  <c r="R103" i="32" s="1"/>
  <c r="S103" i="32" s="1"/>
  <c r="D115" i="153"/>
  <c r="V115" i="153" s="1"/>
  <c r="W115" i="153" s="1"/>
  <c r="D120" i="153"/>
  <c r="V120" i="153" s="1"/>
  <c r="W120" i="153" s="1"/>
  <c r="D105" i="154"/>
  <c r="DS113" i="4"/>
  <c r="DS118" i="4"/>
  <c r="D102" i="152"/>
  <c r="DS107" i="4"/>
  <c r="DR114" i="4"/>
  <c r="D106" i="36"/>
  <c r="DR103" i="4"/>
  <c r="D116" i="76"/>
  <c r="S116" i="76" s="1"/>
  <c r="D112" i="152"/>
  <c r="DS119" i="4"/>
  <c r="D99" i="152"/>
  <c r="D106" i="77"/>
  <c r="S106" i="77" s="1"/>
  <c r="ET103" i="4"/>
  <c r="D119" i="151"/>
  <c r="P119" i="151" s="1"/>
  <c r="Q119" i="151" s="1"/>
  <c r="DQ104" i="4"/>
  <c r="D108" i="34"/>
  <c r="ET106" i="4"/>
  <c r="D94" i="75"/>
  <c r="R94" i="75" s="1"/>
  <c r="ET100" i="4"/>
  <c r="D112" i="153"/>
  <c r="V112" i="153" s="1"/>
  <c r="W112" i="153" s="1"/>
  <c r="D99" i="153"/>
  <c r="V99" i="153" s="1"/>
  <c r="W99" i="153" s="1"/>
  <c r="D107" i="153"/>
  <c r="V107" i="153" s="1"/>
  <c r="W107" i="153" s="1"/>
  <c r="D112" i="151"/>
  <c r="P112" i="151" s="1"/>
  <c r="Q112" i="151" s="1"/>
  <c r="D120" i="152"/>
  <c r="DS103" i="4"/>
  <c r="D99" i="151"/>
  <c r="P99" i="151" s="1"/>
  <c r="Q99" i="151" s="1"/>
  <c r="D114" i="32"/>
  <c r="R114" i="32" s="1"/>
  <c r="S114" i="32" s="1"/>
  <c r="D108" i="76"/>
  <c r="S108" i="76" s="1"/>
  <c r="D111" i="154"/>
  <c r="D100" i="154"/>
  <c r="D111" i="153"/>
  <c r="V111" i="153" s="1"/>
  <c r="W111" i="153" s="1"/>
  <c r="D100" i="153"/>
  <c r="V100" i="153" s="1"/>
  <c r="W100" i="153" s="1"/>
  <c r="D114" i="77"/>
  <c r="S114" i="77" s="1"/>
  <c r="D106" i="32"/>
  <c r="R106" i="32" s="1"/>
  <c r="S106" i="32" s="1"/>
  <c r="DQ108" i="4"/>
  <c r="ES108" i="4"/>
  <c r="ES113" i="4"/>
  <c r="DS115" i="4"/>
  <c r="D116" i="152"/>
  <c r="DS109" i="4"/>
  <c r="DQ113" i="4"/>
  <c r="D115" i="151"/>
  <c r="P115" i="151" s="1"/>
  <c r="Q115" i="151" s="1"/>
  <c r="D109" i="151"/>
  <c r="P109" i="151" s="1"/>
  <c r="Q109" i="151" s="1"/>
  <c r="D113" i="30"/>
  <c r="R113" i="30" s="1"/>
  <c r="S113" i="30" s="1"/>
  <c r="D114" i="152"/>
  <c r="D109" i="152"/>
  <c r="D101" i="32"/>
  <c r="R101" i="32" s="1"/>
  <c r="S101" i="32" s="1"/>
  <c r="D95" i="28"/>
  <c r="P95" i="28" s="1"/>
  <c r="Q95" i="28" s="1"/>
  <c r="D113" i="34"/>
  <c r="DR108" i="4"/>
  <c r="D112" i="30"/>
  <c r="R112" i="30" s="1"/>
  <c r="S112" i="30" s="1"/>
  <c r="D114" i="154"/>
  <c r="D104" i="154"/>
  <c r="DS114" i="4"/>
  <c r="D101" i="152"/>
  <c r="D113" i="76"/>
  <c r="S113" i="76" s="1"/>
  <c r="ET101" i="4"/>
  <c r="ET114" i="4"/>
  <c r="D111" i="36"/>
  <c r="D101" i="36"/>
  <c r="D95" i="38"/>
  <c r="D115" i="30"/>
  <c r="R115" i="30" s="1"/>
  <c r="S115" i="30" s="1"/>
  <c r="ET108" i="4"/>
  <c r="D114" i="153"/>
  <c r="V114" i="153" s="1"/>
  <c r="W114" i="153" s="1"/>
  <c r="D104" i="153"/>
  <c r="V104" i="153" s="1"/>
  <c r="W104" i="153" s="1"/>
  <c r="D114" i="151"/>
  <c r="P114" i="151" s="1"/>
  <c r="Q114" i="151" s="1"/>
  <c r="DS101" i="4"/>
  <c r="F104" i="67"/>
  <c r="D116" i="34"/>
  <c r="ES116" i="4"/>
  <c r="DQ116" i="4"/>
  <c r="DQ112" i="4"/>
  <c r="F109" i="67"/>
  <c r="F101" i="67"/>
  <c r="F100" i="67"/>
  <c r="F105" i="67"/>
  <c r="F102" i="67"/>
  <c r="F106" i="67"/>
  <c r="F99" i="67"/>
  <c r="F108" i="67"/>
  <c r="F107" i="67"/>
  <c r="D118" i="152"/>
  <c r="D104" i="152"/>
  <c r="D119" i="30"/>
  <c r="R119" i="30" s="1"/>
  <c r="S119" i="30" s="1"/>
  <c r="D119" i="34"/>
  <c r="DQ119" i="4"/>
  <c r="D119" i="76"/>
  <c r="S119" i="76" s="1"/>
  <c r="ES119" i="4"/>
  <c r="F103" i="67"/>
  <c r="D118" i="151"/>
  <c r="P118" i="151" s="1"/>
  <c r="Q118" i="151" s="1"/>
  <c r="D104" i="151"/>
  <c r="P104" i="151" s="1"/>
  <c r="Q104" i="151" s="1"/>
  <c r="DQ117" i="4"/>
  <c r="ES117" i="4"/>
  <c r="D117" i="30"/>
  <c r="R117" i="30" s="1"/>
  <c r="S117" i="30" s="1"/>
  <c r="D117" i="76"/>
  <c r="S117" i="76" s="1"/>
  <c r="N4" i="25"/>
  <c r="AZ14" i="17"/>
  <c r="BA14" i="17" s="1"/>
  <c r="T27" i="57" s="1"/>
  <c r="U27" i="57" s="1"/>
  <c r="AW14" i="17"/>
  <c r="D110" i="153"/>
  <c r="V110" i="153" s="1"/>
  <c r="W110" i="153" s="1"/>
  <c r="D110" i="154"/>
  <c r="AZ13" i="17"/>
  <c r="BA13" i="17" s="1"/>
  <c r="T26" i="57" s="1"/>
  <c r="U26" i="57" s="1"/>
  <c r="AW13" i="17"/>
  <c r="D98" i="153"/>
  <c r="V98" i="153" s="1"/>
  <c r="W98" i="153" s="1"/>
  <c r="D98" i="154"/>
  <c r="AO14" i="17"/>
  <c r="AP14" i="17" s="1"/>
  <c r="AR14" i="17" s="1"/>
  <c r="K27" i="57" s="1"/>
  <c r="AL14" i="17"/>
  <c r="D110" i="151"/>
  <c r="P110" i="151" s="1"/>
  <c r="Q110" i="151" s="1"/>
  <c r="DS110" i="4"/>
  <c r="D110" i="152"/>
  <c r="AO13" i="17"/>
  <c r="AP13" i="17" s="1"/>
  <c r="AR13" i="17" s="1"/>
  <c r="AL13" i="17"/>
  <c r="D98" i="151"/>
  <c r="P98" i="151" s="1"/>
  <c r="Q98" i="151" s="1"/>
  <c r="DS98" i="4"/>
  <c r="D98" i="152"/>
  <c r="I4" i="74"/>
  <c r="DP86" i="4"/>
  <c r="D86" i="38"/>
  <c r="D86" i="28"/>
  <c r="D86" i="75"/>
  <c r="R86" i="75" s="1"/>
  <c r="ER86" i="4"/>
  <c r="E111" i="67"/>
  <c r="E112" i="67"/>
  <c r="E113" i="67"/>
  <c r="E114" i="67"/>
  <c r="E115" i="67"/>
  <c r="E120" i="67"/>
  <c r="E116" i="67"/>
  <c r="E117" i="67"/>
  <c r="E118" i="67"/>
  <c r="E110" i="67"/>
  <c r="E121" i="67"/>
  <c r="F121" i="67" s="1"/>
  <c r="E119" i="67"/>
  <c r="AA13" i="17"/>
  <c r="AD13" i="17"/>
  <c r="AE13" i="17" s="1"/>
  <c r="S58" i="17"/>
  <c r="T58" i="17" s="1"/>
  <c r="V58" i="17" s="1"/>
  <c r="S16" i="17"/>
  <c r="T16" i="17" s="1"/>
  <c r="V16" i="17" s="1"/>
  <c r="N4" i="74" s="1"/>
  <c r="D98" i="32"/>
  <c r="DR98" i="4"/>
  <c r="ET98" i="4"/>
  <c r="D98" i="77"/>
  <c r="S98" i="77" s="1"/>
  <c r="D98" i="36"/>
  <c r="AD55" i="17"/>
  <c r="AA55" i="17"/>
  <c r="H24" i="57"/>
  <c r="I11" i="15"/>
  <c r="K11" i="15" s="1"/>
  <c r="R86" i="30"/>
  <c r="S86" i="30" s="1"/>
  <c r="M29" i="148"/>
  <c r="M18" i="148"/>
  <c r="U18" i="148" s="1"/>
  <c r="K73" i="148"/>
  <c r="AD14" i="17"/>
  <c r="AE14" i="17" s="1"/>
  <c r="AA14" i="17"/>
  <c r="U28" i="148"/>
  <c r="H57" i="17"/>
  <c r="I57" i="17" s="1"/>
  <c r="K57" i="17" s="1"/>
  <c r="H15" i="17"/>
  <c r="I15" i="17" s="1"/>
  <c r="K15" i="17" s="1"/>
  <c r="M3" i="74" s="1"/>
  <c r="C28" i="57"/>
  <c r="D28" i="57" s="1"/>
  <c r="H28" i="57" s="1"/>
  <c r="M27" i="74" s="1"/>
  <c r="AG15" i="17"/>
  <c r="M5" i="74" s="1"/>
  <c r="C20" i="24"/>
  <c r="D20" i="24" s="1"/>
  <c r="H20" i="24" s="1"/>
  <c r="AA56" i="17"/>
  <c r="AD56" i="17"/>
  <c r="R86" i="32"/>
  <c r="S86" i="32" s="1"/>
  <c r="O11" i="15"/>
  <c r="Q11" i="15" s="1"/>
  <c r="D110" i="36"/>
  <c r="ET110" i="4"/>
  <c r="D110" i="77"/>
  <c r="S110" i="77" s="1"/>
  <c r="DR110" i="4"/>
  <c r="D110" i="32"/>
  <c r="DQ110" i="4"/>
  <c r="D110" i="30"/>
  <c r="ES110" i="4"/>
  <c r="D110" i="34"/>
  <c r="D110" i="76"/>
  <c r="S110" i="76" s="1"/>
  <c r="P13" i="17"/>
  <c r="S13" i="17"/>
  <c r="T13" i="17" s="1"/>
  <c r="V13" i="17" s="1"/>
  <c r="S56" i="17"/>
  <c r="P56" i="17"/>
  <c r="AD16" i="17"/>
  <c r="AE16" i="17" s="1"/>
  <c r="AD58" i="17"/>
  <c r="AE58" i="17" s="1"/>
  <c r="AG58" i="17" s="1"/>
  <c r="P14" i="17"/>
  <c r="S14" i="17"/>
  <c r="T14" i="17" s="1"/>
  <c r="V14" i="17" s="1"/>
  <c r="M4" i="25" s="1"/>
  <c r="D102" i="75"/>
  <c r="R102" i="75" s="1"/>
  <c r="ER102" i="4"/>
  <c r="D102" i="28"/>
  <c r="P102" i="28" s="1"/>
  <c r="Q102" i="28" s="1"/>
  <c r="P55" i="17"/>
  <c r="S55" i="17"/>
  <c r="D98" i="76"/>
  <c r="S98" i="76" s="1"/>
  <c r="D98" i="30"/>
  <c r="DQ98" i="4"/>
  <c r="ES98" i="4"/>
  <c r="D98" i="34"/>
  <c r="C12" i="57"/>
  <c r="D12" i="57" s="1"/>
  <c r="C25" i="57"/>
  <c r="D25" i="57" s="1"/>
  <c r="J27" i="74" s="1"/>
  <c r="AG12" i="17"/>
  <c r="M12" i="24" s="1"/>
  <c r="F98" i="67"/>
  <c r="D55" i="17"/>
  <c r="D13" i="17"/>
  <c r="I5" i="74"/>
  <c r="AG53" i="17"/>
  <c r="E54" i="17"/>
  <c r="H54" i="17"/>
  <c r="E12" i="17"/>
  <c r="H12" i="17"/>
  <c r="I12" i="17" s="1"/>
  <c r="K12" i="17" s="1"/>
  <c r="C10" i="15"/>
  <c r="E10" i="15" s="1"/>
  <c r="P74" i="28"/>
  <c r="Q74" i="28" s="1"/>
  <c r="DP102" i="4" l="1"/>
  <c r="N29" i="25"/>
  <c r="Y28" i="57"/>
  <c r="M29" i="74" s="1"/>
  <c r="Y27" i="57"/>
  <c r="L29" i="74" s="1"/>
  <c r="Y26" i="57"/>
  <c r="K29" i="74"/>
  <c r="K18" i="24"/>
  <c r="K26" i="57"/>
  <c r="T21" i="24"/>
  <c r="U21" i="24" s="1"/>
  <c r="Y21" i="24" s="1"/>
  <c r="O29" i="25" s="1"/>
  <c r="T29" i="57"/>
  <c r="U29" i="57" s="1"/>
  <c r="M11" i="74"/>
  <c r="O6" i="25"/>
  <c r="X7" i="25" s="1"/>
  <c r="N6" i="74"/>
  <c r="C25" i="73"/>
  <c r="E25" i="73" s="1"/>
  <c r="G25" i="73" s="1"/>
  <c r="N25" i="73" s="1"/>
  <c r="AR54" i="17"/>
  <c r="J6" i="74"/>
  <c r="AG54" i="17"/>
  <c r="N7" i="25"/>
  <c r="N19" i="25" s="1"/>
  <c r="W5" i="25"/>
  <c r="BC16" i="17"/>
  <c r="K21" i="24"/>
  <c r="H24" i="73"/>
  <c r="J24" i="73" s="1"/>
  <c r="AN56" i="17"/>
  <c r="AP56" i="17" s="1"/>
  <c r="AN55" i="17"/>
  <c r="AP55" i="17" s="1"/>
  <c r="AY55" i="17"/>
  <c r="BA55" i="17" s="1"/>
  <c r="AY56" i="17"/>
  <c r="BA56" i="17" s="1"/>
  <c r="G54" i="17"/>
  <c r="I54" i="17" s="1"/>
  <c r="DP109" i="4"/>
  <c r="I3" i="74"/>
  <c r="K53" i="17"/>
  <c r="AC56" i="17"/>
  <c r="AE56" i="17" s="1"/>
  <c r="L5" i="74" s="1"/>
  <c r="DP105" i="4"/>
  <c r="D99" i="38"/>
  <c r="D102" i="38"/>
  <c r="D100" i="75"/>
  <c r="R100" i="75" s="1"/>
  <c r="AC55" i="17"/>
  <c r="AE55" i="17" s="1"/>
  <c r="D105" i="38"/>
  <c r="R55" i="17"/>
  <c r="T55" i="17" s="1"/>
  <c r="V55" i="17" s="1"/>
  <c r="ER105" i="4"/>
  <c r="D105" i="28"/>
  <c r="P105" i="28" s="1"/>
  <c r="Q105" i="28" s="1"/>
  <c r="D105" i="75"/>
  <c r="R105" i="75" s="1"/>
  <c r="DP106" i="4"/>
  <c r="ER107" i="4"/>
  <c r="D99" i="75"/>
  <c r="R99" i="75" s="1"/>
  <c r="D99" i="28"/>
  <c r="P99" i="28" s="1"/>
  <c r="Q99" i="28" s="1"/>
  <c r="D106" i="28"/>
  <c r="P106" i="28" s="1"/>
  <c r="Q106" i="28" s="1"/>
  <c r="D107" i="75"/>
  <c r="R107" i="75" s="1"/>
  <c r="D108" i="38"/>
  <c r="DP107" i="4"/>
  <c r="D108" i="75"/>
  <c r="R108" i="75" s="1"/>
  <c r="ER106" i="4"/>
  <c r="D106" i="38"/>
  <c r="D107" i="28"/>
  <c r="P107" i="28" s="1"/>
  <c r="Q107" i="28" s="1"/>
  <c r="DP108" i="4"/>
  <c r="D107" i="38"/>
  <c r="ER108" i="4"/>
  <c r="D109" i="38"/>
  <c r="D108" i="28"/>
  <c r="P108" i="28" s="1"/>
  <c r="Q108" i="28" s="1"/>
  <c r="DP99" i="4"/>
  <c r="DP100" i="4"/>
  <c r="ER99" i="4"/>
  <c r="D100" i="28"/>
  <c r="P100" i="28" s="1"/>
  <c r="Q100" i="28" s="1"/>
  <c r="ER100" i="4"/>
  <c r="D100" i="38"/>
  <c r="ER103" i="4"/>
  <c r="D109" i="28"/>
  <c r="P109" i="28" s="1"/>
  <c r="Q109" i="28" s="1"/>
  <c r="D103" i="28"/>
  <c r="P103" i="28" s="1"/>
  <c r="Q103" i="28" s="1"/>
  <c r="D109" i="75"/>
  <c r="R109" i="75" s="1"/>
  <c r="ER109" i="4"/>
  <c r="R56" i="17"/>
  <c r="T56" i="17" s="1"/>
  <c r="V56" i="17" s="1"/>
  <c r="DP104" i="4"/>
  <c r="D104" i="38"/>
  <c r="DP101" i="4"/>
  <c r="D101" i="38"/>
  <c r="D106" i="75"/>
  <c r="R106" i="75" s="1"/>
  <c r="D104" i="75"/>
  <c r="R104" i="75" s="1"/>
  <c r="D104" i="28"/>
  <c r="P104" i="28" s="1"/>
  <c r="Q104" i="28" s="1"/>
  <c r="D101" i="28"/>
  <c r="P101" i="28" s="1"/>
  <c r="Q101" i="28" s="1"/>
  <c r="D103" i="38"/>
  <c r="ER104" i="4"/>
  <c r="D101" i="75"/>
  <c r="R101" i="75" s="1"/>
  <c r="D103" i="75"/>
  <c r="R103" i="75" s="1"/>
  <c r="ER101" i="4"/>
  <c r="DP103" i="4"/>
  <c r="F116" i="67"/>
  <c r="F120" i="67"/>
  <c r="F115" i="67"/>
  <c r="F119" i="67"/>
  <c r="F114" i="67"/>
  <c r="F113" i="67"/>
  <c r="F112" i="67"/>
  <c r="F118" i="67"/>
  <c r="F111" i="67"/>
  <c r="F117" i="67"/>
  <c r="J5" i="74"/>
  <c r="N5" i="25"/>
  <c r="K19" i="24"/>
  <c r="M6" i="25"/>
  <c r="C16" i="74"/>
  <c r="E16" i="74" s="1"/>
  <c r="C55" i="74" s="1"/>
  <c r="O4" i="25"/>
  <c r="N3" i="25"/>
  <c r="W122" i="153"/>
  <c r="W16" i="15" s="1"/>
  <c r="BC14" i="17"/>
  <c r="M7" i="25" s="1"/>
  <c r="T19" i="24"/>
  <c r="U19" i="24" s="1"/>
  <c r="Y19" i="24" s="1"/>
  <c r="M29" i="25" s="1"/>
  <c r="BC13" i="17"/>
  <c r="T18" i="24"/>
  <c r="U18" i="24" s="1"/>
  <c r="Y18" i="24" s="1"/>
  <c r="N12" i="24"/>
  <c r="F23" i="73"/>
  <c r="N27" i="25"/>
  <c r="D56" i="17"/>
  <c r="F110" i="67"/>
  <c r="D14" i="17"/>
  <c r="C23" i="73"/>
  <c r="I13" i="15"/>
  <c r="K13" i="15" s="1"/>
  <c r="R110" i="30"/>
  <c r="S110" i="30" s="1"/>
  <c r="R110" i="32"/>
  <c r="S110" i="32" s="1"/>
  <c r="O13" i="15"/>
  <c r="Q13" i="15" s="1"/>
  <c r="O12" i="15"/>
  <c r="Q12" i="15" s="1"/>
  <c r="R98" i="32"/>
  <c r="S98" i="32" s="1"/>
  <c r="ER98" i="4"/>
  <c r="D98" i="75"/>
  <c r="R98" i="75" s="1"/>
  <c r="D98" i="28"/>
  <c r="D98" i="38"/>
  <c r="DP98" i="4"/>
  <c r="I12" i="15"/>
  <c r="K12" i="15" s="1"/>
  <c r="R98" i="30"/>
  <c r="S98" i="30" s="1"/>
  <c r="C26" i="57"/>
  <c r="D26" i="57" s="1"/>
  <c r="K27" i="74" s="1"/>
  <c r="AG13" i="17"/>
  <c r="M13" i="24" s="1"/>
  <c r="C13" i="57"/>
  <c r="D13" i="57" s="1"/>
  <c r="C18" i="24"/>
  <c r="D18" i="24" s="1"/>
  <c r="H18" i="24" s="1"/>
  <c r="E13" i="17"/>
  <c r="H13" i="17"/>
  <c r="I13" i="17" s="1"/>
  <c r="K13" i="17" s="1"/>
  <c r="H25" i="57"/>
  <c r="H55" i="17"/>
  <c r="E55" i="17"/>
  <c r="C21" i="24"/>
  <c r="D21" i="24" s="1"/>
  <c r="H21" i="24" s="1"/>
  <c r="O27" i="25" s="1"/>
  <c r="C29" i="57"/>
  <c r="D29" i="57" s="1"/>
  <c r="H29" i="57" s="1"/>
  <c r="N27" i="74" s="1"/>
  <c r="AG16" i="17"/>
  <c r="N5" i="74" s="1"/>
  <c r="H58" i="17"/>
  <c r="I58" i="17" s="1"/>
  <c r="K58" i="17" s="1"/>
  <c r="H16" i="17"/>
  <c r="I16" i="17" s="1"/>
  <c r="K16" i="17" s="1"/>
  <c r="U29" i="148"/>
  <c r="C27" i="57"/>
  <c r="D27" i="57" s="1"/>
  <c r="L27" i="74" s="1"/>
  <c r="C14" i="57"/>
  <c r="AG14" i="17"/>
  <c r="C19" i="24"/>
  <c r="D19" i="24" s="1"/>
  <c r="H19" i="24" s="1"/>
  <c r="C11" i="15"/>
  <c r="E11" i="15" s="1"/>
  <c r="P86" i="28"/>
  <c r="Q86" i="28" s="1"/>
  <c r="J4" i="74"/>
  <c r="V54" i="17"/>
  <c r="ER121" i="4"/>
  <c r="D121" i="28"/>
  <c r="P121" i="28" s="1"/>
  <c r="Q121" i="28" s="1"/>
  <c r="DP121" i="4"/>
  <c r="D121" i="38"/>
  <c r="D121" i="75"/>
  <c r="R121" i="75" s="1"/>
  <c r="C38" i="25" l="1"/>
  <c r="N38" i="25"/>
  <c r="I11" i="74"/>
  <c r="K25" i="73"/>
  <c r="Y29" i="57"/>
  <c r="N29" i="74" s="1"/>
  <c r="ER118" i="4"/>
  <c r="C18" i="25"/>
  <c r="E18" i="25" s="1"/>
  <c r="H18" i="25" s="1"/>
  <c r="H25" i="73"/>
  <c r="J25" i="73" s="1"/>
  <c r="N7" i="74"/>
  <c r="O3" i="25"/>
  <c r="C15" i="25" s="1"/>
  <c r="N3" i="74"/>
  <c r="BC56" i="17"/>
  <c r="L7" i="74"/>
  <c r="AR56" i="17"/>
  <c r="L6" i="74"/>
  <c r="BC55" i="17"/>
  <c r="K7" i="74"/>
  <c r="AR55" i="17"/>
  <c r="K6" i="74"/>
  <c r="W8" i="25"/>
  <c r="AG55" i="17"/>
  <c r="C18" i="74"/>
  <c r="E18" i="74" s="1"/>
  <c r="O7" i="25"/>
  <c r="O19" i="25" s="1"/>
  <c r="C16" i="25"/>
  <c r="E16" i="25" s="1"/>
  <c r="W6" i="25"/>
  <c r="DP119" i="4"/>
  <c r="DP118" i="4"/>
  <c r="ER119" i="4"/>
  <c r="D119" i="38"/>
  <c r="D119" i="75"/>
  <c r="R119" i="75" s="1"/>
  <c r="D112" i="28"/>
  <c r="P112" i="28" s="1"/>
  <c r="Q112" i="28" s="1"/>
  <c r="D112" i="75"/>
  <c r="R112" i="75" s="1"/>
  <c r="DP112" i="4"/>
  <c r="D112" i="38"/>
  <c r="ER112" i="4"/>
  <c r="D120" i="38"/>
  <c r="D120" i="28"/>
  <c r="P120" i="28" s="1"/>
  <c r="Q120" i="28" s="1"/>
  <c r="D116" i="75"/>
  <c r="R116" i="75" s="1"/>
  <c r="D114" i="38"/>
  <c r="D119" i="28"/>
  <c r="P119" i="28" s="1"/>
  <c r="Q119" i="28" s="1"/>
  <c r="DP113" i="4"/>
  <c r="D113" i="75"/>
  <c r="R113" i="75" s="1"/>
  <c r="ER113" i="4"/>
  <c r="ER114" i="4"/>
  <c r="DP114" i="4"/>
  <c r="D111" i="75"/>
  <c r="R111" i="75" s="1"/>
  <c r="D113" i="28"/>
  <c r="P113" i="28" s="1"/>
  <c r="Q113" i="28" s="1"/>
  <c r="DP116" i="4"/>
  <c r="ER111" i="4"/>
  <c r="D116" i="28"/>
  <c r="P116" i="28" s="1"/>
  <c r="Q116" i="28" s="1"/>
  <c r="DP111" i="4"/>
  <c r="D111" i="28"/>
  <c r="P111" i="28" s="1"/>
  <c r="Q111" i="28" s="1"/>
  <c r="D111" i="38"/>
  <c r="ER120" i="4"/>
  <c r="D120" i="75"/>
  <c r="R120" i="75" s="1"/>
  <c r="DP120" i="4"/>
  <c r="D114" i="28"/>
  <c r="P114" i="28" s="1"/>
  <c r="Q114" i="28" s="1"/>
  <c r="D114" i="75"/>
  <c r="R114" i="75" s="1"/>
  <c r="D118" i="28"/>
  <c r="P118" i="28" s="1"/>
  <c r="Q118" i="28" s="1"/>
  <c r="D118" i="38"/>
  <c r="D118" i="75"/>
  <c r="R118" i="75" s="1"/>
  <c r="D115" i="38"/>
  <c r="D117" i="38"/>
  <c r="D117" i="75"/>
  <c r="R117" i="75" s="1"/>
  <c r="D115" i="75"/>
  <c r="R115" i="75" s="1"/>
  <c r="ER117" i="4"/>
  <c r="D115" i="28"/>
  <c r="P115" i="28" s="1"/>
  <c r="Q115" i="28" s="1"/>
  <c r="DP117" i="4"/>
  <c r="G55" i="17"/>
  <c r="I55" i="17" s="1"/>
  <c r="K55" i="17" s="1"/>
  <c r="D117" i="28"/>
  <c r="P117" i="28" s="1"/>
  <c r="Q117" i="28" s="1"/>
  <c r="DP115" i="4"/>
  <c r="ER116" i="4"/>
  <c r="ER115" i="4"/>
  <c r="D116" i="38"/>
  <c r="N11" i="25"/>
  <c r="D113" i="38"/>
  <c r="X5" i="25"/>
  <c r="W4" i="25"/>
  <c r="M27" i="25"/>
  <c r="O5" i="25"/>
  <c r="AG56" i="17"/>
  <c r="M5" i="25"/>
  <c r="L4" i="74"/>
  <c r="K4" i="74"/>
  <c r="K25" i="24"/>
  <c r="M25" i="24" s="1"/>
  <c r="K24" i="24"/>
  <c r="M24" i="24" s="1"/>
  <c r="M14" i="24"/>
  <c r="N13" i="24"/>
  <c r="K5" i="74"/>
  <c r="K15" i="15"/>
  <c r="S122" i="32"/>
  <c r="Q16" i="15" s="1"/>
  <c r="Q15" i="15"/>
  <c r="S122" i="30"/>
  <c r="K16" i="15" s="1"/>
  <c r="K54" i="17"/>
  <c r="J3" i="74"/>
  <c r="K23" i="73"/>
  <c r="C12" i="15"/>
  <c r="E12" i="15" s="1"/>
  <c r="P98" i="28"/>
  <c r="Q98" i="28" s="1"/>
  <c r="H23" i="73"/>
  <c r="C17" i="74"/>
  <c r="E17" i="74" s="1"/>
  <c r="C28" i="73"/>
  <c r="E23" i="73"/>
  <c r="C36" i="74"/>
  <c r="E14" i="17"/>
  <c r="H14" i="17"/>
  <c r="I14" i="17" s="1"/>
  <c r="K14" i="17" s="1"/>
  <c r="M3" i="25" s="1"/>
  <c r="D110" i="75"/>
  <c r="R110" i="75" s="1"/>
  <c r="DP110" i="4"/>
  <c r="D110" i="28"/>
  <c r="ER110" i="4"/>
  <c r="D110" i="38"/>
  <c r="E56" i="17"/>
  <c r="H56" i="17"/>
  <c r="H26" i="57"/>
  <c r="C33" i="57"/>
  <c r="D14" i="57"/>
  <c r="C34" i="57"/>
  <c r="H27" i="57"/>
  <c r="H16" i="25" l="1"/>
  <c r="C19" i="25"/>
  <c r="E19" i="25" s="1"/>
  <c r="H19" i="25" s="1"/>
  <c r="L25" i="73"/>
  <c r="O25" i="73" s="1"/>
  <c r="O38" i="25" s="1"/>
  <c r="J11" i="74"/>
  <c r="C60" i="25"/>
  <c r="X4" i="25"/>
  <c r="N11" i="74"/>
  <c r="C15" i="74"/>
  <c r="E15" i="74" s="1"/>
  <c r="C19" i="74"/>
  <c r="E19" i="74" s="1"/>
  <c r="C58" i="25"/>
  <c r="X8" i="25"/>
  <c r="X6" i="25"/>
  <c r="W12" i="25"/>
  <c r="G56" i="17"/>
  <c r="I56" i="17" s="1"/>
  <c r="O11" i="25"/>
  <c r="C17" i="25"/>
  <c r="E17" i="25" s="1"/>
  <c r="N14" i="24"/>
  <c r="K3" i="74"/>
  <c r="G23" i="73"/>
  <c r="E28" i="73"/>
  <c r="H28" i="73"/>
  <c r="J23" i="73"/>
  <c r="C56" i="74"/>
  <c r="E15" i="25"/>
  <c r="D34" i="57"/>
  <c r="E34" i="57" s="1"/>
  <c r="D33" i="57"/>
  <c r="E33" i="57" s="1"/>
  <c r="P110" i="28"/>
  <c r="Q110" i="28" s="1"/>
  <c r="C13" i="15"/>
  <c r="E13" i="15" s="1"/>
  <c r="E15" i="15" s="1"/>
  <c r="C36" i="25"/>
  <c r="C38" i="74"/>
  <c r="C8" i="160" l="1"/>
  <c r="C6" i="160"/>
  <c r="D38" i="25"/>
  <c r="E38" i="25" s="1"/>
  <c r="D61" i="25" s="1"/>
  <c r="C61" i="25"/>
  <c r="E23" i="74"/>
  <c r="K11" i="74"/>
  <c r="X12" i="25"/>
  <c r="C23" i="74"/>
  <c r="C23" i="25"/>
  <c r="H17" i="25"/>
  <c r="C59" i="25"/>
  <c r="C7" i="160" s="1"/>
  <c r="Q122" i="28"/>
  <c r="E16" i="15" s="1"/>
  <c r="C54" i="74"/>
  <c r="C62" i="74" s="1"/>
  <c r="C57" i="25"/>
  <c r="H15" i="25"/>
  <c r="E23" i="25"/>
  <c r="J28" i="73"/>
  <c r="L23" i="73"/>
  <c r="O23" i="73" s="1"/>
  <c r="L3" i="74"/>
  <c r="K56" i="17"/>
  <c r="N23" i="73"/>
  <c r="C9" i="160" l="1"/>
  <c r="D9" i="160"/>
  <c r="C5" i="160"/>
  <c r="L11" i="74"/>
  <c r="H23" i="25"/>
  <c r="C65" i="25"/>
  <c r="M11" i="25"/>
  <c r="C13" i="160" l="1"/>
  <c r="D36" i="74"/>
  <c r="D36" i="25"/>
  <c r="E36" i="25" l="1"/>
  <c r="D38" i="74"/>
  <c r="E36" i="74"/>
  <c r="D56" i="74" l="1"/>
  <c r="D62" i="74" s="1"/>
  <c r="E38" i="74"/>
  <c r="D59" i="25"/>
  <c r="D7" i="160" s="1"/>
  <c r="S59" i="67" l="1"/>
  <c r="S60" i="67"/>
  <c r="AJ9" i="17"/>
  <c r="EU60" i="4"/>
  <c r="EU59" i="4"/>
  <c r="G6" i="25" l="1"/>
  <c r="G11" i="25" s="1"/>
  <c r="K9" i="57"/>
  <c r="L9" i="57"/>
  <c r="M9" i="57" s="1"/>
  <c r="D59" i="151"/>
  <c r="P59" i="151" s="1"/>
  <c r="Q59" i="151" s="1"/>
  <c r="D59" i="155"/>
  <c r="P59" i="155" s="1"/>
  <c r="D60" i="155"/>
  <c r="P60" i="155" s="1"/>
  <c r="DS60" i="4"/>
  <c r="D60" i="151"/>
  <c r="P60" i="151" s="1"/>
  <c r="Q60" i="151" s="1"/>
  <c r="D60" i="152"/>
  <c r="Q122" i="151"/>
  <c r="DS59" i="4"/>
  <c r="D59" i="152"/>
  <c r="L9" i="24"/>
  <c r="AL9" i="17"/>
  <c r="K9" i="24"/>
  <c r="N9" i="57" l="1"/>
  <c r="N21" i="57"/>
  <c r="N25" i="57"/>
  <c r="N18" i="57"/>
  <c r="M18" i="57"/>
  <c r="N20" i="57"/>
  <c r="N24" i="57"/>
  <c r="N10" i="57"/>
  <c r="N22" i="57"/>
  <c r="N28" i="57"/>
  <c r="N29" i="57"/>
  <c r="N26" i="57"/>
  <c r="N11" i="57"/>
  <c r="N23" i="57"/>
  <c r="N19" i="57"/>
  <c r="N27" i="57"/>
  <c r="AN51" i="17"/>
  <c r="AP51" i="17" s="1"/>
  <c r="M9" i="24"/>
  <c r="G28" i="25"/>
  <c r="G32" i="25" s="1"/>
  <c r="M19" i="57" l="1"/>
  <c r="L18" i="57"/>
  <c r="AR51" i="17"/>
  <c r="G6" i="74"/>
  <c r="G11" i="74" s="1"/>
  <c r="N18" i="24"/>
  <c r="N21" i="24"/>
  <c r="N11" i="24"/>
  <c r="N10" i="24"/>
  <c r="N9" i="24"/>
  <c r="M18" i="24"/>
  <c r="N20" i="24"/>
  <c r="N19" i="24"/>
  <c r="P18" i="57" l="1"/>
  <c r="C28" i="74"/>
  <c r="C32" i="74" s="1"/>
  <c r="M20" i="57"/>
  <c r="L19" i="57"/>
  <c r="M19" i="24"/>
  <c r="L18" i="24"/>
  <c r="P18" i="24" s="1"/>
  <c r="P19" i="57" l="1"/>
  <c r="D28" i="74"/>
  <c r="D32" i="74" s="1"/>
  <c r="M21" i="57"/>
  <c r="L20" i="57"/>
  <c r="L19" i="24"/>
  <c r="P19" i="24" s="1"/>
  <c r="M28" i="25" s="1"/>
  <c r="M20" i="24"/>
  <c r="P20" i="57" l="1"/>
  <c r="E28" i="74"/>
  <c r="E32" i="74" s="1"/>
  <c r="M32" i="25"/>
  <c r="M22" i="57"/>
  <c r="L21" i="57"/>
  <c r="M21" i="24"/>
  <c r="L21" i="24" s="1"/>
  <c r="P21" i="24" s="1"/>
  <c r="L20" i="24"/>
  <c r="P20" i="24" s="1"/>
  <c r="M23" i="57" l="1"/>
  <c r="L22" i="57"/>
  <c r="P21" i="57"/>
  <c r="F28" i="74"/>
  <c r="F32" i="74" s="1"/>
  <c r="N28" i="25"/>
  <c r="F24" i="73"/>
  <c r="K24" i="73"/>
  <c r="O28" i="25"/>
  <c r="O32" i="25" s="1"/>
  <c r="N32" i="25" l="1"/>
  <c r="P22" i="57"/>
  <c r="G28" i="74"/>
  <c r="G32" i="74" s="1"/>
  <c r="M24" i="57"/>
  <c r="L23" i="57"/>
  <c r="K28" i="73"/>
  <c r="L24" i="73"/>
  <c r="G24" i="73"/>
  <c r="F28" i="73"/>
  <c r="C37" i="25"/>
  <c r="P23" i="57" l="1"/>
  <c r="H28" i="74"/>
  <c r="H32" i="74" s="1"/>
  <c r="M25" i="57"/>
  <c r="L24" i="57"/>
  <c r="O24" i="73"/>
  <c r="L28" i="73"/>
  <c r="C41" i="25"/>
  <c r="G28" i="73"/>
  <c r="N24" i="73"/>
  <c r="P24" i="57" l="1"/>
  <c r="I28" i="74"/>
  <c r="M26" i="57"/>
  <c r="L25" i="57"/>
  <c r="D37" i="25"/>
  <c r="D41" i="25" s="1"/>
  <c r="I32" i="74" l="1"/>
  <c r="M27" i="57"/>
  <c r="L26" i="57"/>
  <c r="P25" i="57"/>
  <c r="J28" i="74"/>
  <c r="E37" i="25"/>
  <c r="D60" i="25" s="1"/>
  <c r="D8" i="160" l="1"/>
  <c r="J32" i="74"/>
  <c r="P26" i="57"/>
  <c r="K28" i="74"/>
  <c r="M28" i="57"/>
  <c r="L27" i="57"/>
  <c r="P27" i="57" s="1"/>
  <c r="L28" i="74" s="1"/>
  <c r="E41" i="25"/>
  <c r="D65" i="25"/>
  <c r="D13" i="160" l="1"/>
  <c r="L32" i="74"/>
  <c r="M29" i="57"/>
  <c r="L29" i="57" s="1"/>
  <c r="P29" i="57" s="1"/>
  <c r="N28" i="74" s="1"/>
  <c r="N32" i="74" s="1"/>
  <c r="L28" i="57"/>
  <c r="P28" i="57" s="1"/>
  <c r="M28" i="74" s="1"/>
  <c r="M32" i="74" s="1"/>
  <c r="K32" i="74"/>
</calcChain>
</file>

<file path=xl/sharedStrings.xml><?xml version="1.0" encoding="utf-8"?>
<sst xmlns="http://schemas.openxmlformats.org/spreadsheetml/2006/main" count="2217" uniqueCount="552">
  <si>
    <t>Date</t>
  </si>
  <si>
    <t>Year</t>
  </si>
  <si>
    <t>Month</t>
  </si>
  <si>
    <t>Residential_kWh</t>
  </si>
  <si>
    <t>Res_CDM</t>
  </si>
  <si>
    <t>Res_NoCDM</t>
  </si>
  <si>
    <t>Residential_Customers</t>
  </si>
  <si>
    <t>GS_lt_50_kWh</t>
  </si>
  <si>
    <t>GS_lt_50_CDM</t>
  </si>
  <si>
    <t>GS_lt_50_NoCDM</t>
  </si>
  <si>
    <t>GS_lt_50_Customers</t>
  </si>
  <si>
    <t>GS_50_999_kWh</t>
  </si>
  <si>
    <t>GS_50_999_CDM</t>
  </si>
  <si>
    <t>GS_50_999_NoCDM</t>
  </si>
  <si>
    <t>GS_50_999_kW</t>
  </si>
  <si>
    <t>GS_50_999_Customers</t>
  </si>
  <si>
    <t>GS_1000_4999_kWh</t>
  </si>
  <si>
    <t>GS_1000_4999_CDM</t>
  </si>
  <si>
    <t>GS_1000_4999_NoCDM</t>
  </si>
  <si>
    <t>GS_1000_4999_kW</t>
  </si>
  <si>
    <t>GS_1000_4999_Customers</t>
  </si>
  <si>
    <t>GS_LU_kWh</t>
  </si>
  <si>
    <t>GS_LU_CDM</t>
  </si>
  <si>
    <t>GS_LU_NoCDM</t>
  </si>
  <si>
    <t>GS_LU_kW</t>
  </si>
  <si>
    <t>GS_LU_Customers</t>
  </si>
  <si>
    <t>Streetlights_kWh</t>
  </si>
  <si>
    <t>Streetlights_kW</t>
  </si>
  <si>
    <t>Streetlights_Connections</t>
  </si>
  <si>
    <t>SentinelLights_kWh</t>
  </si>
  <si>
    <t>SentinelLights_kW</t>
  </si>
  <si>
    <t>SentinelLights_Connections</t>
  </si>
  <si>
    <t>USL_kWh</t>
  </si>
  <si>
    <t>USL Connections</t>
  </si>
  <si>
    <t>ON GDP</t>
  </si>
  <si>
    <t>ON Services GDP</t>
  </si>
  <si>
    <t>ON Prof Services GDP</t>
  </si>
  <si>
    <t>OEA_GDP</t>
  </si>
  <si>
    <t>OEA_Services</t>
  </si>
  <si>
    <t>OEA_Transport&amp;WH</t>
  </si>
  <si>
    <t>Ont_FTEAdj</t>
  </si>
  <si>
    <t>Ont_FTE</t>
  </si>
  <si>
    <t>Osh_FTEAdj</t>
  </si>
  <si>
    <t>Osh_FTE</t>
  </si>
  <si>
    <t>Ont_FTEAdjChange</t>
  </si>
  <si>
    <t>Ont_FTEChange</t>
  </si>
  <si>
    <t>Osh_FTEAdjChange</t>
  </si>
  <si>
    <t>Osh_FTEChange</t>
  </si>
  <si>
    <t>ON GDPChange</t>
  </si>
  <si>
    <t>OEA_GDPChange</t>
  </si>
  <si>
    <t>MeanTemp</t>
  </si>
  <si>
    <t>HDD20</t>
  </si>
  <si>
    <t>CDD20</t>
  </si>
  <si>
    <t>HDD18</t>
  </si>
  <si>
    <t>CDD18</t>
  </si>
  <si>
    <t>HDD16</t>
  </si>
  <si>
    <t>CDD16</t>
  </si>
  <si>
    <t>HDD14</t>
  </si>
  <si>
    <t>CDD14</t>
  </si>
  <si>
    <t>HDD12</t>
  </si>
  <si>
    <t>CDD12</t>
  </si>
  <si>
    <t>HDD10</t>
  </si>
  <si>
    <t>CDD10</t>
  </si>
  <si>
    <t>HDD8</t>
  </si>
  <si>
    <t>CDD8</t>
  </si>
  <si>
    <t>Jan</t>
  </si>
  <si>
    <t>Feb</t>
  </si>
  <si>
    <t>Mar</t>
  </si>
  <si>
    <t>Apr</t>
  </si>
  <si>
    <t>May</t>
  </si>
  <si>
    <t>Jun</t>
  </si>
  <si>
    <t>Jul</t>
  </si>
  <si>
    <t>Aug</t>
  </si>
  <si>
    <t>Sept</t>
  </si>
  <si>
    <t>Oct</t>
  </si>
  <si>
    <t>Nov</t>
  </si>
  <si>
    <t>Dec</t>
  </si>
  <si>
    <t>Spring</t>
  </si>
  <si>
    <t>Fall</t>
  </si>
  <si>
    <t>Shoulder</t>
  </si>
  <si>
    <t>Trend</t>
  </si>
  <si>
    <t>Month Days</t>
  </si>
  <si>
    <t>Peak Days</t>
  </si>
  <si>
    <t>COVID</t>
  </si>
  <si>
    <t>COVID_AM</t>
  </si>
  <si>
    <t>COVID_WFH</t>
  </si>
  <si>
    <t>COVID2020</t>
  </si>
  <si>
    <t>CovHDD20</t>
  </si>
  <si>
    <t>CovCDD20</t>
  </si>
  <si>
    <t>CovHDD18</t>
  </si>
  <si>
    <t>CovCDD18</t>
  </si>
  <si>
    <t>CovHDD16</t>
  </si>
  <si>
    <t>CovCDD16</t>
  </si>
  <si>
    <t>CovHDD14</t>
  </si>
  <si>
    <t>CovCDD14</t>
  </si>
  <si>
    <t>CovHDD12</t>
  </si>
  <si>
    <t>CovCDD12</t>
  </si>
  <si>
    <t>CovHDD10</t>
  </si>
  <si>
    <t>CovCDD10</t>
  </si>
  <si>
    <t>CovHDD8</t>
  </si>
  <si>
    <t>CovCDD8</t>
  </si>
  <si>
    <t>CWFHHDD20</t>
  </si>
  <si>
    <t>CWFHCDD20</t>
  </si>
  <si>
    <t>CWFHHDD18</t>
  </si>
  <si>
    <t>CWFHCDD18</t>
  </si>
  <si>
    <t>CWFHHDD16</t>
  </si>
  <si>
    <t>CWFHCDD16</t>
  </si>
  <si>
    <t>CWFHHDD14</t>
  </si>
  <si>
    <t>CWFHCDD14</t>
  </si>
  <si>
    <t>CWFHHDD12</t>
  </si>
  <si>
    <t>CWFHCDD12</t>
  </si>
  <si>
    <t>CWFHHDD10</t>
  </si>
  <si>
    <t>CWFHCDD10</t>
  </si>
  <si>
    <t>CWFHHDD8</t>
  </si>
  <si>
    <t>CWFHCDD8</t>
  </si>
  <si>
    <t>Large Use</t>
  </si>
  <si>
    <t>Street Lighting</t>
  </si>
  <si>
    <t>Sentinel Lights</t>
  </si>
  <si>
    <t>StatsCan 14-10-0380-01</t>
  </si>
  <si>
    <t>StatsCan 36-10-0402-01</t>
  </si>
  <si>
    <t>Ontario Economic Accounts Table 15</t>
  </si>
  <si>
    <t>Change</t>
  </si>
  <si>
    <t>Q1</t>
  </si>
  <si>
    <t>Latest Figures as of Mar. 6, 2025</t>
  </si>
  <si>
    <t>Other</t>
  </si>
  <si>
    <t>Q2</t>
  </si>
  <si>
    <t>BMO</t>
  </si>
  <si>
    <t>RBC</t>
  </si>
  <si>
    <t>Scotia</t>
  </si>
  <si>
    <t>TD</t>
  </si>
  <si>
    <t>ON Budget</t>
  </si>
  <si>
    <t>Average Used</t>
  </si>
  <si>
    <t>Q3</t>
  </si>
  <si>
    <t>GDP</t>
  </si>
  <si>
    <t>Q4</t>
  </si>
  <si>
    <t>FTE</t>
  </si>
  <si>
    <t>https://economics.bmo.com/media/filer_public/be/26/be2604e3-f895-46d7-b550-dac9aab2558e/outlookprovincial.pdf</t>
  </si>
  <si>
    <t>https://thoughtleadership.rbc.com/wp-content/uploads/Provincial-Forecast-Tables-Q1-2025.pdf</t>
  </si>
  <si>
    <t>https://www.scotiabank.com/ca/en/about/economics/economics-publications/post.other-publications.global-outlook-and-forecast-tables.scotiabank%27s-forecast-tables.2025.march-18--2025.html</t>
  </si>
  <si>
    <t>https://economics.td.com/provincial-economic-forecast#on</t>
  </si>
  <si>
    <t>https://budget.ontario.ca/2024/chapter-2.html#:~:text=Private%2Dsector%20forecasters%2C%20on%20average,forecast%20since%20the%202023%20Budget.</t>
  </si>
  <si>
    <t>GDP Avg. of Conference Board of Canada, Quantitative Economic Decisions, Stokes Economics, TD Bank Group, and University of Toronto</t>
  </si>
  <si>
    <t>June</t>
  </si>
  <si>
    <t>July</t>
  </si>
  <si>
    <t>August</t>
  </si>
  <si>
    <t>Model 7: Prais-Winsten, using observations 2015:01-2024:11 (T = 119)</t>
  </si>
  <si>
    <t>Dependent variable: Res_NoCDM</t>
  </si>
  <si>
    <t>rho = 0.267261</t>
  </si>
  <si>
    <t>coefficient</t>
  </si>
  <si>
    <t>std. error</t>
  </si>
  <si>
    <t>t-ratio</t>
  </si>
  <si>
    <t>p-value</t>
  </si>
  <si>
    <t>const</t>
  </si>
  <si>
    <t>Statistics based on the rho-differenced data</t>
  </si>
  <si>
    <t>Sum squared resid</t>
  </si>
  <si>
    <t>S.E. of regression</t>
  </si>
  <si>
    <t>R-squared</t>
  </si>
  <si>
    <t>Adjusted R-squared</t>
  </si>
  <si>
    <t>F(2, 116)</t>
  </si>
  <si>
    <t>P-value(F)</t>
  </si>
  <si>
    <t>rho</t>
  </si>
  <si>
    <t>Durbin-Watson</t>
  </si>
  <si>
    <t>Statistics based on the original data</t>
  </si>
  <si>
    <t>Mean dependent var</t>
  </si>
  <si>
    <t>S.D. dependent var</t>
  </si>
  <si>
    <t>10 Year Average</t>
  </si>
  <si>
    <t>Model 13: Prais-Winsten, using observations 2015:01-2024:11 (T = 119)</t>
  </si>
  <si>
    <t>Dependent variable: GS_lt_50_NoCDM</t>
  </si>
  <si>
    <t>Oshawa</t>
  </si>
  <si>
    <t>January</t>
  </si>
  <si>
    <t>rho = 0.527422</t>
  </si>
  <si>
    <t>February</t>
  </si>
  <si>
    <t>March</t>
  </si>
  <si>
    <t>April</t>
  </si>
  <si>
    <t>September</t>
  </si>
  <si>
    <t>October</t>
  </si>
  <si>
    <t>November</t>
  </si>
  <si>
    <t>December</t>
  </si>
  <si>
    <t>Model 18: Prais-Winsten, using observations 2015:01-2024:11 (T = 119)</t>
  </si>
  <si>
    <t>Dependent variable: GS_50_999_NoCDM</t>
  </si>
  <si>
    <t>rho = -0.411061</t>
  </si>
  <si>
    <t>Model 23: Prais-Winsten, using observations 2015:01-2024:11 (T = 119)</t>
  </si>
  <si>
    <t>Dependent variable: GS_1000_4999_NoCDM</t>
  </si>
  <si>
    <t>rho = 0.364061</t>
  </si>
  <si>
    <t>Model 28: Prais-Winsten, using observations 2015:01-2024:11 (T = 119)</t>
  </si>
  <si>
    <t>Dependent variable: GS_LU_NoCDM</t>
  </si>
  <si>
    <t>rho = 0.794319</t>
  </si>
  <si>
    <t>Implementation Year</t>
  </si>
  <si>
    <t>Savings Year</t>
  </si>
  <si>
    <t>Residential</t>
  </si>
  <si>
    <t>GS&lt;50 kW</t>
  </si>
  <si>
    <t>GS 50 to 999 kW (I1 &amp; I4)</t>
  </si>
  <si>
    <t>GS 1,000 to 4,999 kW (I2)</t>
  </si>
  <si>
    <t>Large Use (I3)</t>
  </si>
  <si>
    <t>USL</t>
  </si>
  <si>
    <t>Incremental CDM (accounting for lost persistence)</t>
  </si>
  <si>
    <t>Predicted</t>
  </si>
  <si>
    <t>Difference</t>
  </si>
  <si>
    <t>Model 2: Prais-Winsten, using observations 2015:01-2024:12 (T = 120)</t>
  </si>
  <si>
    <t>rho = 0.0588231</t>
  </si>
  <si>
    <t>F(4, 115)</t>
  </si>
  <si>
    <t>Model 1: Prais-Winsten, using observations 2015:01-2024:12 (T = 120)</t>
  </si>
  <si>
    <t>rho = 0.627472</t>
  </si>
  <si>
    <t>MonthDays</t>
  </si>
  <si>
    <t>F(5, 114)</t>
  </si>
  <si>
    <t>Model 16: Prais-Winsten, using observations 2015:01-2024:12 (T = 120)</t>
  </si>
  <si>
    <t>rho = 0.21953</t>
  </si>
  <si>
    <t>Model 24: Prais-Winsten, using observations 2015:01-2024:12 (T = 120)</t>
  </si>
  <si>
    <t>rho = 0.428824</t>
  </si>
  <si>
    <t>Statscan New zero-emission vehicle registrations, quarterly 20-10-0025-01</t>
  </si>
  <si>
    <t>Quarterly Increase</t>
  </si>
  <si>
    <t>Cumulative</t>
  </si>
  <si>
    <t>Table: 20-10-0024-01</t>
  </si>
  <si>
    <t>Geography</t>
  </si>
  <si>
    <t>Ontario</t>
  </si>
  <si>
    <t>Fuel type</t>
  </si>
  <si>
    <t>All fuel types</t>
  </si>
  <si>
    <t>Battery electric</t>
  </si>
  <si>
    <t>Hybrid electric</t>
  </si>
  <si>
    <t>Plug-in hybrid electric</t>
  </si>
  <si>
    <t>All zero-emission vehicles</t>
  </si>
  <si>
    <t>Vehicle type</t>
  </si>
  <si>
    <t>Total, vehicle type 1</t>
  </si>
  <si>
    <t>Passenger cars</t>
  </si>
  <si>
    <t>Pickup trucks 2</t>
  </si>
  <si>
    <t>Multi-purpose vehicles 3</t>
  </si>
  <si>
    <t>Vans 4</t>
  </si>
  <si>
    <t>Q1 2017</t>
  </si>
  <si>
    <t>Reference period</t>
  </si>
  <si>
    <t>Q2 2017</t>
  </si>
  <si>
    <t>Units</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</si>
  <si>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</si>
  <si>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</si>
  <si>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</si>
  <si>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</si>
  <si>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</si>
  <si>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</si>
  <si>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</si>
  <si>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</si>
  <si>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</si>
  <si>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</si>
  <si>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</si>
  <si>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</si>
  <si>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</si>
  <si>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</si>
  <si>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</si>
  <si>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</si>
  <si>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</si>
  <si>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</si>
  <si>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</si>
  <si>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</si>
  <si>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</si>
  <si>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</si>
  <si>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</si>
  <si>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</si>
  <si>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</si>
  <si>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</si>
  <si>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</si>
  <si>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</si>
  <si>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</si>
  <si>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</si>
  <si>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Avg. Distance</t>
  </si>
  <si>
    <t>Avg. Efficiency</t>
  </si>
  <si>
    <t>km</t>
  </si>
  <si>
    <t>kWh/ 100 km</t>
  </si>
  <si>
    <t>Passenger</t>
  </si>
  <si>
    <t>2-21-050-EV-Charging-Performance-Requirements-in-GTHA.pdf (cleanairpartnership.org)</t>
  </si>
  <si>
    <t>Multi-purpose vehicles (SUV)</t>
  </si>
  <si>
    <t>Van</t>
  </si>
  <si>
    <t>Pick-Up Truck</t>
  </si>
  <si>
    <t>Battery EVs</t>
  </si>
  <si>
    <t>Total EVs</t>
  </si>
  <si>
    <t>New</t>
  </si>
  <si>
    <t>Passenger + SUV EVs</t>
  </si>
  <si>
    <t>kWh/EV</t>
  </si>
  <si>
    <t>New kWh</t>
  </si>
  <si>
    <t>Cumulative kWh</t>
  </si>
  <si>
    <t>Van EVs</t>
  </si>
  <si>
    <t>Pickup Trucks</t>
  </si>
  <si>
    <t>Oshawa % of ON New EVs</t>
  </si>
  <si>
    <t>ON EVs as % of All New Vehicles</t>
  </si>
  <si>
    <t>EVs</t>
  </si>
  <si>
    <t>Passenger EV</t>
  </si>
  <si>
    <t>Multi-purpose vehicles (SUV) EV</t>
  </si>
  <si>
    <t>Van EV</t>
  </si>
  <si>
    <t>Pick-Up Truck EV</t>
  </si>
  <si>
    <t>Passenger EV as % of EV</t>
  </si>
  <si>
    <t>Multi-Purpose EV as % of EV</t>
  </si>
  <si>
    <t>Van EV as % of EV</t>
  </si>
  <si>
    <t>Pickup Truck EV as % of EV</t>
  </si>
  <si>
    <t>Plug-in hybrid EVs</t>
  </si>
  <si>
    <t>Federal EV Target</t>
  </si>
  <si>
    <t>Actual/Forecast % EVs</t>
  </si>
  <si>
    <t>All Vehicles</t>
  </si>
  <si>
    <t>All Passenger</t>
  </si>
  <si>
    <t>All Multi-purpose vehicles (SUV)</t>
  </si>
  <si>
    <t>All Van</t>
  </si>
  <si>
    <t>All Pick-Up Truck</t>
  </si>
  <si>
    <t>New Incremental kWh</t>
  </si>
  <si>
    <t>Passenger/SUV</t>
  </si>
  <si>
    <t>Pick-up Truck</t>
  </si>
  <si>
    <t>EV kWh by Class</t>
  </si>
  <si>
    <t>GS&lt;50</t>
  </si>
  <si>
    <t>GS 50-999</t>
  </si>
  <si>
    <t>GS 1,000-4,999</t>
  </si>
  <si>
    <t>New Incremental kW</t>
  </si>
  <si>
    <t>Load Factor</t>
  </si>
  <si>
    <t>OPUCN EVs</t>
  </si>
  <si>
    <t>A</t>
  </si>
  <si>
    <t>ON EVs</t>
  </si>
  <si>
    <t>B</t>
  </si>
  <si>
    <t>OPUCN % of ON EVs</t>
  </si>
  <si>
    <t>C = A / B</t>
  </si>
  <si>
    <t>ON Passenger EVs</t>
  </si>
  <si>
    <t>D</t>
  </si>
  <si>
    <t>ON Multi-Purpose Vehicles EVs</t>
  </si>
  <si>
    <t>E</t>
  </si>
  <si>
    <t>ON Vans EVs</t>
  </si>
  <si>
    <t>F</t>
  </si>
  <si>
    <t>ON Pickup Truck EVs</t>
  </si>
  <si>
    <t xml:space="preserve">G </t>
  </si>
  <si>
    <t>H = D / B</t>
  </si>
  <si>
    <t>I = E / B</t>
  </si>
  <si>
    <t>J = F / B</t>
  </si>
  <si>
    <t>K = G / B</t>
  </si>
  <si>
    <t>New Vehicles in OPUCN</t>
  </si>
  <si>
    <t>Total</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</si>
  <si>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</si>
  <si>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</si>
  <si>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</si>
  <si>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</si>
  <si>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</si>
  <si>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</si>
  <si>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</si>
  <si>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</si>
  <si>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</si>
  <si>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</si>
  <si>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</si>
  <si>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</si>
  <si>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</si>
  <si>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</si>
  <si>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OPUCN share of population in 2026</t>
  </si>
  <si>
    <t>Total New Bur. EVs</t>
  </si>
  <si>
    <t>S = P * Q * R</t>
  </si>
  <si>
    <t>Total vehicles times share of EVs times OPUCN share of EVs</t>
  </si>
  <si>
    <t>T = S * (H + I)</t>
  </si>
  <si>
    <t>Total OPUCN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</si>
  <si>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</si>
  <si>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</si>
  <si>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</si>
  <si>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</si>
  <si>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</si>
  <si>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</si>
  <si>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</si>
  <si>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</si>
  <si>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</si>
  <si>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</si>
  <si>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</si>
  <si>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</si>
  <si>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</si>
  <si>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</si>
  <si>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2025 Incremental</t>
  </si>
  <si>
    <t>2026 Incremental</t>
  </si>
  <si>
    <t xml:space="preserve"> </t>
  </si>
  <si>
    <t>2025 Cumulative</t>
  </si>
  <si>
    <t>2026 Cumulative</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</si>
  <si>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</si>
  <si>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</si>
  <si>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</si>
  <si>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</si>
  <si>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</si>
  <si>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</si>
  <si>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</si>
  <si>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</si>
  <si>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</si>
  <si>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</si>
  <si>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</si>
  <si>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</si>
  <si>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</si>
  <si>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</si>
  <si>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</si>
  <si>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</si>
  <si>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</si>
  <si>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</si>
  <si>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</si>
  <si>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</si>
  <si>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</si>
  <si>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</si>
  <si>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</si>
  <si>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</si>
  <si>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</si>
  <si>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</si>
  <si>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</si>
  <si>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Total kWh</t>
  </si>
  <si>
    <t>Residential kWh</t>
  </si>
  <si>
    <t xml:space="preserve">  Winter</t>
  </si>
  <si>
    <t xml:space="preserve">  Summer</t>
  </si>
  <si>
    <t>Seasonally Adjusted kWh</t>
  </si>
  <si>
    <t>GS &lt; 50 kWh</t>
  </si>
  <si>
    <t>2027 Incremental</t>
  </si>
  <si>
    <t>GS &lt; 50</t>
  </si>
  <si>
    <t>kWh</t>
  </si>
  <si>
    <t>kW</t>
  </si>
  <si>
    <t>Additional</t>
  </si>
  <si>
    <t>Heating</t>
  </si>
  <si>
    <t>Loads are incremental to loads forecasted based on 10-year consumption</t>
  </si>
  <si>
    <t>Figures are added in 'Normalized Annual Summary' and 'kW Forecast'</t>
  </si>
  <si>
    <t>Res kWh</t>
  </si>
  <si>
    <t>Absolute</t>
  </si>
  <si>
    <t>GS &gt; 50 kWh</t>
  </si>
  <si>
    <t>CDM Added Back</t>
  </si>
  <si>
    <t>Error (%)</t>
  </si>
  <si>
    <t>Mean Absolute Percentage Error (Annual)</t>
  </si>
  <si>
    <t>Mean Absolute Percentage Error (Monthly)</t>
  </si>
  <si>
    <t>WN Predicted</t>
  </si>
  <si>
    <t>GS&lt;50 kWh</t>
  </si>
  <si>
    <t>GS 50-999 kW kWh</t>
  </si>
  <si>
    <t>GS 1,000-4,999 kW kWh</t>
  </si>
  <si>
    <t>Large Use kWh</t>
  </si>
  <si>
    <t>Street Light</t>
  </si>
  <si>
    <t>Sentinel Light</t>
  </si>
  <si>
    <t>Actual</t>
  </si>
  <si>
    <t>Cumulative Persisting CDM</t>
  </si>
  <si>
    <t>Actual No CDM</t>
  </si>
  <si>
    <t>Normal Predicted 
No CDM</t>
  </si>
  <si>
    <t>Normalized</t>
  </si>
  <si>
    <t>Additional Loads</t>
  </si>
  <si>
    <t>Normalized with Additional Loads</t>
  </si>
  <si>
    <t>Normal 
No CDM</t>
  </si>
  <si>
    <t>Additional / Lost Loads</t>
  </si>
  <si>
    <t>Normal Forecast</t>
  </si>
  <si>
    <t>C = A + B</t>
  </si>
  <si>
    <t>E = B</t>
  </si>
  <si>
    <t>F = D - E</t>
  </si>
  <si>
    <t>G</t>
  </si>
  <si>
    <t>H = F + G</t>
  </si>
  <si>
    <t>D = B * C</t>
  </si>
  <si>
    <t>GS&gt;50 kWh</t>
  </si>
  <si>
    <t>Percent of Prior Year</t>
  </si>
  <si>
    <t>GS 50-999 kW</t>
  </si>
  <si>
    <t>St. Lights</t>
  </si>
  <si>
    <t>Customers</t>
  </si>
  <si>
    <t>(Check)</t>
  </si>
  <si>
    <t>Sep</t>
  </si>
  <si>
    <t>Street Lights</t>
  </si>
  <si>
    <t>Ratio</t>
  </si>
  <si>
    <t>3-Yr MA</t>
  </si>
  <si>
    <t>C = B / A</t>
  </si>
  <si>
    <t>kWh Normalized</t>
  </si>
  <si>
    <t>kW Normalized</t>
  </si>
  <si>
    <t>Avg.</t>
  </si>
  <si>
    <t xml:space="preserve">Trend Ratio </t>
  </si>
  <si>
    <t>Total Forecast</t>
  </si>
  <si>
    <t>Trend Ratio (3-Yr. MA)</t>
  </si>
  <si>
    <t>E = D * G</t>
  </si>
  <si>
    <t>H</t>
  </si>
  <si>
    <t>I = E + H</t>
  </si>
  <si>
    <t>E = D * F</t>
  </si>
  <si>
    <t>Divergence</t>
  </si>
  <si>
    <t>5-year change</t>
  </si>
  <si>
    <t>10-year change</t>
  </si>
  <si>
    <t>10-year average used</t>
  </si>
  <si>
    <t>5-year average used</t>
  </si>
  <si>
    <t>GS &gt; 50</t>
  </si>
  <si>
    <t>Ratio Trend</t>
  </si>
  <si>
    <t>In year energy savings (GWh)</t>
  </si>
  <si>
    <t>In year energy savings (kWh)</t>
  </si>
  <si>
    <t>OPUCN Share</t>
  </si>
  <si>
    <t>Retrofit</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</si>
  <si>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</si>
  <si>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</si>
  <si>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</si>
  <si>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</si>
  <si>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</si>
  <si>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</si>
  <si>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</si>
  <si>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</si>
  <si>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</si>
  <si>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</si>
  <si>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</si>
  <si>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</si>
  <si>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</si>
  <si>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</si>
  <si>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</si>
  <si>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</si>
  <si>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</si>
  <si>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</si>
  <si>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</si>
  <si>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Oshawa % Share</t>
  </si>
  <si>
    <t>OEB Open Data (RRR): Section 2.1.5.4 Demand and Revenue</t>
  </si>
  <si>
    <t>2021 Used</t>
  </si>
  <si>
    <t>Burlington %</t>
  </si>
  <si>
    <t>Number of families in low income</t>
  </si>
  <si>
    <t>Census Family Low Income Measure (CFLIM-AT) Table 11-10-0020-01</t>
  </si>
  <si>
    <t>Total CDM</t>
  </si>
  <si>
    <t>CDM</t>
  </si>
  <si>
    <t>*Allocations based on LRAMVA allocations in 2015-2019 period</t>
  </si>
  <si>
    <t>2024-2026 Forecasted kWh Savings by Rate Class</t>
  </si>
  <si>
    <t>Rate Class</t>
  </si>
  <si>
    <t>CDM Adj Weight</t>
  </si>
  <si>
    <t>Amount</t>
  </si>
  <si>
    <t>F = D * E</t>
  </si>
  <si>
    <t>I = G * H</t>
  </si>
  <si>
    <t>K</t>
  </si>
  <si>
    <t>L = J * K</t>
  </si>
  <si>
    <t>Sentinel</t>
  </si>
  <si>
    <t>TOTAL</t>
  </si>
  <si>
    <t>2025-2026 kW Forcasted Savings by Rate Class</t>
  </si>
  <si>
    <t>2025 Forecast</t>
  </si>
  <si>
    <t>2026 Forecast</t>
  </si>
  <si>
    <t>Weather-Normal Forecast</t>
  </si>
  <si>
    <t>% Savings</t>
  </si>
  <si>
    <t>H = G / F</t>
  </si>
  <si>
    <t>J = H * I</t>
  </si>
  <si>
    <t>L</t>
  </si>
  <si>
    <t>M = L / K</t>
  </si>
  <si>
    <t>N</t>
  </si>
  <si>
    <t>O = M * N</t>
  </si>
  <si>
    <t>2015 Actual</t>
  </si>
  <si>
    <t>2016 Actual</t>
  </si>
  <si>
    <t>2017 Actual</t>
  </si>
  <si>
    <t>2018 Actual</t>
  </si>
  <si>
    <t>2019 Actual</t>
  </si>
  <si>
    <t>2020 Actual</t>
  </si>
  <si>
    <t>2021 Actual</t>
  </si>
  <si>
    <t>2022 Actual</t>
  </si>
  <si>
    <t>2023 Actual</t>
  </si>
  <si>
    <t>2024 Actual</t>
  </si>
  <si>
    <t>2024 Normal</t>
  </si>
  <si>
    <t>CDM Adjusted</t>
  </si>
  <si>
    <t>2026 Weather Normal Forecast</t>
  </si>
  <si>
    <t>CDM Adjustment</t>
  </si>
  <si>
    <t>2026 CDM Adjusted Forecast</t>
  </si>
  <si>
    <t>Additional EV &amp; Heating Loads</t>
  </si>
  <si>
    <t>2026 Forecast Excluding Additional Loads</t>
  </si>
  <si>
    <t>Summary</t>
  </si>
  <si>
    <t>2015 Normal</t>
  </si>
  <si>
    <t>2016 Normal</t>
  </si>
  <si>
    <t>2017 Normal</t>
  </si>
  <si>
    <t>2018 Normal</t>
  </si>
  <si>
    <t>2019 Normal</t>
  </si>
  <si>
    <t>2020 Normal</t>
  </si>
  <si>
    <t>2021 Normal</t>
  </si>
  <si>
    <t>2022 Normal</t>
  </si>
  <si>
    <t>2023 Normal</t>
  </si>
  <si>
    <t>Customers / Connections</t>
  </si>
  <si>
    <t>Average per Connection</t>
  </si>
  <si>
    <t>Connections</t>
  </si>
  <si>
    <t>Oshawa Power 2026 Test Year Summary</t>
  </si>
  <si>
    <t>Model 5: Prais-Winsten, using observations 2015:01-2024:12 (T = 120)</t>
  </si>
  <si>
    <t>rho = 0.852358</t>
  </si>
  <si>
    <t>F(6,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</si>
</sst>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d\-mmm\-yyyy"/>
    <numFmt numFmtId="168" formatCode="0.0%"/>
    <numFmt numFmtId="169" formatCode="0.0"/>
    <numFmt numFmtId="170" formatCode="_(* #,##0_);_(* \(#,##0\);_(* &quot;-&quot;??_);_(@_)"/>
    <numFmt numFmtId="171" formatCode="0.000000"/>
    <numFmt numFmtId="172" formatCode="_(* #,##0.0_);_(* \(#,##0.0\);_(* &quot;-&quot;??_);_(@_)"/>
    <numFmt numFmtId="173" formatCode="_-* #,##0_-;\-* #,##0_-;_-* &quot;-&quot;??_-;_-@_-"/>
    <numFmt numFmtId="174" formatCode="_-* #,##0.000000_-;\-* #,##0.000000_-;_-* &quot;-&quot;??_-;_-@_-"/>
    <numFmt numFmtId="175" formatCode="0_);\(0\)"/>
    <numFmt numFmtId="176" formatCode="#,##0.0"/>
    <numFmt numFmtId="177" formatCode="0\-0"/>
    <numFmt numFmtId="178" formatCode="##\-#"/>
    <numFmt numFmtId="179" formatCode="&quot;£ &quot;#,##0.00;[Red]\-&quot;£ &quot;#,##0.00"/>
    <numFmt numFmtId="180" formatCode="0.0000000%"/>
    <numFmt numFmtId="181" formatCode="0.000%"/>
    <numFmt numFmtId="182" formatCode="#,##0.000"/>
    <numFmt numFmtId="183" formatCode="_(* #,##0_);_(* \(#,##0\);_(* &quot;-&quot;?_);_(@_)"/>
    <numFmt numFmtId="184" formatCode="_(* #,##0.0_);_(* \(#,##0.0\);_(* &quot;-&quot;?_);_(@_)"/>
    <numFmt numFmtId="185" formatCode="_(* #,##0.000_);_(* \(#,##0.000\);_(* &quot;-&quot;??_);_(@_)"/>
    <numFmt numFmtId="186" formatCode="0.000"/>
    <numFmt numFmtId="187" formatCode="_(* #,##0.0000_);_(* \(#,##0.0000\);_(* &quot;-&quot;??_);_(@_)"/>
  </numFmts>
  <fonts count="59"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rgb="FFFF0000"/>
      <name val="Calibri"/>
      <family val="2"/>
      <scheme val="minor"/>
    </font>
    <font>
      <b/>
      <sz val="11"/>
      <color theme="1"/>
      <name val="Calibri"/>
      <family val="2"/>
      <scheme val="minor"/>
    </font>
    <font>
      <b/>
      <sz val="10"/>
      <name val="Arial"/>
      <family val="2"/>
    </font>
    <font>
      <sz val="10"/>
      <color rgb="FFFF0000"/>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name val="Calibri"/>
      <family val="2"/>
    </font>
    <font>
      <sz val="12"/>
      <name val="Arial"/>
      <family val="2"/>
    </font>
    <font>
      <sz val="11"/>
      <color theme="1"/>
      <name val="Arial"/>
      <family val="2"/>
    </font>
    <font>
      <sz val="8"/>
      <name val="Arial"/>
      <family val="2"/>
    </font>
    <font>
      <u/>
      <sz val="8"/>
      <color rgb="FF0000FF"/>
      <name val="Calibri"/>
      <family val="2"/>
      <scheme val="minor"/>
    </font>
    <font>
      <sz val="8"/>
      <name val="Times New Roman"/>
      <family val="1"/>
    </font>
    <font>
      <b/>
      <sz val="10"/>
      <color rgb="FFFF0000"/>
      <name val="Arial"/>
      <family val="2"/>
    </font>
    <font>
      <u/>
      <sz val="11"/>
      <color theme="10"/>
      <name val="Calibri"/>
      <family val="2"/>
      <scheme val="minor"/>
    </font>
    <font>
      <i/>
      <sz val="10"/>
      <color rgb="FFFF0000"/>
      <name val="Arial"/>
      <family val="2"/>
    </font>
    <font>
      <sz val="11"/>
      <color indexed="8"/>
      <name val="Calibri"/>
      <family val="2"/>
    </font>
    <font>
      <b/>
      <sz val="10"/>
      <color theme="0"/>
      <name val="Arial"/>
      <family val="2"/>
    </font>
    <font>
      <b/>
      <sz val="11"/>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i/>
      <sz val="10"/>
      <name val="Arial"/>
      <family val="2"/>
    </font>
    <font>
      <b/>
      <i/>
      <sz val="10"/>
      <color theme="0"/>
      <name val="Arial"/>
      <family val="2"/>
    </font>
    <font>
      <sz val="11"/>
      <color theme="0"/>
      <name val="Arial"/>
      <family val="2"/>
    </font>
    <font>
      <b/>
      <sz val="11"/>
      <color theme="0"/>
      <name val="Arial"/>
      <family val="2"/>
    </font>
    <font>
      <sz val="10"/>
      <color theme="0"/>
      <name val="Arial"/>
      <family val="2"/>
    </font>
    <font>
      <sz val="11"/>
      <name val="Arial"/>
      <family val="2"/>
    </font>
    <font>
      <u/>
      <sz val="11"/>
      <color theme="10"/>
      <name val="Arial"/>
      <family val="2"/>
    </font>
    <font>
      <sz val="11"/>
      <color rgb="FFFF0000"/>
      <name val="Arial"/>
      <family val="2"/>
    </font>
    <font>
      <sz val="10"/>
      <color rgb="FFC00000"/>
      <name val="Arial"/>
      <family val="2"/>
    </font>
    <font>
      <b/>
      <sz val="14"/>
      <color theme="1"/>
      <name val="Arial"/>
      <family val="2"/>
    </font>
    <font>
      <i/>
      <sz val="11"/>
      <color theme="1"/>
      <name val="Arial"/>
      <family val="2"/>
    </font>
    <font>
      <b/>
      <i/>
      <sz val="11"/>
      <color theme="1"/>
      <name val="Arial"/>
      <family val="2"/>
    </font>
    <font>
      <u/>
      <sz val="10"/>
      <color theme="10"/>
      <name val="Arial"/>
      <family val="2"/>
    </font>
    <font>
      <i/>
      <sz val="10"/>
      <color rgb="FFC00000"/>
      <name val="Arial"/>
      <family val="2"/>
    </font>
    <font>
      <sz val="14"/>
      <name val="Arial"/>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2"/>
        <bgColor indexed="64"/>
      </patternFill>
    </fill>
    <fill>
      <patternFill patternType="solid">
        <fgColor rgb="FF0070C0"/>
        <bgColor indexed="64"/>
      </patternFill>
    </fill>
    <fill>
      <patternFill patternType="solid">
        <fgColor theme="0" tint="-4.9989318521683403E-2"/>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97">
    <xf numFmtId="0" fontId="0" fillId="0" borderId="0"/>
    <xf numFmtId="166" fontId="7"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5" fillId="0" borderId="0"/>
    <xf numFmtId="0" fontId="7" fillId="0" borderId="0"/>
    <xf numFmtId="9"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166" fontId="28" fillId="0" borderId="0" applyFont="0" applyFill="0" applyBorder="0" applyAlignment="0" applyProtection="0"/>
    <xf numFmtId="172" fontId="8" fillId="0" borderId="0"/>
    <xf numFmtId="176"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4" fontId="8" fillId="0" borderId="0"/>
    <xf numFmtId="177" fontId="8" fillId="0" borderId="0"/>
    <xf numFmtId="14" fontId="8"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18" fillId="7" borderId="0" applyNumberFormat="0" applyBorder="0" applyAlignment="0" applyProtection="0"/>
    <xf numFmtId="0" fontId="21" fillId="10" borderId="29" applyNumberFormat="0" applyAlignment="0" applyProtection="0"/>
    <xf numFmtId="0" fontId="23" fillId="11" borderId="3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8"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8" fillId="0" borderId="0" applyFont="0" applyFill="0" applyBorder="0" applyAlignment="0" applyProtection="0"/>
    <xf numFmtId="14" fontId="8" fillId="0" borderId="0" applyFont="0" applyFill="0" applyBorder="0" applyAlignment="0" applyProtection="0"/>
    <xf numFmtId="0" fontId="24" fillId="0" borderId="0" applyNumberFormat="0" applyFill="0" applyBorder="0" applyAlignment="0" applyProtection="0"/>
    <xf numFmtId="2" fontId="8" fillId="0" borderId="0" applyFont="0" applyFill="0" applyBorder="0" applyAlignment="0" applyProtection="0"/>
    <xf numFmtId="0" fontId="17" fillId="6" borderId="0" applyNumberFormat="0" applyBorder="0" applyAlignment="0" applyProtection="0"/>
    <xf numFmtId="38" fontId="31" fillId="37" borderId="0" applyNumberFormat="0" applyBorder="0" applyAlignment="0" applyProtection="0"/>
    <xf numFmtId="0" fontId="14" fillId="0" borderId="26" applyNumberFormat="0" applyFill="0" applyAlignment="0" applyProtection="0"/>
    <xf numFmtId="0" fontId="15" fillId="0" borderId="27" applyNumberFormat="0" applyFill="0" applyAlignment="0" applyProtection="0"/>
    <xf numFmtId="0" fontId="16" fillId="0" borderId="28" applyNumberFormat="0" applyFill="0" applyAlignment="0" applyProtection="0"/>
    <xf numFmtId="0" fontId="16" fillId="0" borderId="0" applyNumberFormat="0" applyFill="0" applyBorder="0" applyAlignment="0" applyProtection="0"/>
    <xf numFmtId="0" fontId="32" fillId="0" borderId="0" applyNumberFormat="0" applyFill="0" applyBorder="0" applyAlignment="0" applyProtection="0"/>
    <xf numFmtId="10" fontId="31" fillId="38" borderId="2" applyNumberFormat="0" applyBorder="0" applyAlignment="0" applyProtection="0"/>
    <xf numFmtId="0" fontId="19" fillId="9" borderId="29" applyNumberFormat="0" applyAlignment="0" applyProtection="0"/>
    <xf numFmtId="0" fontId="22" fillId="0" borderId="31" applyNumberFormat="0" applyFill="0" applyAlignment="0" applyProtection="0"/>
    <xf numFmtId="178" fontId="8" fillId="0" borderId="0"/>
    <xf numFmtId="170"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0" fontId="27" fillId="8" borderId="0" applyNumberFormat="0" applyBorder="0" applyAlignment="0" applyProtection="0"/>
    <xf numFmtId="179"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4" fillId="0" borderId="0"/>
    <xf numFmtId="0" fontId="4" fillId="0" borderId="0"/>
    <xf numFmtId="0" fontId="4" fillId="0" borderId="0"/>
    <xf numFmtId="0" fontId="30"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12" borderId="33" applyNumberFormat="0" applyFont="0" applyAlignment="0" applyProtection="0"/>
    <xf numFmtId="0" fontId="4" fillId="12" borderId="33" applyNumberFormat="0" applyFont="0" applyAlignment="0" applyProtection="0"/>
    <xf numFmtId="0" fontId="4" fillId="12" borderId="33" applyNumberFormat="0" applyFont="0" applyAlignment="0" applyProtection="0"/>
    <xf numFmtId="0" fontId="20" fillId="10" borderId="30" applyNumberFormat="0" applyAlignment="0" applyProtection="0"/>
    <xf numFmtId="10"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xf numFmtId="0" fontId="10" fillId="0" borderId="34" applyNumberFormat="0" applyFill="0" applyAlignment="0" applyProtection="0"/>
    <xf numFmtId="0" fontId="9" fillId="0" borderId="0" applyNumberFormat="0" applyFill="0" applyBorder="0" applyAlignment="0" applyProtection="0"/>
    <xf numFmtId="0" fontId="3" fillId="0" borderId="0"/>
    <xf numFmtId="0" fontId="35"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6" fontId="37"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520">
    <xf numFmtId="0" fontId="0" fillId="0" borderId="0" xfId="0"/>
    <xf numFmtId="0" fontId="8" fillId="0" borderId="0" xfId="0" applyFont="1"/>
    <xf numFmtId="166" fontId="8" fillId="0" borderId="0" xfId="1" applyFont="1"/>
    <xf numFmtId="14" fontId="8" fillId="0" borderId="0" xfId="0" applyNumberFormat="1" applyFont="1"/>
    <xf numFmtId="3" fontId="8" fillId="0" borderId="0" xfId="0" applyNumberFormat="1" applyFont="1"/>
    <xf numFmtId="0" fontId="8" fillId="4" borderId="0" xfId="0" applyFont="1" applyFill="1"/>
    <xf numFmtId="0" fontId="8" fillId="5" borderId="0" xfId="0" applyFont="1" applyFill="1"/>
    <xf numFmtId="1" fontId="8" fillId="5" borderId="0" xfId="0" applyNumberFormat="1" applyFont="1" applyFill="1"/>
    <xf numFmtId="3" fontId="12" fillId="3" borderId="0" xfId="4" applyNumberFormat="1" applyFont="1" applyFill="1"/>
    <xf numFmtId="0" fontId="12" fillId="3" borderId="0" xfId="4" applyFont="1" applyFill="1"/>
    <xf numFmtId="0" fontId="12" fillId="0" borderId="0" xfId="4" applyFont="1"/>
    <xf numFmtId="3" fontId="12" fillId="0" borderId="0" xfId="4" applyNumberFormat="1" applyFont="1"/>
    <xf numFmtId="10" fontId="12" fillId="0" borderId="0" xfId="7" applyNumberFormat="1" applyFont="1"/>
    <xf numFmtId="0" fontId="11" fillId="0" borderId="0" xfId="4" applyFont="1" applyAlignment="1">
      <alignment horizontal="center"/>
    </xf>
    <xf numFmtId="171" fontId="11" fillId="0" borderId="0" xfId="4" applyNumberFormat="1" applyFont="1" applyAlignment="1">
      <alignment horizontal="center"/>
    </xf>
    <xf numFmtId="173" fontId="11" fillId="0" borderId="0" xfId="8" applyNumberFormat="1" applyFont="1" applyAlignment="1">
      <alignment horizontal="center"/>
    </xf>
    <xf numFmtId="170" fontId="12" fillId="0" borderId="0" xfId="1" applyNumberFormat="1" applyFont="1"/>
    <xf numFmtId="174" fontId="12" fillId="0" borderId="0" xfId="8" applyNumberFormat="1" applyFont="1"/>
    <xf numFmtId="170" fontId="8" fillId="0" borderId="0" xfId="1" applyNumberFormat="1" applyFont="1"/>
    <xf numFmtId="0" fontId="13" fillId="3" borderId="0" xfId="4" applyFont="1" applyFill="1"/>
    <xf numFmtId="0" fontId="11" fillId="3" borderId="6" xfId="4" applyFont="1" applyFill="1" applyBorder="1" applyAlignment="1">
      <alignment horizontal="center"/>
    </xf>
    <xf numFmtId="0" fontId="11" fillId="3" borderId="8" xfId="4" applyFont="1" applyFill="1" applyBorder="1" applyAlignment="1">
      <alignment horizontal="center"/>
    </xf>
    <xf numFmtId="170" fontId="8" fillId="0" borderId="0" xfId="1" applyNumberFormat="1" applyFont="1" applyAlignment="1">
      <alignment horizontal="center"/>
    </xf>
    <xf numFmtId="9" fontId="8" fillId="0" borderId="0" xfId="235" applyFont="1"/>
    <xf numFmtId="170" fontId="8" fillId="0" borderId="0" xfId="0" applyNumberFormat="1" applyFont="1"/>
    <xf numFmtId="172" fontId="8" fillId="0" borderId="0" xfId="0" applyNumberFormat="1" applyFont="1"/>
    <xf numFmtId="174" fontId="34" fillId="0" borderId="0" xfId="8" applyNumberFormat="1" applyFont="1"/>
    <xf numFmtId="174" fontId="34" fillId="0" borderId="0" xfId="8" applyNumberFormat="1" applyFont="1" applyFill="1"/>
    <xf numFmtId="170" fontId="8" fillId="4" borderId="0" xfId="1" applyNumberFormat="1" applyFont="1" applyFill="1"/>
    <xf numFmtId="182" fontId="36" fillId="0" borderId="0" xfId="4" applyNumberFormat="1" applyFont="1" applyAlignment="1">
      <alignment horizontal="center"/>
    </xf>
    <xf numFmtId="0" fontId="30" fillId="3" borderId="0" xfId="288" applyFont="1" applyFill="1"/>
    <xf numFmtId="0" fontId="30" fillId="3" borderId="35" xfId="288" applyFont="1" applyFill="1" applyBorder="1"/>
    <xf numFmtId="0" fontId="30" fillId="3" borderId="36" xfId="288" applyFont="1" applyFill="1" applyBorder="1"/>
    <xf numFmtId="170" fontId="30" fillId="3" borderId="35" xfId="291" applyNumberFormat="1" applyFont="1" applyFill="1" applyBorder="1"/>
    <xf numFmtId="170" fontId="30" fillId="3" borderId="37" xfId="291" applyNumberFormat="1" applyFont="1" applyFill="1" applyBorder="1"/>
    <xf numFmtId="170" fontId="30" fillId="3" borderId="0" xfId="291" applyNumberFormat="1" applyFont="1" applyFill="1" applyBorder="1"/>
    <xf numFmtId="0" fontId="30" fillId="3" borderId="38" xfId="288" applyFont="1" applyFill="1" applyBorder="1"/>
    <xf numFmtId="170" fontId="30" fillId="3" borderId="38" xfId="291" applyNumberFormat="1" applyFont="1" applyFill="1" applyBorder="1"/>
    <xf numFmtId="170" fontId="30" fillId="3" borderId="39" xfId="291" applyNumberFormat="1" applyFont="1" applyFill="1" applyBorder="1"/>
    <xf numFmtId="0" fontId="30" fillId="3" borderId="40" xfId="288" applyFont="1" applyFill="1" applyBorder="1"/>
    <xf numFmtId="0" fontId="39" fillId="3" borderId="1" xfId="288" applyFont="1" applyFill="1" applyBorder="1"/>
    <xf numFmtId="170" fontId="39" fillId="3" borderId="40" xfId="288" applyNumberFormat="1" applyFont="1" applyFill="1" applyBorder="1"/>
    <xf numFmtId="170" fontId="39" fillId="3" borderId="41" xfId="288" applyNumberFormat="1" applyFont="1" applyFill="1" applyBorder="1"/>
    <xf numFmtId="170" fontId="39" fillId="3" borderId="0" xfId="288" applyNumberFormat="1" applyFont="1" applyFill="1"/>
    <xf numFmtId="0" fontId="39" fillId="3" borderId="38" xfId="288" applyFont="1" applyFill="1" applyBorder="1"/>
    <xf numFmtId="0" fontId="38" fillId="40" borderId="40" xfId="4" applyFont="1" applyFill="1" applyBorder="1" applyAlignment="1">
      <alignment horizontal="center" vertical="center"/>
    </xf>
    <xf numFmtId="0" fontId="38" fillId="40" borderId="41" xfId="4" applyFont="1" applyFill="1" applyBorder="1" applyAlignment="1">
      <alignment horizontal="center" vertical="center"/>
    </xf>
    <xf numFmtId="0" fontId="30" fillId="0" borderId="0" xfId="288" applyFont="1"/>
    <xf numFmtId="0" fontId="40" fillId="0" borderId="0" xfId="288" applyFont="1"/>
    <xf numFmtId="0" fontId="8" fillId="0" borderId="0" xfId="288" applyFont="1"/>
    <xf numFmtId="0" fontId="41" fillId="0" borderId="0" xfId="288" applyFont="1"/>
    <xf numFmtId="0" fontId="41" fillId="0" borderId="0" xfId="288" applyFont="1" applyAlignment="1">
      <alignment horizontal="center"/>
    </xf>
    <xf numFmtId="0" fontId="41" fillId="2" borderId="0" xfId="288" applyFont="1" applyFill="1" applyAlignment="1">
      <alignment horizontal="center"/>
    </xf>
    <xf numFmtId="1" fontId="8" fillId="0" borderId="0" xfId="288" applyNumberFormat="1" applyFont="1"/>
    <xf numFmtId="1" fontId="30" fillId="0" borderId="0" xfId="291" applyNumberFormat="1" applyFont="1"/>
    <xf numFmtId="1" fontId="30" fillId="0" borderId="0" xfId="288" applyNumberFormat="1" applyFont="1"/>
    <xf numFmtId="10" fontId="8" fillId="0" borderId="0" xfId="288" applyNumberFormat="1" applyFont="1" applyAlignment="1">
      <alignment horizontal="center"/>
    </xf>
    <xf numFmtId="10" fontId="30" fillId="0" borderId="0" xfId="288" applyNumberFormat="1" applyFont="1"/>
    <xf numFmtId="10" fontId="8" fillId="0" borderId="0" xfId="288" applyNumberFormat="1" applyFont="1"/>
    <xf numFmtId="170" fontId="30" fillId="0" borderId="0" xfId="292" applyNumberFormat="1" applyFont="1"/>
    <xf numFmtId="0" fontId="8" fillId="41" borderId="0" xfId="288" applyFont="1" applyFill="1"/>
    <xf numFmtId="1" fontId="8" fillId="41" borderId="0" xfId="288" applyNumberFormat="1" applyFont="1" applyFill="1"/>
    <xf numFmtId="0" fontId="11" fillId="0" borderId="0" xfId="288" applyFont="1"/>
    <xf numFmtId="172" fontId="11" fillId="0" borderId="0" xfId="291" applyNumberFormat="1" applyFont="1"/>
    <xf numFmtId="170" fontId="11" fillId="0" borderId="0" xfId="288" applyNumberFormat="1" applyFont="1"/>
    <xf numFmtId="185" fontId="11" fillId="0" borderId="0" xfId="291" applyNumberFormat="1" applyFont="1"/>
    <xf numFmtId="0" fontId="8" fillId="0" borderId="35" xfId="288" applyFont="1" applyBorder="1"/>
    <xf numFmtId="0" fontId="8" fillId="0" borderId="36" xfId="288" applyFont="1" applyBorder="1"/>
    <xf numFmtId="0" fontId="8" fillId="0" borderId="37" xfId="288" applyFont="1" applyBorder="1"/>
    <xf numFmtId="0" fontId="30" fillId="0" borderId="35" xfId="288" applyFont="1" applyBorder="1"/>
    <xf numFmtId="0" fontId="30" fillId="0" borderId="36" xfId="288" applyFont="1" applyBorder="1"/>
    <xf numFmtId="170" fontId="30" fillId="0" borderId="36" xfId="292" applyNumberFormat="1" applyFont="1" applyBorder="1"/>
    <xf numFmtId="170" fontId="30" fillId="0" borderId="37" xfId="292" applyNumberFormat="1" applyFont="1" applyBorder="1"/>
    <xf numFmtId="0" fontId="30" fillId="0" borderId="38" xfId="288" applyFont="1" applyBorder="1"/>
    <xf numFmtId="170" fontId="30" fillId="0" borderId="0" xfId="292" applyNumberFormat="1" applyFont="1" applyBorder="1"/>
    <xf numFmtId="170" fontId="30" fillId="0" borderId="39" xfId="292" applyNumberFormat="1" applyFont="1" applyBorder="1"/>
    <xf numFmtId="0" fontId="11" fillId="0" borderId="38" xfId="288" applyFont="1" applyBorder="1"/>
    <xf numFmtId="0" fontId="11" fillId="0" borderId="0" xfId="292" applyNumberFormat="1" applyFont="1" applyBorder="1"/>
    <xf numFmtId="0" fontId="11" fillId="0" borderId="39" xfId="288" applyFont="1" applyBorder="1" applyAlignment="1">
      <alignment horizontal="center"/>
    </xf>
    <xf numFmtId="0" fontId="8" fillId="0" borderId="0" xfId="288" applyFont="1" applyAlignment="1">
      <alignment horizontal="center"/>
    </xf>
    <xf numFmtId="0" fontId="8" fillId="0" borderId="38" xfId="288" applyFont="1" applyBorder="1"/>
    <xf numFmtId="170" fontId="8" fillId="0" borderId="0" xfId="292" applyNumberFormat="1" applyFont="1" applyBorder="1" applyAlignment="1">
      <alignment vertical="top" wrapText="1"/>
    </xf>
    <xf numFmtId="170" fontId="11" fillId="0" borderId="39" xfId="288" applyNumberFormat="1" applyFont="1" applyBorder="1"/>
    <xf numFmtId="0" fontId="8" fillId="0" borderId="38" xfId="288" applyFont="1" applyBorder="1" applyAlignment="1">
      <alignment horizontal="right"/>
    </xf>
    <xf numFmtId="170" fontId="42" fillId="0" borderId="0" xfId="292" applyNumberFormat="1" applyFont="1" applyBorder="1"/>
    <xf numFmtId="0" fontId="30" fillId="0" borderId="38" xfId="288" applyFont="1" applyBorder="1" applyAlignment="1">
      <alignment horizontal="right"/>
    </xf>
    <xf numFmtId="10" fontId="8" fillId="0" borderId="0" xfId="293" applyNumberFormat="1" applyFont="1" applyBorder="1"/>
    <xf numFmtId="10" fontId="11" fillId="0" borderId="39" xfId="293" applyNumberFormat="1" applyFont="1" applyBorder="1"/>
    <xf numFmtId="10" fontId="11" fillId="0" borderId="0" xfId="293" applyNumberFormat="1" applyFont="1"/>
    <xf numFmtId="0" fontId="11" fillId="0" borderId="39" xfId="288" applyFont="1" applyBorder="1"/>
    <xf numFmtId="0" fontId="8" fillId="0" borderId="39" xfId="288" applyFont="1" applyBorder="1"/>
    <xf numFmtId="0" fontId="8" fillId="0" borderId="38" xfId="288" applyFont="1" applyBorder="1" applyAlignment="1">
      <alignment horizontal="center"/>
    </xf>
    <xf numFmtId="0" fontId="30" fillId="0" borderId="39" xfId="288" applyFont="1" applyBorder="1"/>
    <xf numFmtId="168" fontId="30" fillId="0" borderId="0" xfId="290" applyNumberFormat="1" applyFont="1"/>
    <xf numFmtId="10" fontId="30" fillId="0" borderId="0" xfId="290" applyNumberFormat="1" applyFont="1"/>
    <xf numFmtId="10" fontId="8" fillId="0" borderId="0" xfId="290" applyNumberFormat="1" applyFont="1"/>
    <xf numFmtId="170" fontId="11" fillId="0" borderId="38" xfId="288" applyNumberFormat="1" applyFont="1" applyBorder="1"/>
    <xf numFmtId="10" fontId="11" fillId="0" borderId="38" xfId="293" applyNumberFormat="1" applyFont="1" applyBorder="1"/>
    <xf numFmtId="170" fontId="30" fillId="0" borderId="0" xfId="288" applyNumberFormat="1" applyFont="1"/>
    <xf numFmtId="170" fontId="30" fillId="0" borderId="39" xfId="288" applyNumberFormat="1" applyFont="1" applyBorder="1"/>
    <xf numFmtId="170" fontId="8" fillId="0" borderId="0" xfId="291" applyNumberFormat="1" applyFont="1" applyBorder="1"/>
    <xf numFmtId="10" fontId="11" fillId="0" borderId="0" xfId="293" applyNumberFormat="1" applyFont="1" applyFill="1" applyBorder="1"/>
    <xf numFmtId="0" fontId="30" fillId="0" borderId="40" xfId="288" applyFont="1" applyBorder="1"/>
    <xf numFmtId="0" fontId="11" fillId="0" borderId="1" xfId="288" applyFont="1" applyBorder="1"/>
    <xf numFmtId="170" fontId="11" fillId="0" borderId="1" xfId="288" applyNumberFormat="1" applyFont="1" applyBorder="1"/>
    <xf numFmtId="170" fontId="11" fillId="0" borderId="41" xfId="288" applyNumberFormat="1" applyFont="1" applyBorder="1"/>
    <xf numFmtId="0" fontId="8" fillId="0" borderId="40" xfId="288" applyFont="1" applyBorder="1"/>
    <xf numFmtId="0" fontId="8" fillId="0" borderId="1" xfId="288" applyFont="1" applyBorder="1"/>
    <xf numFmtId="0" fontId="8" fillId="0" borderId="41" xfId="288" applyFont="1" applyBorder="1"/>
    <xf numFmtId="0" fontId="30" fillId="0" borderId="37" xfId="288" applyFont="1" applyBorder="1"/>
    <xf numFmtId="0" fontId="41" fillId="0" borderId="36" xfId="288" applyFont="1" applyBorder="1"/>
    <xf numFmtId="168" fontId="30" fillId="0" borderId="0" xfId="290" applyNumberFormat="1" applyFont="1" applyFill="1" applyBorder="1"/>
    <xf numFmtId="9" fontId="30" fillId="0" borderId="39" xfId="293" applyFont="1" applyBorder="1"/>
    <xf numFmtId="169" fontId="42" fillId="0" borderId="0" xfId="288" applyNumberFormat="1" applyFont="1" applyAlignment="1">
      <alignment horizontal="center"/>
    </xf>
    <xf numFmtId="170" fontId="8" fillId="0" borderId="0" xfId="292" applyNumberFormat="1" applyFont="1" applyBorder="1"/>
    <xf numFmtId="0" fontId="8" fillId="41" borderId="38" xfId="288" applyFont="1" applyFill="1" applyBorder="1"/>
    <xf numFmtId="170" fontId="8" fillId="41" borderId="0" xfId="292" applyNumberFormat="1" applyFont="1" applyFill="1" applyBorder="1"/>
    <xf numFmtId="9" fontId="30" fillId="0" borderId="0" xfId="288" applyNumberFormat="1" applyFont="1"/>
    <xf numFmtId="0" fontId="30" fillId="0" borderId="1" xfId="288" applyFont="1" applyBorder="1"/>
    <xf numFmtId="0" fontId="30" fillId="0" borderId="41" xfId="288" applyFont="1" applyBorder="1"/>
    <xf numFmtId="170" fontId="30" fillId="0" borderId="1" xfId="288" applyNumberFormat="1" applyFont="1" applyBorder="1"/>
    <xf numFmtId="3" fontId="30" fillId="0" borderId="0" xfId="288" applyNumberFormat="1" applyFont="1"/>
    <xf numFmtId="170" fontId="30" fillId="0" borderId="0" xfId="291" applyNumberFormat="1" applyFont="1"/>
    <xf numFmtId="173" fontId="30" fillId="0" borderId="0" xfId="289" applyNumberFormat="1" applyFont="1"/>
    <xf numFmtId="10" fontId="39" fillId="0" borderId="0" xfId="290" applyNumberFormat="1" applyFont="1"/>
    <xf numFmtId="0" fontId="30" fillId="0" borderId="17" xfId="288" applyFont="1" applyBorder="1" applyAlignment="1">
      <alignment vertical="center" wrapText="1"/>
    </xf>
    <xf numFmtId="170" fontId="30" fillId="0" borderId="2" xfId="291" applyNumberFormat="1" applyFont="1" applyFill="1" applyBorder="1" applyAlignment="1">
      <alignment horizontal="right" vertical="center"/>
    </xf>
    <xf numFmtId="170" fontId="30" fillId="0" borderId="2" xfId="291" applyNumberFormat="1" applyFont="1" applyBorder="1" applyAlignment="1">
      <alignment horizontal="right" vertical="center"/>
    </xf>
    <xf numFmtId="172" fontId="8" fillId="0" borderId="2" xfId="291" applyNumberFormat="1" applyFont="1" applyBorder="1" applyAlignment="1">
      <alignment vertical="center"/>
    </xf>
    <xf numFmtId="170" fontId="30" fillId="0" borderId="2" xfId="291" applyNumberFormat="1" applyFont="1" applyBorder="1" applyAlignment="1">
      <alignment vertical="center"/>
    </xf>
    <xf numFmtId="0" fontId="30" fillId="0" borderId="6" xfId="288" applyFont="1" applyBorder="1" applyAlignment="1">
      <alignment vertical="center" wrapText="1"/>
    </xf>
    <xf numFmtId="10" fontId="11" fillId="0" borderId="39" xfId="290" applyNumberFormat="1" applyFont="1" applyBorder="1" applyAlignment="1">
      <alignment horizontal="right" vertical="center"/>
    </xf>
    <xf numFmtId="170" fontId="30" fillId="0" borderId="21" xfId="291" applyNumberFormat="1" applyFont="1" applyBorder="1" applyAlignment="1">
      <alignment vertical="center"/>
    </xf>
    <xf numFmtId="3" fontId="44" fillId="3" borderId="0" xfId="4" applyNumberFormat="1" applyFont="1" applyFill="1"/>
    <xf numFmtId="170" fontId="8" fillId="3" borderId="0" xfId="1" applyNumberFormat="1" applyFont="1" applyFill="1"/>
    <xf numFmtId="170" fontId="34" fillId="0" borderId="0" xfId="1" applyNumberFormat="1" applyFont="1" applyFill="1"/>
    <xf numFmtId="170" fontId="12" fillId="0" borderId="0" xfId="1" applyNumberFormat="1" applyFont="1" applyFill="1"/>
    <xf numFmtId="174" fontId="12" fillId="0" borderId="0" xfId="8" applyNumberFormat="1" applyFont="1" applyFill="1"/>
    <xf numFmtId="168" fontId="8" fillId="3" borderId="0" xfId="3" applyNumberFormat="1" applyFont="1" applyFill="1"/>
    <xf numFmtId="0" fontId="11" fillId="3" borderId="0" xfId="4" applyFont="1" applyFill="1"/>
    <xf numFmtId="186" fontId="13" fillId="3" borderId="0" xfId="4" applyNumberFormat="1" applyFont="1" applyFill="1"/>
    <xf numFmtId="0" fontId="38" fillId="40" borderId="3" xfId="4" applyFont="1" applyFill="1" applyBorder="1" applyAlignment="1">
      <alignment horizontal="center" vertical="center"/>
    </xf>
    <xf numFmtId="0" fontId="38" fillId="40" borderId="4" xfId="4" applyFont="1" applyFill="1" applyBorder="1" applyAlignment="1">
      <alignment horizontal="center" vertical="center" wrapText="1"/>
    </xf>
    <xf numFmtId="0" fontId="38" fillId="40" borderId="5" xfId="4" applyFont="1" applyFill="1" applyBorder="1" applyAlignment="1">
      <alignment horizontal="center" vertical="center" wrapText="1"/>
    </xf>
    <xf numFmtId="0" fontId="38" fillId="40" borderId="9" xfId="4" applyFont="1" applyFill="1" applyBorder="1" applyAlignment="1">
      <alignment horizontal="center"/>
    </xf>
    <xf numFmtId="3" fontId="38" fillId="40" borderId="10" xfId="4" applyNumberFormat="1" applyFont="1" applyFill="1" applyBorder="1"/>
    <xf numFmtId="3" fontId="38" fillId="40" borderId="11" xfId="4" applyNumberFormat="1" applyFont="1" applyFill="1" applyBorder="1"/>
    <xf numFmtId="0" fontId="38" fillId="40" borderId="3" xfId="4" applyFont="1" applyFill="1" applyBorder="1" applyAlignment="1">
      <alignment horizontal="center"/>
    </xf>
    <xf numFmtId="0" fontId="38" fillId="40" borderId="4" xfId="4" applyFont="1" applyFill="1" applyBorder="1" applyAlignment="1">
      <alignment vertical="center"/>
    </xf>
    <xf numFmtId="0" fontId="45" fillId="40" borderId="4" xfId="4" applyFont="1" applyFill="1" applyBorder="1" applyAlignment="1">
      <alignment vertical="center"/>
    </xf>
    <xf numFmtId="3" fontId="45" fillId="40" borderId="10" xfId="4" applyNumberFormat="1" applyFont="1" applyFill="1" applyBorder="1"/>
    <xf numFmtId="0" fontId="38" fillId="40" borderId="5" xfId="4" applyFont="1" applyFill="1" applyBorder="1" applyAlignment="1">
      <alignment vertical="center"/>
    </xf>
    <xf numFmtId="0" fontId="38" fillId="40" borderId="3" xfId="4" applyFont="1" applyFill="1" applyBorder="1" applyAlignment="1">
      <alignment horizontal="center" vertical="center" wrapText="1"/>
    </xf>
    <xf numFmtId="3" fontId="38" fillId="40" borderId="43" xfId="4" applyNumberFormat="1" applyFont="1" applyFill="1" applyBorder="1"/>
    <xf numFmtId="0" fontId="46" fillId="40" borderId="17" xfId="288" applyFont="1" applyFill="1" applyBorder="1" applyAlignment="1">
      <alignment horizontal="center" vertical="center"/>
    </xf>
    <xf numFmtId="0" fontId="47" fillId="40" borderId="2" xfId="288" applyFont="1" applyFill="1" applyBorder="1" applyAlignment="1">
      <alignment horizontal="center" vertical="center"/>
    </xf>
    <xf numFmtId="0" fontId="47" fillId="40" borderId="2" xfId="288" applyFont="1" applyFill="1" applyBorder="1" applyAlignment="1">
      <alignment horizontal="center" vertical="center" wrapText="1"/>
    </xf>
    <xf numFmtId="0" fontId="47" fillId="40" borderId="21" xfId="288" applyFont="1" applyFill="1" applyBorder="1" applyAlignment="1">
      <alignment horizontal="center" vertical="center"/>
    </xf>
    <xf numFmtId="0" fontId="47" fillId="40" borderId="2" xfId="288" applyFont="1" applyFill="1" applyBorder="1" applyAlignment="1">
      <alignment horizontal="center"/>
    </xf>
    <xf numFmtId="0" fontId="47" fillId="40" borderId="21" xfId="288" applyFont="1" applyFill="1" applyBorder="1" applyAlignment="1">
      <alignment horizontal="center"/>
    </xf>
    <xf numFmtId="0" fontId="38" fillId="40" borderId="22" xfId="288" applyFont="1" applyFill="1" applyBorder="1" applyAlignment="1">
      <alignment wrapText="1"/>
    </xf>
    <xf numFmtId="170" fontId="38" fillId="40" borderId="23" xfId="291" applyNumberFormat="1" applyFont="1" applyFill="1" applyBorder="1"/>
    <xf numFmtId="172" fontId="38" fillId="40" borderId="23" xfId="291" applyNumberFormat="1" applyFont="1" applyFill="1" applyBorder="1"/>
    <xf numFmtId="170" fontId="38" fillId="40" borderId="23" xfId="291" applyNumberFormat="1" applyFont="1" applyFill="1" applyBorder="1" applyAlignment="1">
      <alignment vertical="top"/>
    </xf>
    <xf numFmtId="170" fontId="38" fillId="40" borderId="24" xfId="291" applyNumberFormat="1" applyFont="1" applyFill="1" applyBorder="1" applyAlignment="1">
      <alignment vertical="top"/>
    </xf>
    <xf numFmtId="0" fontId="48" fillId="40" borderId="0" xfId="4" applyFont="1" applyFill="1" applyAlignment="1">
      <alignment horizontal="right"/>
    </xf>
    <xf numFmtId="0" fontId="38" fillId="40" borderId="0" xfId="4" applyFont="1" applyFill="1" applyAlignment="1">
      <alignment horizontal="center"/>
    </xf>
    <xf numFmtId="0" fontId="38" fillId="40" borderId="0" xfId="4" applyFont="1" applyFill="1" applyAlignment="1">
      <alignment horizontal="right"/>
    </xf>
    <xf numFmtId="3" fontId="44" fillId="3" borderId="7" xfId="4" applyNumberFormat="1" applyFont="1" applyFill="1" applyBorder="1"/>
    <xf numFmtId="0" fontId="48" fillId="40" borderId="0" xfId="4" applyFont="1" applyFill="1" applyAlignment="1">
      <alignment horizontal="center" vertical="center" wrapText="1"/>
    </xf>
    <xf numFmtId="0" fontId="38" fillId="40" borderId="0" xfId="4" applyFont="1" applyFill="1" applyAlignment="1">
      <alignment horizontal="center" vertical="center"/>
    </xf>
    <xf numFmtId="0" fontId="38" fillId="40" borderId="0" xfId="4" applyFont="1" applyFill="1" applyAlignment="1">
      <alignment horizontal="center" vertical="center" wrapText="1"/>
    </xf>
    <xf numFmtId="0" fontId="30" fillId="0" borderId="35" xfId="288" applyFont="1" applyBorder="1" applyAlignment="1">
      <alignment wrapText="1"/>
    </xf>
    <xf numFmtId="0" fontId="30" fillId="0" borderId="0" xfId="288" applyFont="1" applyAlignment="1">
      <alignment wrapText="1"/>
    </xf>
    <xf numFmtId="0" fontId="30" fillId="0" borderId="38" xfId="288" applyFont="1" applyBorder="1" applyAlignment="1">
      <alignment wrapText="1"/>
    </xf>
    <xf numFmtId="0" fontId="30" fillId="0" borderId="39" xfId="288" applyFont="1" applyBorder="1" applyAlignment="1">
      <alignment wrapText="1"/>
    </xf>
    <xf numFmtId="173" fontId="49" fillId="0" borderId="0" xfId="289" applyNumberFormat="1" applyFont="1" applyBorder="1"/>
    <xf numFmtId="17" fontId="30" fillId="0" borderId="38" xfId="288" applyNumberFormat="1" applyFont="1" applyBorder="1"/>
    <xf numFmtId="17" fontId="30" fillId="0" borderId="39" xfId="288" applyNumberFormat="1" applyFont="1" applyBorder="1"/>
    <xf numFmtId="173" fontId="49" fillId="0" borderId="38" xfId="289" applyNumberFormat="1" applyFont="1" applyBorder="1"/>
    <xf numFmtId="173" fontId="49" fillId="0" borderId="1" xfId="289" applyNumberFormat="1" applyFont="1" applyBorder="1"/>
    <xf numFmtId="17" fontId="30" fillId="0" borderId="40" xfId="288" applyNumberFormat="1" applyFont="1" applyBorder="1"/>
    <xf numFmtId="1" fontId="30" fillId="0" borderId="1" xfId="288" applyNumberFormat="1" applyFont="1" applyBorder="1"/>
    <xf numFmtId="17" fontId="30" fillId="0" borderId="41" xfId="288" applyNumberFormat="1" applyFont="1" applyBorder="1"/>
    <xf numFmtId="173" fontId="49" fillId="0" borderId="40" xfId="289" applyNumberFormat="1" applyFont="1" applyBorder="1"/>
    <xf numFmtId="0" fontId="30" fillId="0" borderId="0" xfId="5" applyFont="1"/>
    <xf numFmtId="0" fontId="30" fillId="0" borderId="0" xfId="5" applyFont="1" applyAlignment="1">
      <alignment horizontal="right"/>
    </xf>
    <xf numFmtId="0" fontId="46" fillId="40" borderId="0" xfId="5" applyFont="1" applyFill="1"/>
    <xf numFmtId="0" fontId="46" fillId="40" borderId="0" xfId="5" applyFont="1" applyFill="1" applyAlignment="1">
      <alignment horizontal="right"/>
    </xf>
    <xf numFmtId="3" fontId="30" fillId="0" borderId="0" xfId="5" applyNumberFormat="1" applyFont="1"/>
    <xf numFmtId="168" fontId="8" fillId="0" borderId="0" xfId="6" applyNumberFormat="1" applyFont="1"/>
    <xf numFmtId="168" fontId="30" fillId="0" borderId="0" xfId="5" applyNumberFormat="1" applyFont="1"/>
    <xf numFmtId="0" fontId="38" fillId="40" borderId="12" xfId="4" applyFont="1" applyFill="1" applyBorder="1" applyAlignment="1">
      <alignment vertical="center"/>
    </xf>
    <xf numFmtId="0" fontId="38" fillId="40" borderId="49" xfId="4" applyFont="1" applyFill="1" applyBorder="1" applyAlignment="1">
      <alignment horizontal="center" vertical="center"/>
    </xf>
    <xf numFmtId="0" fontId="38" fillId="40" borderId="50" xfId="4" applyFont="1" applyFill="1" applyBorder="1" applyAlignment="1">
      <alignment horizontal="center" vertical="center"/>
    </xf>
    <xf numFmtId="0" fontId="11" fillId="3" borderId="22" xfId="4" applyFont="1" applyFill="1" applyBorder="1"/>
    <xf numFmtId="3" fontId="11" fillId="3" borderId="23" xfId="4" applyNumberFormat="1" applyFont="1" applyFill="1" applyBorder="1"/>
    <xf numFmtId="3" fontId="11" fillId="3" borderId="24" xfId="4" applyNumberFormat="1" applyFont="1" applyFill="1" applyBorder="1"/>
    <xf numFmtId="0" fontId="30" fillId="0" borderId="0" xfId="288" applyFont="1" applyAlignment="1">
      <alignment horizontal="center"/>
    </xf>
    <xf numFmtId="0" fontId="30" fillId="0" borderId="36" xfId="288" applyFont="1" applyBorder="1" applyAlignment="1">
      <alignment horizontal="center" wrapText="1"/>
    </xf>
    <xf numFmtId="0" fontId="30" fillId="0" borderId="19" xfId="288" applyFont="1" applyBorder="1" applyAlignment="1">
      <alignment horizontal="center"/>
    </xf>
    <xf numFmtId="173" fontId="49" fillId="0" borderId="39" xfId="289" applyNumberFormat="1" applyFont="1" applyBorder="1"/>
    <xf numFmtId="173" fontId="49" fillId="0" borderId="41" xfId="289" applyNumberFormat="1" applyFont="1" applyBorder="1"/>
    <xf numFmtId="0" fontId="8" fillId="0" borderId="38" xfId="0" applyFont="1" applyBorder="1" applyAlignment="1">
      <alignment horizontal="center" vertical="center" wrapText="1"/>
    </xf>
    <xf numFmtId="0" fontId="8" fillId="0" borderId="0" xfId="0" applyFont="1" applyAlignment="1">
      <alignment horizontal="center" vertical="center" wrapText="1"/>
    </xf>
    <xf numFmtId="0" fontId="8" fillId="0" borderId="39" xfId="0" applyFont="1" applyBorder="1" applyAlignment="1">
      <alignment horizontal="center" vertical="center" wrapText="1"/>
    </xf>
    <xf numFmtId="0" fontId="30" fillId="0" borderId="18" xfId="288" applyFont="1" applyBorder="1"/>
    <xf numFmtId="0" fontId="30" fillId="0" borderId="19" xfId="288" applyFont="1" applyBorder="1"/>
    <xf numFmtId="0" fontId="30" fillId="0" borderId="20" xfId="288" applyFont="1" applyBorder="1"/>
    <xf numFmtId="173" fontId="30" fillId="0" borderId="0" xfId="288" applyNumberFormat="1" applyFont="1"/>
    <xf numFmtId="0" fontId="48" fillId="40" borderId="0" xfId="4" applyFont="1" applyFill="1" applyAlignment="1">
      <alignment horizontal="center"/>
    </xf>
    <xf numFmtId="173" fontId="8" fillId="0" borderId="0" xfId="289" applyNumberFormat="1" applyFont="1"/>
    <xf numFmtId="0" fontId="47" fillId="40" borderId="17" xfId="288" applyFont="1" applyFill="1" applyBorder="1" applyAlignment="1">
      <alignment horizontal="center" vertical="center" wrapText="1"/>
    </xf>
    <xf numFmtId="0" fontId="47" fillId="40" borderId="21" xfId="288" applyFont="1" applyFill="1" applyBorder="1" applyAlignment="1">
      <alignment horizontal="center" vertical="center" wrapText="1"/>
    </xf>
    <xf numFmtId="0" fontId="47" fillId="40" borderId="20" xfId="288" applyFont="1" applyFill="1" applyBorder="1" applyAlignment="1">
      <alignment horizontal="center" vertical="center" wrapText="1"/>
    </xf>
    <xf numFmtId="170" fontId="30" fillId="0" borderId="17" xfId="288" applyNumberFormat="1" applyFont="1" applyBorder="1" applyAlignment="1">
      <alignment vertical="top"/>
    </xf>
    <xf numFmtId="168" fontId="8" fillId="0" borderId="2" xfId="290" applyNumberFormat="1" applyFont="1" applyBorder="1" applyAlignment="1">
      <alignment vertical="top"/>
    </xf>
    <xf numFmtId="170" fontId="30" fillId="0" borderId="2" xfId="288" applyNumberFormat="1" applyFont="1" applyBorder="1" applyAlignment="1">
      <alignment vertical="top"/>
    </xf>
    <xf numFmtId="170" fontId="30" fillId="0" borderId="21" xfId="288" applyNumberFormat="1" applyFont="1" applyBorder="1" applyAlignment="1">
      <alignment vertical="top"/>
    </xf>
    <xf numFmtId="170" fontId="30" fillId="0" borderId="20" xfId="288" applyNumberFormat="1" applyFont="1" applyBorder="1" applyAlignment="1">
      <alignment vertical="top"/>
    </xf>
    <xf numFmtId="170" fontId="30" fillId="0" borderId="6" xfId="288" applyNumberFormat="1" applyFont="1" applyBorder="1" applyAlignment="1">
      <alignment vertical="top"/>
    </xf>
    <xf numFmtId="170" fontId="30" fillId="0" borderId="44" xfId="288" applyNumberFormat="1" applyFont="1" applyBorder="1" applyAlignment="1">
      <alignment vertical="top"/>
    </xf>
    <xf numFmtId="0" fontId="30" fillId="0" borderId="0" xfId="288" applyFont="1" applyAlignment="1">
      <alignment horizontal="center" wrapText="1"/>
    </xf>
    <xf numFmtId="0" fontId="30" fillId="0" borderId="1" xfId="288" applyFont="1" applyBorder="1" applyAlignment="1">
      <alignment horizontal="center"/>
    </xf>
    <xf numFmtId="170" fontId="30" fillId="0" borderId="0" xfId="1" applyNumberFormat="1" applyFont="1"/>
    <xf numFmtId="0" fontId="30" fillId="0" borderId="36" xfId="288" applyFont="1" applyBorder="1" applyAlignment="1">
      <alignment wrapText="1"/>
    </xf>
    <xf numFmtId="173" fontId="49" fillId="0" borderId="1" xfId="289" applyNumberFormat="1" applyFont="1" applyBorder="1" applyAlignment="1">
      <alignment horizontal="center"/>
    </xf>
    <xf numFmtId="0" fontId="47" fillId="40" borderId="15" xfId="288" applyFont="1" applyFill="1" applyBorder="1"/>
    <xf numFmtId="0" fontId="47" fillId="40" borderId="1" xfId="288" applyFont="1" applyFill="1" applyBorder="1"/>
    <xf numFmtId="0" fontId="47" fillId="40" borderId="16" xfId="288" applyFont="1" applyFill="1" applyBorder="1"/>
    <xf numFmtId="0" fontId="46" fillId="40" borderId="40" xfId="288" applyFont="1" applyFill="1" applyBorder="1" applyAlignment="1">
      <alignment vertical="center"/>
    </xf>
    <xf numFmtId="0" fontId="47" fillId="40" borderId="41" xfId="288" applyFont="1" applyFill="1" applyBorder="1"/>
    <xf numFmtId="0" fontId="46" fillId="40" borderId="18" xfId="288" applyFont="1" applyFill="1" applyBorder="1" applyAlignment="1">
      <alignment vertical="center" wrapText="1"/>
    </xf>
    <xf numFmtId="0" fontId="30" fillId="0" borderId="18" xfId="288" applyFont="1" applyBorder="1" applyAlignment="1">
      <alignment vertical="center" wrapText="1"/>
    </xf>
    <xf numFmtId="0" fontId="47" fillId="40" borderId="18" xfId="288" applyFont="1" applyFill="1" applyBorder="1" applyAlignment="1">
      <alignment wrapText="1"/>
    </xf>
    <xf numFmtId="170" fontId="47" fillId="40" borderId="17" xfId="288" applyNumberFormat="1" applyFont="1" applyFill="1" applyBorder="1"/>
    <xf numFmtId="170" fontId="47" fillId="40" borderId="2" xfId="288" applyNumberFormat="1" applyFont="1" applyFill="1" applyBorder="1"/>
    <xf numFmtId="168" fontId="47" fillId="40" borderId="2" xfId="290" applyNumberFormat="1" applyFont="1" applyFill="1" applyBorder="1"/>
    <xf numFmtId="170" fontId="47" fillId="40" borderId="2" xfId="291" applyNumberFormat="1" applyFont="1" applyFill="1" applyBorder="1"/>
    <xf numFmtId="170" fontId="47" fillId="40" borderId="20" xfId="288" applyNumberFormat="1" applyFont="1" applyFill="1" applyBorder="1"/>
    <xf numFmtId="10" fontId="8" fillId="0" borderId="0" xfId="3" applyNumberFormat="1" applyFont="1"/>
    <xf numFmtId="0" fontId="8" fillId="0" borderId="0" xfId="0" applyFont="1" applyAlignment="1">
      <alignment wrapText="1"/>
    </xf>
    <xf numFmtId="0" fontId="8" fillId="4" borderId="0" xfId="0" applyFont="1" applyFill="1" applyAlignment="1">
      <alignment wrapText="1"/>
    </xf>
    <xf numFmtId="0" fontId="8" fillId="5" borderId="0" xfId="0" applyFont="1" applyFill="1" applyAlignment="1">
      <alignment wrapText="1"/>
    </xf>
    <xf numFmtId="0" fontId="42" fillId="0" borderId="39" xfId="288" applyFont="1" applyBorder="1"/>
    <xf numFmtId="0" fontId="42" fillId="0" borderId="0" xfId="288" applyFont="1"/>
    <xf numFmtId="170" fontId="42" fillId="0" borderId="0" xfId="1" applyNumberFormat="1" applyFont="1" applyBorder="1"/>
    <xf numFmtId="170" fontId="30" fillId="0" borderId="0" xfId="1" applyNumberFormat="1" applyFont="1" applyBorder="1"/>
    <xf numFmtId="3" fontId="43" fillId="0" borderId="0" xfId="288" applyNumberFormat="1" applyFont="1" applyAlignment="1">
      <alignment horizontal="right" vertical="center"/>
    </xf>
    <xf numFmtId="3" fontId="8" fillId="0" borderId="0" xfId="288" applyNumberFormat="1" applyFont="1"/>
    <xf numFmtId="10" fontId="12" fillId="2" borderId="0" xfId="7" applyNumberFormat="1" applyFont="1" applyFill="1"/>
    <xf numFmtId="170" fontId="30" fillId="0" borderId="37" xfId="288" applyNumberFormat="1" applyFont="1" applyBorder="1" applyAlignment="1">
      <alignment vertical="top"/>
    </xf>
    <xf numFmtId="0" fontId="8" fillId="0" borderId="0" xfId="0" applyFont="1" applyAlignment="1">
      <alignment horizontal="center" vertical="center"/>
    </xf>
    <xf numFmtId="0" fontId="12" fillId="0" borderId="0" xfId="0" applyFont="1"/>
    <xf numFmtId="3" fontId="12" fillId="0" borderId="0" xfId="0" applyNumberFormat="1" applyFont="1"/>
    <xf numFmtId="0" fontId="8" fillId="0" borderId="0" xfId="0" applyFont="1" applyAlignment="1">
      <alignment horizontal="center"/>
    </xf>
    <xf numFmtId="14" fontId="8" fillId="0" borderId="0" xfId="0" applyNumberFormat="1" applyFont="1" applyAlignment="1">
      <alignment wrapText="1"/>
    </xf>
    <xf numFmtId="166" fontId="8" fillId="0" borderId="0" xfId="1" applyFont="1" applyFill="1" applyAlignment="1">
      <alignment wrapText="1"/>
    </xf>
    <xf numFmtId="3" fontId="8" fillId="0" borderId="0" xfId="0" applyNumberFormat="1" applyFont="1" applyAlignment="1">
      <alignment wrapText="1"/>
    </xf>
    <xf numFmtId="170" fontId="8" fillId="0" borderId="0" xfId="1" applyNumberFormat="1" applyFont="1" applyFill="1" applyAlignment="1">
      <alignment wrapText="1"/>
    </xf>
    <xf numFmtId="3" fontId="8" fillId="0" borderId="0" xfId="1" applyNumberFormat="1" applyFont="1" applyFill="1" applyAlignment="1">
      <alignment wrapText="1"/>
    </xf>
    <xf numFmtId="17" fontId="8" fillId="0" borderId="0" xfId="0" applyNumberFormat="1" applyFont="1"/>
    <xf numFmtId="0" fontId="8" fillId="0" borderId="0" xfId="1" applyNumberFormat="1" applyFont="1" applyFill="1"/>
    <xf numFmtId="170" fontId="8" fillId="0" borderId="0" xfId="1" applyNumberFormat="1" applyFont="1" applyFill="1"/>
    <xf numFmtId="170" fontId="8" fillId="0" borderId="0" xfId="0" quotePrefix="1" applyNumberFormat="1" applyFont="1"/>
    <xf numFmtId="3" fontId="8" fillId="0" borderId="0" xfId="0" quotePrefix="1" applyNumberFormat="1" applyFont="1"/>
    <xf numFmtId="166" fontId="8" fillId="0" borderId="0" xfId="1" applyFont="1" applyFill="1"/>
    <xf numFmtId="0" fontId="8" fillId="3" borderId="0" xfId="4" applyFill="1"/>
    <xf numFmtId="166" fontId="8" fillId="0" borderId="0" xfId="0" applyNumberFormat="1" applyFont="1"/>
    <xf numFmtId="3" fontId="8" fillId="3" borderId="0" xfId="4" applyNumberFormat="1" applyFill="1"/>
    <xf numFmtId="0" fontId="8" fillId="3" borderId="0" xfId="288" applyFont="1" applyFill="1"/>
    <xf numFmtId="170" fontId="8" fillId="0" borderId="0" xfId="1" applyNumberFormat="1" applyFont="1" applyFill="1" applyBorder="1"/>
    <xf numFmtId="169" fontId="8" fillId="0" borderId="0" xfId="0" applyNumberFormat="1" applyFont="1"/>
    <xf numFmtId="14" fontId="38" fillId="40" borderId="0" xfId="0" applyNumberFormat="1" applyFont="1" applyFill="1"/>
    <xf numFmtId="0" fontId="38" fillId="40" borderId="0" xfId="0" applyFont="1" applyFill="1"/>
    <xf numFmtId="166" fontId="38" fillId="40" borderId="0" xfId="0" applyNumberFormat="1" applyFont="1" applyFill="1"/>
    <xf numFmtId="1" fontId="38" fillId="40" borderId="0" xfId="0" applyNumberFormat="1" applyFont="1" applyFill="1"/>
    <xf numFmtId="170" fontId="38" fillId="40" borderId="0" xfId="1" applyNumberFormat="1" applyFont="1" applyFill="1"/>
    <xf numFmtId="1" fontId="8" fillId="0" borderId="0" xfId="0" applyNumberFormat="1" applyFont="1"/>
    <xf numFmtId="168" fontId="8" fillId="0" borderId="0" xfId="3" applyNumberFormat="1" applyFont="1"/>
    <xf numFmtId="172" fontId="8" fillId="0" borderId="0" xfId="1" applyNumberFormat="1" applyFont="1"/>
    <xf numFmtId="187" fontId="8" fillId="0" borderId="0" xfId="1" applyNumberFormat="1" applyFont="1"/>
    <xf numFmtId="186" fontId="8" fillId="0" borderId="0" xfId="0" applyNumberFormat="1" applyFont="1"/>
    <xf numFmtId="11" fontId="8" fillId="0" borderId="0" xfId="0" applyNumberFormat="1" applyFont="1"/>
    <xf numFmtId="185" fontId="8" fillId="0" borderId="0" xfId="1" applyNumberFormat="1" applyFont="1"/>
    <xf numFmtId="9" fontId="8" fillId="0" borderId="0" xfId="3" applyFont="1"/>
    <xf numFmtId="10" fontId="8" fillId="0" borderId="0" xfId="0" applyNumberFormat="1" applyFont="1"/>
    <xf numFmtId="3" fontId="8" fillId="3" borderId="7" xfId="4" applyNumberFormat="1" applyFill="1" applyBorder="1"/>
    <xf numFmtId="180" fontId="8" fillId="0" borderId="0" xfId="3" applyNumberFormat="1" applyFont="1"/>
    <xf numFmtId="1" fontId="12" fillId="0" borderId="0" xfId="0" applyNumberFormat="1" applyFont="1"/>
    <xf numFmtId="0" fontId="8" fillId="3" borderId="17" xfId="4" applyFill="1" applyBorder="1"/>
    <xf numFmtId="3" fontId="8" fillId="3" borderId="2" xfId="4" applyNumberFormat="1" applyFill="1" applyBorder="1"/>
    <xf numFmtId="3" fontId="8" fillId="3" borderId="21" xfId="4" applyNumberFormat="1" applyFill="1" applyBorder="1"/>
    <xf numFmtId="3" fontId="8" fillId="3" borderId="42" xfId="4" applyNumberFormat="1" applyFill="1" applyBorder="1"/>
    <xf numFmtId="186" fontId="8" fillId="0" borderId="2" xfId="4" applyNumberFormat="1" applyBorder="1" applyAlignment="1">
      <alignment horizontal="right" vertical="center"/>
    </xf>
    <xf numFmtId="0" fontId="8" fillId="0" borderId="0" xfId="4"/>
    <xf numFmtId="170" fontId="8" fillId="0" borderId="2" xfId="4" applyNumberFormat="1" applyBorder="1"/>
    <xf numFmtId="170" fontId="50" fillId="0" borderId="0" xfId="287" applyNumberFormat="1" applyFont="1"/>
    <xf numFmtId="0" fontId="8" fillId="0" borderId="0" xfId="4" applyAlignment="1">
      <alignment horizontal="center"/>
    </xf>
    <xf numFmtId="3" fontId="8" fillId="0" borderId="0" xfId="4" applyNumberFormat="1"/>
    <xf numFmtId="171" fontId="8" fillId="0" borderId="0" xfId="4" applyNumberFormat="1"/>
    <xf numFmtId="171" fontId="8" fillId="0" borderId="0" xfId="0" applyNumberFormat="1" applyFont="1"/>
    <xf numFmtId="173" fontId="8" fillId="0" borderId="0" xfId="8" applyNumberFormat="1" applyFont="1"/>
    <xf numFmtId="0" fontId="11" fillId="0" borderId="0" xfId="0" applyFont="1" applyAlignment="1">
      <alignment horizontal="center"/>
    </xf>
    <xf numFmtId="3" fontId="8" fillId="0" borderId="0" xfId="4" applyNumberFormat="1" applyAlignment="1">
      <alignment horizontal="center"/>
    </xf>
    <xf numFmtId="9" fontId="8" fillId="0" borderId="0" xfId="4" applyNumberFormat="1"/>
    <xf numFmtId="10" fontId="8" fillId="0" borderId="0" xfId="7" applyNumberFormat="1" applyFont="1"/>
    <xf numFmtId="0" fontId="51" fillId="0" borderId="0" xfId="0" applyFont="1"/>
    <xf numFmtId="9" fontId="8" fillId="0" borderId="0" xfId="0" applyNumberFormat="1" applyFont="1"/>
    <xf numFmtId="0" fontId="51" fillId="0" borderId="42" xfId="0" applyFont="1" applyBorder="1"/>
    <xf numFmtId="0" fontId="52" fillId="0" borderId="0" xfId="0" applyFont="1"/>
    <xf numFmtId="172" fontId="52" fillId="0" borderId="0" xfId="1" applyNumberFormat="1" applyFont="1"/>
    <xf numFmtId="10" fontId="52" fillId="0" borderId="0" xfId="3" applyNumberFormat="1" applyFont="1"/>
    <xf numFmtId="172" fontId="12" fillId="0" borderId="0" xfId="0" applyNumberFormat="1" applyFont="1"/>
    <xf numFmtId="166" fontId="12" fillId="0" borderId="0" xfId="0" applyNumberFormat="1" applyFont="1"/>
    <xf numFmtId="170" fontId="8" fillId="0" borderId="0" xfId="291" applyNumberFormat="1" applyFont="1"/>
    <xf numFmtId="0" fontId="30" fillId="0" borderId="0" xfId="288" quotePrefix="1" applyFont="1"/>
    <xf numFmtId="169" fontId="30" fillId="0" borderId="0" xfId="288" applyNumberFormat="1" applyFont="1"/>
    <xf numFmtId="168" fontId="8" fillId="0" borderId="0" xfId="290" applyNumberFormat="1" applyFont="1"/>
    <xf numFmtId="183" fontId="30" fillId="0" borderId="0" xfId="288" applyNumberFormat="1" applyFont="1"/>
    <xf numFmtId="0" fontId="50" fillId="0" borderId="0" xfId="287" applyFont="1"/>
    <xf numFmtId="172" fontId="39" fillId="0" borderId="0" xfId="291" applyNumberFormat="1" applyFont="1"/>
    <xf numFmtId="168" fontId="39" fillId="0" borderId="0" xfId="288" applyNumberFormat="1" applyFont="1"/>
    <xf numFmtId="10" fontId="8" fillId="0" borderId="0" xfId="290" applyNumberFormat="1" applyFont="1" applyAlignment="1">
      <alignment vertical="center"/>
    </xf>
    <xf numFmtId="0" fontId="53" fillId="0" borderId="0" xfId="288" applyFont="1"/>
    <xf numFmtId="0" fontId="39" fillId="0" borderId="0" xfId="288" applyFont="1"/>
    <xf numFmtId="10" fontId="30" fillId="2" borderId="0" xfId="288" applyNumberFormat="1" applyFont="1" applyFill="1"/>
    <xf numFmtId="168" fontId="8" fillId="2" borderId="0" xfId="290" applyNumberFormat="1" applyFont="1" applyFill="1"/>
    <xf numFmtId="9" fontId="8" fillId="0" borderId="0" xfId="290" applyFont="1"/>
    <xf numFmtId="170" fontId="39" fillId="0" borderId="0" xfId="291" applyNumberFormat="1" applyFont="1"/>
    <xf numFmtId="168" fontId="8" fillId="2" borderId="0" xfId="3" applyNumberFormat="1" applyFont="1" applyFill="1"/>
    <xf numFmtId="168" fontId="30" fillId="0" borderId="0" xfId="288" applyNumberFormat="1" applyFont="1"/>
    <xf numFmtId="184" fontId="54" fillId="0" borderId="0" xfId="288" applyNumberFormat="1" applyFont="1"/>
    <xf numFmtId="184" fontId="39" fillId="0" borderId="0" xfId="288" applyNumberFormat="1" applyFont="1"/>
    <xf numFmtId="0" fontId="30" fillId="0" borderId="0" xfId="288" applyFont="1" applyAlignment="1">
      <alignment vertical="center"/>
    </xf>
    <xf numFmtId="170" fontId="39" fillId="0" borderId="0" xfId="288" applyNumberFormat="1" applyFont="1"/>
    <xf numFmtId="173" fontId="39" fillId="0" borderId="0" xfId="288" applyNumberFormat="1" applyFont="1"/>
    <xf numFmtId="170" fontId="8" fillId="0" borderId="0" xfId="289" applyNumberFormat="1" applyFont="1"/>
    <xf numFmtId="170" fontId="30" fillId="0" borderId="0" xfId="288" applyNumberFormat="1" applyFont="1" applyAlignment="1">
      <alignment horizontal="left"/>
    </xf>
    <xf numFmtId="10" fontId="30" fillId="0" borderId="0" xfId="288" applyNumberFormat="1" applyFont="1" applyAlignment="1">
      <alignment horizontal="left"/>
    </xf>
    <xf numFmtId="0" fontId="30" fillId="0" borderId="36" xfId="288" applyFont="1" applyBorder="1" applyAlignment="1">
      <alignment horizontal="left"/>
    </xf>
    <xf numFmtId="0" fontId="30" fillId="0" borderId="2" xfId="288" applyFont="1" applyBorder="1"/>
    <xf numFmtId="0" fontId="39" fillId="0" borderId="0" xfId="288" applyFont="1" applyAlignment="1">
      <alignment vertical="center"/>
    </xf>
    <xf numFmtId="170" fontId="8" fillId="0" borderId="0" xfId="289" applyNumberFormat="1" applyFont="1" applyBorder="1"/>
    <xf numFmtId="170" fontId="8" fillId="2" borderId="0" xfId="289" applyNumberFormat="1" applyFont="1" applyFill="1" applyBorder="1"/>
    <xf numFmtId="170" fontId="8" fillId="2" borderId="39" xfId="289" applyNumberFormat="1" applyFont="1" applyFill="1" applyBorder="1"/>
    <xf numFmtId="43" fontId="30" fillId="0" borderId="0" xfId="288" applyNumberFormat="1" applyFont="1"/>
    <xf numFmtId="0" fontId="39" fillId="0" borderId="36" xfId="288" applyFont="1" applyBorder="1" applyAlignment="1">
      <alignment vertical="center"/>
    </xf>
    <xf numFmtId="170" fontId="8" fillId="0" borderId="36" xfId="289" applyNumberFormat="1" applyFont="1" applyBorder="1"/>
    <xf numFmtId="170" fontId="30" fillId="4" borderId="36" xfId="288" applyNumberFormat="1" applyFont="1" applyFill="1" applyBorder="1"/>
    <xf numFmtId="170" fontId="30" fillId="4" borderId="37" xfId="288" applyNumberFormat="1" applyFont="1" applyFill="1" applyBorder="1"/>
    <xf numFmtId="170" fontId="8" fillId="0" borderId="0" xfId="289" applyNumberFormat="1" applyFont="1" applyFill="1" applyBorder="1"/>
    <xf numFmtId="170" fontId="8" fillId="0" borderId="39" xfId="289" applyNumberFormat="1" applyFont="1" applyFill="1" applyBorder="1"/>
    <xf numFmtId="170" fontId="8" fillId="0" borderId="39" xfId="289" applyNumberFormat="1" applyFont="1" applyBorder="1"/>
    <xf numFmtId="0" fontId="39" fillId="0" borderId="1" xfId="288" applyFont="1" applyBorder="1" applyAlignment="1">
      <alignment vertical="center"/>
    </xf>
    <xf numFmtId="170" fontId="8" fillId="0" borderId="1" xfId="289" applyNumberFormat="1" applyFont="1" applyBorder="1"/>
    <xf numFmtId="170" fontId="8" fillId="0" borderId="41" xfId="289" applyNumberFormat="1" applyFont="1" applyBorder="1"/>
    <xf numFmtId="172" fontId="30" fillId="0" borderId="0" xfId="288" applyNumberFormat="1" applyFont="1"/>
    <xf numFmtId="172" fontId="30" fillId="0" borderId="39" xfId="288" applyNumberFormat="1" applyFont="1" applyBorder="1"/>
    <xf numFmtId="166" fontId="30" fillId="0" borderId="36" xfId="288" applyNumberFormat="1" applyFont="1" applyBorder="1"/>
    <xf numFmtId="172" fontId="30" fillId="0" borderId="36" xfId="288" applyNumberFormat="1" applyFont="1" applyBorder="1"/>
    <xf numFmtId="0" fontId="30" fillId="0" borderId="38" xfId="288" applyFont="1" applyBorder="1" applyAlignment="1">
      <alignment horizontal="center" vertical="center" wrapText="1"/>
    </xf>
    <xf numFmtId="10" fontId="8" fillId="0" borderId="0" xfId="290" applyNumberFormat="1" applyFont="1" applyBorder="1"/>
    <xf numFmtId="168" fontId="8" fillId="0" borderId="0" xfId="295" applyNumberFormat="1" applyFont="1" applyBorder="1"/>
    <xf numFmtId="10" fontId="8" fillId="0" borderId="39" xfId="290" applyNumberFormat="1" applyFont="1" applyBorder="1"/>
    <xf numFmtId="168" fontId="8" fillId="0" borderId="0" xfId="290" applyNumberFormat="1" applyFont="1" applyBorder="1"/>
    <xf numFmtId="168" fontId="8" fillId="2" borderId="0" xfId="290" applyNumberFormat="1" applyFont="1" applyFill="1" applyBorder="1"/>
    <xf numFmtId="168" fontId="8" fillId="2" borderId="39" xfId="290" applyNumberFormat="1" applyFont="1" applyFill="1" applyBorder="1"/>
    <xf numFmtId="10" fontId="8" fillId="0" borderId="0" xfId="3" applyNumberFormat="1" applyFont="1" applyBorder="1"/>
    <xf numFmtId="168" fontId="30" fillId="0" borderId="39" xfId="288" applyNumberFormat="1" applyFont="1" applyBorder="1"/>
    <xf numFmtId="168" fontId="8" fillId="0" borderId="1" xfId="290" applyNumberFormat="1" applyFont="1" applyBorder="1"/>
    <xf numFmtId="10" fontId="30" fillId="0" borderId="35" xfId="294" applyNumberFormat="1" applyFont="1" applyBorder="1" applyAlignment="1">
      <alignment horizontal="center" vertical="center"/>
    </xf>
    <xf numFmtId="0" fontId="30" fillId="0" borderId="36" xfId="294" applyFont="1" applyBorder="1"/>
    <xf numFmtId="168" fontId="8" fillId="0" borderId="36" xfId="295" applyNumberFormat="1" applyFont="1" applyBorder="1"/>
    <xf numFmtId="168" fontId="30" fillId="0" borderId="36" xfId="294" applyNumberFormat="1" applyFont="1" applyBorder="1"/>
    <xf numFmtId="168" fontId="30" fillId="0" borderId="37" xfId="294" applyNumberFormat="1" applyFont="1" applyBorder="1"/>
    <xf numFmtId="10" fontId="30" fillId="0" borderId="38" xfId="294" applyNumberFormat="1" applyFont="1" applyBorder="1" applyAlignment="1">
      <alignment horizontal="center" vertical="center"/>
    </xf>
    <xf numFmtId="0" fontId="30" fillId="0" borderId="0" xfId="294" applyFont="1"/>
    <xf numFmtId="10" fontId="30" fillId="0" borderId="0" xfId="3" applyNumberFormat="1" applyFont="1" applyBorder="1"/>
    <xf numFmtId="0" fontId="39" fillId="0" borderId="1" xfId="288" applyFont="1" applyBorder="1"/>
    <xf numFmtId="181" fontId="8" fillId="0" borderId="0" xfId="290" applyNumberFormat="1" applyFont="1" applyAlignment="1">
      <alignment horizontal="center"/>
    </xf>
    <xf numFmtId="0" fontId="30" fillId="0" borderId="0" xfId="288" applyFont="1" applyAlignment="1">
      <alignment horizontal="left"/>
    </xf>
    <xf numFmtId="166" fontId="30" fillId="0" borderId="0" xfId="288" applyNumberFormat="1" applyFont="1"/>
    <xf numFmtId="43" fontId="30" fillId="0" borderId="37" xfId="288" applyNumberFormat="1" applyFont="1" applyBorder="1"/>
    <xf numFmtId="170" fontId="30" fillId="0" borderId="38" xfId="288" applyNumberFormat="1" applyFont="1" applyBorder="1"/>
    <xf numFmtId="170" fontId="30" fillId="0" borderId="52" xfId="288" applyNumberFormat="1" applyFont="1" applyBorder="1"/>
    <xf numFmtId="10" fontId="30" fillId="0" borderId="2" xfId="288" applyNumberFormat="1" applyFont="1" applyBorder="1"/>
    <xf numFmtId="170" fontId="30" fillId="0" borderId="40" xfId="288" applyNumberFormat="1" applyFont="1" applyBorder="1"/>
    <xf numFmtId="170" fontId="30" fillId="0" borderId="51" xfId="288" applyNumberFormat="1" applyFont="1" applyBorder="1"/>
    <xf numFmtId="168" fontId="30" fillId="0" borderId="38" xfId="3" applyNumberFormat="1" applyFont="1" applyBorder="1"/>
    <xf numFmtId="168" fontId="30" fillId="0" borderId="52" xfId="3" applyNumberFormat="1" applyFont="1" applyBorder="1"/>
    <xf numFmtId="168" fontId="30" fillId="0" borderId="40" xfId="3" applyNumberFormat="1" applyFont="1" applyBorder="1"/>
    <xf numFmtId="168" fontId="30" fillId="0" borderId="51" xfId="3" applyNumberFormat="1" applyFont="1" applyBorder="1"/>
    <xf numFmtId="170" fontId="30" fillId="0" borderId="2" xfId="288" applyNumberFormat="1" applyFont="1" applyBorder="1"/>
    <xf numFmtId="0" fontId="39" fillId="0" borderId="40" xfId="288" applyFont="1" applyBorder="1"/>
    <xf numFmtId="170" fontId="39" fillId="0" borderId="2" xfId="288" applyNumberFormat="1" applyFont="1" applyBorder="1"/>
    <xf numFmtId="166" fontId="30" fillId="0" borderId="2" xfId="288" applyNumberFormat="1" applyFont="1" applyBorder="1"/>
    <xf numFmtId="0" fontId="54" fillId="0" borderId="2" xfId="288" applyFont="1" applyBorder="1"/>
    <xf numFmtId="170" fontId="54" fillId="0" borderId="2" xfId="288" applyNumberFormat="1" applyFont="1" applyBorder="1"/>
    <xf numFmtId="168" fontId="54" fillId="0" borderId="2" xfId="288" applyNumberFormat="1" applyFont="1" applyBorder="1"/>
    <xf numFmtId="10" fontId="54" fillId="0" borderId="2" xfId="288" applyNumberFormat="1" applyFont="1" applyBorder="1"/>
    <xf numFmtId="170" fontId="55" fillId="0" borderId="2" xfId="288" applyNumberFormat="1" applyFont="1" applyBorder="1"/>
    <xf numFmtId="9" fontId="8" fillId="0" borderId="0" xfId="290" applyFont="1" applyAlignment="1">
      <alignment horizontal="center"/>
    </xf>
    <xf numFmtId="173" fontId="30" fillId="0" borderId="2" xfId="288" applyNumberFormat="1" applyFont="1" applyBorder="1"/>
    <xf numFmtId="168" fontId="8" fillId="0" borderId="0" xfId="0" applyNumberFormat="1" applyFont="1"/>
    <xf numFmtId="0" fontId="49" fillId="0" borderId="0" xfId="0" applyFont="1"/>
    <xf numFmtId="0" fontId="49" fillId="0" borderId="0" xfId="0" applyFont="1" applyAlignment="1">
      <alignment horizontal="left"/>
    </xf>
    <xf numFmtId="170" fontId="49" fillId="0" borderId="0" xfId="1" applyNumberFormat="1" applyFont="1"/>
    <xf numFmtId="170" fontId="49" fillId="0" borderId="0" xfId="0" applyNumberFormat="1" applyFont="1"/>
    <xf numFmtId="0" fontId="49" fillId="0" borderId="0" xfId="0" applyFont="1" applyAlignment="1" applyProtection="1">
      <alignment horizontal="left" vertical="center"/>
      <protection locked="0"/>
    </xf>
    <xf numFmtId="170" fontId="49" fillId="0" borderId="0" xfId="1" applyNumberFormat="1" applyFont="1" applyFill="1"/>
    <xf numFmtId="0" fontId="30" fillId="0" borderId="0" xfId="0" applyFont="1" applyAlignment="1" applyProtection="1">
      <alignment horizontal="left" vertical="center"/>
      <protection locked="0"/>
    </xf>
    <xf numFmtId="170" fontId="49" fillId="2" borderId="0" xfId="1" applyNumberFormat="1" applyFont="1" applyFill="1"/>
    <xf numFmtId="170" fontId="49" fillId="0" borderId="0" xfId="1" applyNumberFormat="1" applyFont="1" applyFill="1" applyBorder="1"/>
    <xf numFmtId="173" fontId="8" fillId="0" borderId="0" xfId="1" applyNumberFormat="1" applyFont="1"/>
    <xf numFmtId="2" fontId="49" fillId="0" borderId="0" xfId="0" applyNumberFormat="1" applyFont="1"/>
    <xf numFmtId="172" fontId="49" fillId="0" borderId="0" xfId="1" applyNumberFormat="1" applyFont="1"/>
    <xf numFmtId="166" fontId="49" fillId="0" borderId="0" xfId="0" applyNumberFormat="1" applyFont="1"/>
    <xf numFmtId="0" fontId="11" fillId="0" borderId="0" xfId="0" applyFont="1" applyAlignment="1">
      <alignment horizontal="right"/>
    </xf>
    <xf numFmtId="0" fontId="8" fillId="0" borderId="0" xfId="0" applyFont="1" applyAlignment="1">
      <alignment horizontal="right"/>
    </xf>
    <xf numFmtId="170" fontId="44" fillId="0" borderId="0" xfId="1" applyNumberFormat="1" applyFont="1"/>
    <xf numFmtId="169" fontId="12" fillId="0" borderId="0" xfId="0" applyNumberFormat="1" applyFont="1"/>
    <xf numFmtId="0" fontId="11" fillId="0" borderId="0" xfId="0" applyFont="1"/>
    <xf numFmtId="2" fontId="8" fillId="0" borderId="0" xfId="0" applyNumberFormat="1" applyFont="1"/>
    <xf numFmtId="166" fontId="8" fillId="0" borderId="0" xfId="1" applyFont="1" applyAlignment="1">
      <alignment horizontal="center"/>
    </xf>
    <xf numFmtId="0" fontId="56" fillId="0" borderId="0" xfId="287" applyFont="1"/>
    <xf numFmtId="0" fontId="8" fillId="0" borderId="35" xfId="0" applyFont="1" applyBorder="1"/>
    <xf numFmtId="0" fontId="8" fillId="0" borderId="36" xfId="0" applyFont="1" applyBorder="1" applyAlignment="1">
      <alignment horizontal="center"/>
    </xf>
    <xf numFmtId="0" fontId="8" fillId="0" borderId="36" xfId="0" applyFont="1" applyBorder="1"/>
    <xf numFmtId="0" fontId="8" fillId="0" borderId="37" xfId="0" applyFont="1" applyBorder="1" applyAlignment="1">
      <alignment horizontal="center"/>
    </xf>
    <xf numFmtId="0" fontId="8" fillId="0" borderId="38" xfId="0" applyFont="1" applyBorder="1"/>
    <xf numFmtId="15" fontId="41" fillId="0" borderId="0" xfId="0" applyNumberFormat="1" applyFont="1" applyAlignment="1">
      <alignment horizontal="right" vertical="center"/>
    </xf>
    <xf numFmtId="15" fontId="8" fillId="0" borderId="0" xfId="0" applyNumberFormat="1" applyFont="1" applyAlignment="1">
      <alignment horizontal="center"/>
    </xf>
    <xf numFmtId="0" fontId="8" fillId="0" borderId="39" xfId="0" applyFont="1" applyBorder="1"/>
    <xf numFmtId="10" fontId="8" fillId="0" borderId="39" xfId="0" applyNumberFormat="1" applyFont="1" applyBorder="1"/>
    <xf numFmtId="168" fontId="8" fillId="0" borderId="0" xfId="3" applyNumberFormat="1" applyFont="1" applyBorder="1"/>
    <xf numFmtId="168" fontId="8" fillId="0" borderId="0" xfId="3" applyNumberFormat="1" applyFont="1" applyFill="1" applyBorder="1"/>
    <xf numFmtId="0" fontId="8" fillId="0" borderId="38" xfId="4" applyBorder="1"/>
    <xf numFmtId="0" fontId="8" fillId="0" borderId="40" xfId="0" applyFont="1" applyBorder="1"/>
    <xf numFmtId="168" fontId="8" fillId="0" borderId="1" xfId="0" applyNumberFormat="1" applyFont="1" applyBorder="1"/>
    <xf numFmtId="0" fontId="8" fillId="0" borderId="1" xfId="4" applyBorder="1"/>
    <xf numFmtId="10" fontId="8" fillId="0" borderId="1" xfId="0" applyNumberFormat="1" applyFont="1" applyBorder="1"/>
    <xf numFmtId="10" fontId="8" fillId="0" borderId="41" xfId="0" applyNumberFormat="1" applyFont="1" applyBorder="1"/>
    <xf numFmtId="17" fontId="43" fillId="0" borderId="0" xfId="0" applyNumberFormat="1" applyFont="1" applyAlignment="1">
      <alignment horizontal="left" vertical="center" wrapText="1"/>
    </xf>
    <xf numFmtId="4" fontId="43" fillId="0" borderId="0" xfId="0" applyNumberFormat="1" applyFont="1" applyAlignment="1">
      <alignment horizontal="right" vertical="center"/>
    </xf>
    <xf numFmtId="4" fontId="56" fillId="0" borderId="0" xfId="287" applyNumberFormat="1" applyFont="1" applyAlignment="1">
      <alignment horizontal="left" vertical="center"/>
    </xf>
    <xf numFmtId="4" fontId="43" fillId="0" borderId="0" xfId="0" applyNumberFormat="1" applyFont="1" applyAlignment="1">
      <alignment horizontal="left" vertical="center"/>
    </xf>
    <xf numFmtId="167" fontId="8" fillId="0" borderId="0" xfId="4" applyNumberFormat="1"/>
    <xf numFmtId="10" fontId="8" fillId="0" borderId="0" xfId="4" applyNumberFormat="1"/>
    <xf numFmtId="181" fontId="8" fillId="0" borderId="0" xfId="3" applyNumberFormat="1" applyFont="1"/>
    <xf numFmtId="182" fontId="8" fillId="0" borderId="0" xfId="0" applyNumberFormat="1" applyFont="1"/>
    <xf numFmtId="170" fontId="57" fillId="0" borderId="0" xfId="1" applyNumberFormat="1" applyFont="1"/>
    <xf numFmtId="2" fontId="57" fillId="0" borderId="0" xfId="0" applyNumberFormat="1" applyFont="1"/>
    <xf numFmtId="0" fontId="43" fillId="0" borderId="0" xfId="0" applyFont="1" applyAlignment="1">
      <alignment horizontal="right" vertical="center"/>
    </xf>
    <xf numFmtId="14" fontId="52" fillId="0" borderId="0" xfId="0" applyNumberFormat="1" applyFont="1"/>
    <xf numFmtId="172" fontId="57" fillId="0" borderId="0" xfId="1" applyNumberFormat="1" applyFont="1"/>
    <xf numFmtId="14" fontId="57" fillId="0" borderId="0" xfId="0" applyNumberFormat="1" applyFont="1"/>
    <xf numFmtId="0" fontId="57" fillId="0" borderId="0" xfId="0" applyFont="1"/>
    <xf numFmtId="170" fontId="8" fillId="0" borderId="0" xfId="1" applyNumberFormat="1" applyFont="1" applyAlignment="1">
      <alignment horizontal="right" wrapText="1"/>
    </xf>
    <xf numFmtId="170" fontId="8" fillId="39" borderId="0" xfId="1" applyNumberFormat="1" applyFont="1" applyFill="1" applyAlignment="1">
      <alignment horizontal="right" wrapText="1"/>
    </xf>
    <xf numFmtId="0" fontId="8" fillId="3" borderId="0" xfId="0" applyFont="1" applyFill="1"/>
    <xf numFmtId="0" fontId="47" fillId="40" borderId="46" xfId="288" applyFont="1" applyFill="1" applyBorder="1" applyAlignment="1">
      <alignment horizontal="center"/>
    </xf>
    <xf numFmtId="0" fontId="47" fillId="40" borderId="47" xfId="288" applyFont="1" applyFill="1" applyBorder="1" applyAlignment="1">
      <alignment horizontal="center"/>
    </xf>
    <xf numFmtId="0" fontId="47" fillId="40" borderId="48" xfId="288" applyFont="1" applyFill="1" applyBorder="1" applyAlignment="1">
      <alignment horizontal="center"/>
    </xf>
    <xf numFmtId="170" fontId="30" fillId="0" borderId="17" xfId="291" applyNumberFormat="1" applyFont="1" applyFill="1" applyBorder="1" applyAlignment="1">
      <alignment horizontal="right" vertical="center"/>
    </xf>
    <xf numFmtId="170" fontId="30" fillId="0" borderId="22" xfId="291" applyNumberFormat="1" applyFont="1" applyFill="1" applyBorder="1" applyAlignment="1">
      <alignment horizontal="right" vertical="center"/>
    </xf>
    <xf numFmtId="172" fontId="8" fillId="0" borderId="23" xfId="291" applyNumberFormat="1" applyFont="1" applyBorder="1" applyAlignment="1">
      <alignment vertical="center"/>
    </xf>
    <xf numFmtId="170" fontId="30" fillId="0" borderId="24" xfId="291" applyNumberFormat="1" applyFont="1" applyBorder="1" applyAlignment="1">
      <alignment vertical="center"/>
    </xf>
    <xf numFmtId="0" fontId="58" fillId="3" borderId="0" xfId="0" applyFont="1" applyFill="1" applyAlignment="1">
      <alignment horizontal="center"/>
    </xf>
    <xf numFmtId="0" fontId="8" fillId="0" borderId="0" xfId="0" applyFont="1" applyAlignment="1">
      <alignment horizontal="center"/>
    </xf>
    <xf numFmtId="166" fontId="8" fillId="0" borderId="0" xfId="1" applyFont="1" applyAlignment="1">
      <alignment horizontal="center"/>
    </xf>
    <xf numFmtId="0" fontId="30" fillId="0" borderId="0" xfId="288" applyFont="1" applyAlignment="1">
      <alignment horizontal="center"/>
    </xf>
    <xf numFmtId="0" fontId="30" fillId="0" borderId="18" xfId="288" applyFont="1" applyBorder="1" applyAlignment="1">
      <alignment horizontal="center"/>
    </xf>
    <xf numFmtId="0" fontId="30" fillId="0" borderId="19" xfId="288" applyFont="1" applyBorder="1" applyAlignment="1">
      <alignment horizontal="center"/>
    </xf>
    <xf numFmtId="0" fontId="30" fillId="0" borderId="20" xfId="288" applyFont="1" applyBorder="1" applyAlignment="1">
      <alignment horizontal="center"/>
    </xf>
    <xf numFmtId="0" fontId="30" fillId="0" borderId="35" xfId="288" applyFont="1" applyBorder="1" applyAlignment="1">
      <alignment horizontal="center" vertical="center" wrapText="1"/>
    </xf>
    <xf numFmtId="0" fontId="30" fillId="0" borderId="36" xfId="288" applyFont="1" applyBorder="1" applyAlignment="1">
      <alignment horizontal="center" vertical="center" wrapText="1"/>
    </xf>
    <xf numFmtId="0" fontId="30" fillId="0" borderId="37" xfId="288" applyFont="1" applyBorder="1" applyAlignment="1">
      <alignment horizontal="center" vertical="center" wrapText="1"/>
    </xf>
    <xf numFmtId="0" fontId="30" fillId="0" borderId="38" xfId="288" applyFont="1" applyBorder="1" applyAlignment="1">
      <alignment horizontal="center" vertical="center" wrapText="1"/>
    </xf>
    <xf numFmtId="0" fontId="30" fillId="0" borderId="40" xfId="288" applyFont="1" applyBorder="1" applyAlignment="1">
      <alignment horizontal="center" vertical="center" wrapText="1"/>
    </xf>
    <xf numFmtId="10" fontId="30" fillId="0" borderId="35" xfId="294" applyNumberFormat="1" applyFont="1" applyBorder="1" applyAlignment="1">
      <alignment horizontal="center" vertical="center"/>
    </xf>
    <xf numFmtId="10" fontId="30" fillId="0" borderId="38" xfId="294" applyNumberFormat="1" applyFont="1" applyBorder="1" applyAlignment="1">
      <alignment horizontal="center" vertical="center"/>
    </xf>
    <xf numFmtId="10" fontId="30" fillId="0" borderId="40" xfId="294" applyNumberFormat="1" applyFont="1" applyBorder="1" applyAlignment="1">
      <alignment horizontal="center" vertical="center"/>
    </xf>
    <xf numFmtId="0" fontId="30" fillId="0" borderId="2" xfId="288" applyFont="1" applyBorder="1" applyAlignment="1">
      <alignment horizontal="center"/>
    </xf>
    <xf numFmtId="170" fontId="39" fillId="0" borderId="38" xfId="288" applyNumberFormat="1" applyFont="1" applyBorder="1" applyAlignment="1">
      <alignment horizontal="center"/>
    </xf>
    <xf numFmtId="170" fontId="39" fillId="0" borderId="0" xfId="288" applyNumberFormat="1" applyFont="1" applyAlignment="1">
      <alignment horizontal="center"/>
    </xf>
    <xf numFmtId="0" fontId="30" fillId="0" borderId="38" xfId="288" applyFont="1" applyBorder="1" applyAlignment="1">
      <alignment horizontal="center"/>
    </xf>
    <xf numFmtId="0" fontId="30" fillId="0" borderId="0" xfId="288" applyFont="1" applyAlignment="1">
      <alignment horizontal="center" vertical="center" wrapText="1"/>
    </xf>
    <xf numFmtId="10" fontId="8" fillId="0" borderId="0" xfId="290" applyNumberFormat="1" applyFont="1" applyAlignment="1">
      <alignment horizontal="center" vertical="center"/>
    </xf>
    <xf numFmtId="0" fontId="38" fillId="40" borderId="35" xfId="4" applyFont="1" applyFill="1" applyBorder="1" applyAlignment="1">
      <alignment horizontal="center" vertical="center"/>
    </xf>
    <xf numFmtId="0" fontId="38" fillId="40" borderId="37" xfId="4" applyFont="1" applyFill="1" applyBorder="1" applyAlignment="1">
      <alignment horizontal="center" vertical="center"/>
    </xf>
    <xf numFmtId="0" fontId="46" fillId="40" borderId="0" xfId="5" applyFont="1" applyFill="1" applyAlignment="1">
      <alignment horizontal="center"/>
    </xf>
    <xf numFmtId="0" fontId="30" fillId="0" borderId="0" xfId="5" applyFont="1"/>
    <xf numFmtId="0" fontId="38" fillId="40" borderId="0" xfId="4" applyFont="1" applyFill="1" applyAlignment="1">
      <alignment horizontal="center"/>
    </xf>
    <xf numFmtId="0" fontId="38" fillId="40" borderId="0" xfId="4" applyFont="1" applyFill="1" applyAlignment="1">
      <alignment horizontal="center" wrapText="1"/>
    </xf>
    <xf numFmtId="0" fontId="47" fillId="40" borderId="54" xfId="288" applyFont="1" applyFill="1" applyBorder="1" applyAlignment="1">
      <alignment horizontal="center"/>
    </xf>
    <xf numFmtId="0" fontId="47" fillId="40" borderId="55" xfId="288" applyFont="1" applyFill="1" applyBorder="1" applyAlignment="1">
      <alignment horizontal="center"/>
    </xf>
    <xf numFmtId="0" fontId="47" fillId="40" borderId="45" xfId="288" applyFont="1" applyFill="1" applyBorder="1" applyAlignment="1">
      <alignment horizontal="center"/>
    </xf>
    <xf numFmtId="0" fontId="47" fillId="40" borderId="15" xfId="288" applyFont="1" applyFill="1" applyBorder="1" applyAlignment="1">
      <alignment horizontal="center"/>
    </xf>
    <xf numFmtId="0" fontId="47" fillId="40" borderId="1" xfId="288" applyFont="1" applyFill="1" applyBorder="1" applyAlignment="1">
      <alignment horizontal="center"/>
    </xf>
    <xf numFmtId="0" fontId="47" fillId="40" borderId="16" xfId="288" applyFont="1" applyFill="1" applyBorder="1" applyAlignment="1">
      <alignment horizontal="center"/>
    </xf>
    <xf numFmtId="0" fontId="46" fillId="40" borderId="12" xfId="288" applyFont="1" applyFill="1" applyBorder="1" applyAlignment="1">
      <alignment horizontal="center"/>
    </xf>
    <xf numFmtId="0" fontId="46" fillId="40" borderId="13" xfId="288" applyFont="1" applyFill="1" applyBorder="1" applyAlignment="1">
      <alignment horizontal="center"/>
    </xf>
    <xf numFmtId="0" fontId="46" fillId="40" borderId="14" xfId="288" applyFont="1" applyFill="1" applyBorder="1" applyAlignment="1">
      <alignment horizontal="center"/>
    </xf>
    <xf numFmtId="0" fontId="46" fillId="40" borderId="17" xfId="288" applyFont="1" applyFill="1" applyBorder="1" applyAlignment="1">
      <alignment horizontal="center" vertical="center"/>
    </xf>
    <xf numFmtId="0" fontId="47" fillId="40" borderId="18" xfId="288" applyFont="1" applyFill="1" applyBorder="1" applyAlignment="1">
      <alignment horizontal="center" vertical="center"/>
    </xf>
    <xf numFmtId="0" fontId="47" fillId="40" borderId="19" xfId="288" applyFont="1" applyFill="1" applyBorder="1" applyAlignment="1">
      <alignment horizontal="center" vertical="center"/>
    </xf>
    <xf numFmtId="0" fontId="47" fillId="40" borderId="20" xfId="288" applyFont="1" applyFill="1" applyBorder="1" applyAlignment="1">
      <alignment horizontal="center" vertical="center"/>
    </xf>
    <xf numFmtId="175" fontId="47" fillId="40" borderId="18" xfId="288" applyNumberFormat="1" applyFont="1" applyFill="1" applyBorder="1" applyAlignment="1">
      <alignment horizontal="center" vertical="center" wrapText="1"/>
    </xf>
    <xf numFmtId="175" fontId="47" fillId="40" borderId="19" xfId="288" applyNumberFormat="1" applyFont="1" applyFill="1" applyBorder="1" applyAlignment="1">
      <alignment horizontal="center" vertical="center" wrapText="1"/>
    </xf>
    <xf numFmtId="175" fontId="47" fillId="40" borderId="20" xfId="288" applyNumberFormat="1" applyFont="1" applyFill="1" applyBorder="1" applyAlignment="1">
      <alignment horizontal="center" vertical="center" wrapText="1"/>
    </xf>
    <xf numFmtId="175" fontId="47" fillId="40" borderId="25" xfId="288" applyNumberFormat="1" applyFont="1" applyFill="1" applyBorder="1" applyAlignment="1">
      <alignment horizontal="center" vertical="center" wrapText="1"/>
    </xf>
    <xf numFmtId="0" fontId="38" fillId="40" borderId="46" xfId="4" applyFont="1" applyFill="1" applyBorder="1" applyAlignment="1">
      <alignment horizontal="center"/>
    </xf>
    <xf numFmtId="0" fontId="38" fillId="40" borderId="53" xfId="4" applyFont="1" applyFill="1" applyBorder="1" applyAlignment="1">
      <alignment horizontal="center"/>
    </xf>
    <xf numFmtId="0" fontId="38" fillId="40" borderId="47" xfId="4" applyFont="1" applyFill="1" applyBorder="1" applyAlignment="1">
      <alignment horizontal="center"/>
    </xf>
    <xf numFmtId="0" fontId="38" fillId="40" borderId="48" xfId="4" applyFont="1" applyFill="1" applyBorder="1" applyAlignment="1">
      <alignment horizontal="center"/>
    </xf>
    <xf numFmtId="166" fontId="0" fillId="0" borderId="0" xfId="1" applyFont="1"/>
    <xf numFmtId="170" fontId="0" fillId="0" borderId="0" xfId="1" applyNumberFormat="1" applyFont="1"/>
    <xf numFmtId="166" fontId="0" fillId="0" borderId="0" xfId="1" applyNumberFormat="1" applyFont="1"/>
    <xf numFmtId="187" fontId="0" fillId="0" borderId="0" xfId="1" applyNumberFormat="1" applyFont="1"/>
  </cellXfs>
  <cellStyles count="297">
    <cellStyle name="$" xfId="13" xr:uid="{00000000-0005-0000-0000-000000000000}"/>
    <cellStyle name="$.00" xfId="14" xr:uid="{00000000-0005-0000-0000-000001000000}"/>
    <cellStyle name="$_9. Rev2Cost_GDPIPI" xfId="15" xr:uid="{00000000-0005-0000-0000-000002000000}"/>
    <cellStyle name="$_9. Rev2Cost_GDPIPI 2" xfId="16" xr:uid="{00000000-0005-0000-0000-000003000000}"/>
    <cellStyle name="$_9. Rev2Cost_GDPIPI_6.2 CBR B" xfId="17" xr:uid="{00000000-0005-0000-0000-000004000000}"/>
    <cellStyle name="$_9. Rev2Cost_GDPIPI_9. Shared Tax - Rate Rider" xfId="18" xr:uid="{00000000-0005-0000-0000-000005000000}"/>
    <cellStyle name="$_lists" xfId="19" xr:uid="{00000000-0005-0000-0000-000006000000}"/>
    <cellStyle name="$_lists 2" xfId="20" xr:uid="{00000000-0005-0000-0000-000007000000}"/>
    <cellStyle name="$_lists_4. Current Monthly Fixed Charge" xfId="21" xr:uid="{00000000-0005-0000-0000-000008000000}"/>
    <cellStyle name="$_lists_6.2 CBR B" xfId="22" xr:uid="{00000000-0005-0000-0000-000009000000}"/>
    <cellStyle name="$_lists_9. Shared Tax - Rate Rider" xfId="23" xr:uid="{00000000-0005-0000-0000-00000A000000}"/>
    <cellStyle name="$_Sheet4" xfId="24" xr:uid="{00000000-0005-0000-0000-00000B000000}"/>
    <cellStyle name="$_Sheet4 2" xfId="25" xr:uid="{00000000-0005-0000-0000-00000C000000}"/>
    <cellStyle name="$_Sheet4_6.2 CBR B" xfId="26" xr:uid="{00000000-0005-0000-0000-00000D000000}"/>
    <cellStyle name="$_Sheet4_9. Shared Tax - Rate Rider" xfId="27" xr:uid="{00000000-0005-0000-0000-00000E000000}"/>
    <cellStyle name="$M" xfId="28" xr:uid="{00000000-0005-0000-0000-00000F000000}"/>
    <cellStyle name="$M.00" xfId="29" xr:uid="{00000000-0005-0000-0000-000010000000}"/>
    <cellStyle name="$M_9. Rev2Cost_GDPIPI" xfId="30" xr:uid="{00000000-0005-0000-0000-000011000000}"/>
    <cellStyle name="20% - Accent1 2" xfId="31" xr:uid="{00000000-0005-0000-0000-000012000000}"/>
    <cellStyle name="20% - Accent1 2 2" xfId="32" xr:uid="{00000000-0005-0000-0000-000013000000}"/>
    <cellStyle name="20% - Accent1 2_6.2 CBR B" xfId="33" xr:uid="{00000000-0005-0000-0000-000014000000}"/>
    <cellStyle name="20% - Accent1 3" xfId="34" xr:uid="{00000000-0005-0000-0000-000015000000}"/>
    <cellStyle name="20% - Accent2 2" xfId="35" xr:uid="{00000000-0005-0000-0000-000016000000}"/>
    <cellStyle name="20% - Accent2 2 2" xfId="36" xr:uid="{00000000-0005-0000-0000-000017000000}"/>
    <cellStyle name="20% - Accent2 2_6.2 CBR B" xfId="37" xr:uid="{00000000-0005-0000-0000-000018000000}"/>
    <cellStyle name="20% - Accent2 3" xfId="38" xr:uid="{00000000-0005-0000-0000-000019000000}"/>
    <cellStyle name="20% - Accent3 2" xfId="39" xr:uid="{00000000-0005-0000-0000-00001A000000}"/>
    <cellStyle name="20% - Accent3 2 2" xfId="40" xr:uid="{00000000-0005-0000-0000-00001B000000}"/>
    <cellStyle name="20% - Accent3 2_6.2 CBR B" xfId="41" xr:uid="{00000000-0005-0000-0000-00001C000000}"/>
    <cellStyle name="20% - Accent3 3" xfId="42" xr:uid="{00000000-0005-0000-0000-00001D000000}"/>
    <cellStyle name="20% - Accent4 2" xfId="43" xr:uid="{00000000-0005-0000-0000-00001E000000}"/>
    <cellStyle name="20% - Accent4 2 2" xfId="44" xr:uid="{00000000-0005-0000-0000-00001F000000}"/>
    <cellStyle name="20% - Accent4 2_6.2 CBR B" xfId="45" xr:uid="{00000000-0005-0000-0000-000020000000}"/>
    <cellStyle name="20% - Accent4 3" xfId="46" xr:uid="{00000000-0005-0000-0000-000021000000}"/>
    <cellStyle name="20% - Accent5 2" xfId="47" xr:uid="{00000000-0005-0000-0000-000022000000}"/>
    <cellStyle name="20% - Accent5 2 2" xfId="48" xr:uid="{00000000-0005-0000-0000-000023000000}"/>
    <cellStyle name="20% - Accent5 2_6.2 CBR B" xfId="49" xr:uid="{00000000-0005-0000-0000-000024000000}"/>
    <cellStyle name="20% - Accent5 3" xfId="50" xr:uid="{00000000-0005-0000-0000-000025000000}"/>
    <cellStyle name="20% - Accent6 2" xfId="51" xr:uid="{00000000-0005-0000-0000-000026000000}"/>
    <cellStyle name="20% - Accent6 2 2" xfId="52" xr:uid="{00000000-0005-0000-0000-000027000000}"/>
    <cellStyle name="20% - Accent6 2_6.2 CBR B" xfId="53" xr:uid="{00000000-0005-0000-0000-000028000000}"/>
    <cellStyle name="20% - Accent6 3" xfId="54" xr:uid="{00000000-0005-0000-0000-000029000000}"/>
    <cellStyle name="40% - Accent1 2" xfId="55" xr:uid="{00000000-0005-0000-0000-00002A000000}"/>
    <cellStyle name="40% - Accent1 2 2" xfId="56" xr:uid="{00000000-0005-0000-0000-00002B000000}"/>
    <cellStyle name="40% - Accent1 2_6.2 CBR B" xfId="57" xr:uid="{00000000-0005-0000-0000-00002C000000}"/>
    <cellStyle name="40% - Accent1 3" xfId="58" xr:uid="{00000000-0005-0000-0000-00002D000000}"/>
    <cellStyle name="40% - Accent2 2" xfId="59" xr:uid="{00000000-0005-0000-0000-00002E000000}"/>
    <cellStyle name="40% - Accent2 2 2" xfId="60" xr:uid="{00000000-0005-0000-0000-00002F000000}"/>
    <cellStyle name="40% - Accent2 2_6.2 CBR B" xfId="61" xr:uid="{00000000-0005-0000-0000-000030000000}"/>
    <cellStyle name="40% - Accent2 3" xfId="62" xr:uid="{00000000-0005-0000-0000-000031000000}"/>
    <cellStyle name="40% - Accent3 2" xfId="63" xr:uid="{00000000-0005-0000-0000-000032000000}"/>
    <cellStyle name="40% - Accent3 2 2" xfId="64" xr:uid="{00000000-0005-0000-0000-000033000000}"/>
    <cellStyle name="40% - Accent3 2_6.2 CBR B" xfId="65" xr:uid="{00000000-0005-0000-0000-000034000000}"/>
    <cellStyle name="40% - Accent3 3" xfId="66" xr:uid="{00000000-0005-0000-0000-000035000000}"/>
    <cellStyle name="40% - Accent4 2" xfId="67" xr:uid="{00000000-0005-0000-0000-000036000000}"/>
    <cellStyle name="40% - Accent4 2 2" xfId="68" xr:uid="{00000000-0005-0000-0000-000037000000}"/>
    <cellStyle name="40% - Accent4 2_6.2 CBR B" xfId="69" xr:uid="{00000000-0005-0000-0000-000038000000}"/>
    <cellStyle name="40% - Accent4 3" xfId="70" xr:uid="{00000000-0005-0000-0000-000039000000}"/>
    <cellStyle name="40% - Accent5 2" xfId="71" xr:uid="{00000000-0005-0000-0000-00003A000000}"/>
    <cellStyle name="40% - Accent5 2 2" xfId="72" xr:uid="{00000000-0005-0000-0000-00003B000000}"/>
    <cellStyle name="40% - Accent5 2_6.2 CBR B" xfId="73" xr:uid="{00000000-0005-0000-0000-00003C000000}"/>
    <cellStyle name="40% - Accent5 3" xfId="74" xr:uid="{00000000-0005-0000-0000-00003D000000}"/>
    <cellStyle name="40% - Accent6 2" xfId="75" xr:uid="{00000000-0005-0000-0000-00003E000000}"/>
    <cellStyle name="40% - Accent6 2 2" xfId="76" xr:uid="{00000000-0005-0000-0000-00003F000000}"/>
    <cellStyle name="40% - Accent6 2_6.2 CBR B" xfId="77" xr:uid="{00000000-0005-0000-0000-000040000000}"/>
    <cellStyle name="40% - Accent6 3" xfId="78" xr:uid="{00000000-0005-0000-0000-000041000000}"/>
    <cellStyle name="60% - Accent1 2" xfId="79" xr:uid="{00000000-0005-0000-0000-000042000000}"/>
    <cellStyle name="60% - Accent2 2" xfId="80" xr:uid="{00000000-0005-0000-0000-000043000000}"/>
    <cellStyle name="60% - Accent3 2" xfId="81" xr:uid="{00000000-0005-0000-0000-000044000000}"/>
    <cellStyle name="60% - Accent4 2" xfId="82" xr:uid="{00000000-0005-0000-0000-000045000000}"/>
    <cellStyle name="60% - Accent5 2" xfId="83" xr:uid="{00000000-0005-0000-0000-000046000000}"/>
    <cellStyle name="60% - Accent6 2" xfId="84" xr:uid="{00000000-0005-0000-0000-000047000000}"/>
    <cellStyle name="Accent1 2" xfId="85" xr:uid="{00000000-0005-0000-0000-000048000000}"/>
    <cellStyle name="Accent2 2" xfId="86" xr:uid="{00000000-0005-0000-0000-000049000000}"/>
    <cellStyle name="Accent3 2" xfId="87" xr:uid="{00000000-0005-0000-0000-00004A000000}"/>
    <cellStyle name="Accent4 2" xfId="88" xr:uid="{00000000-0005-0000-0000-00004B000000}"/>
    <cellStyle name="Accent5 2" xfId="89" xr:uid="{00000000-0005-0000-0000-00004C000000}"/>
    <cellStyle name="Accent6 2" xfId="90" xr:uid="{00000000-0005-0000-0000-00004D000000}"/>
    <cellStyle name="Bad 2" xfId="91" xr:uid="{00000000-0005-0000-0000-00004E000000}"/>
    <cellStyle name="Calculation 2" xfId="92" xr:uid="{00000000-0005-0000-0000-00004F000000}"/>
    <cellStyle name="Check Cell 2" xfId="93" xr:uid="{00000000-0005-0000-0000-000050000000}"/>
    <cellStyle name="Comma" xfId="1" builtinId="3"/>
    <cellStyle name="Comma 2" xfId="12" xr:uid="{00000000-0005-0000-0000-000052000000}"/>
    <cellStyle name="Comma 2 2" xfId="94" xr:uid="{00000000-0005-0000-0000-000053000000}"/>
    <cellStyle name="Comma 2 2 2" xfId="95" xr:uid="{00000000-0005-0000-0000-000054000000}"/>
    <cellStyle name="Comma 2 2 2 2" xfId="96" xr:uid="{00000000-0005-0000-0000-000055000000}"/>
    <cellStyle name="Comma 2 2 3" xfId="97" xr:uid="{00000000-0005-0000-0000-000056000000}"/>
    <cellStyle name="Comma 2 2 3 2" xfId="98" xr:uid="{00000000-0005-0000-0000-000057000000}"/>
    <cellStyle name="Comma 2 2 4" xfId="99" xr:uid="{00000000-0005-0000-0000-000058000000}"/>
    <cellStyle name="Comma 2 2 5" xfId="100" xr:uid="{00000000-0005-0000-0000-000059000000}"/>
    <cellStyle name="Comma 2 2 6" xfId="101" xr:uid="{00000000-0005-0000-0000-00005A000000}"/>
    <cellStyle name="Comma 2 2_Database" xfId="102" xr:uid="{00000000-0005-0000-0000-00005B000000}"/>
    <cellStyle name="Comma 2 3" xfId="291" xr:uid="{00000000-0005-0000-0000-00005C000000}"/>
    <cellStyle name="Comma 3" xfId="11" xr:uid="{00000000-0005-0000-0000-00005D000000}"/>
    <cellStyle name="Comma 3 2" xfId="103" xr:uid="{00000000-0005-0000-0000-00005E000000}"/>
    <cellStyle name="Comma 3 2 2" xfId="104" xr:uid="{00000000-0005-0000-0000-00005F000000}"/>
    <cellStyle name="Comma 3 3" xfId="105" xr:uid="{00000000-0005-0000-0000-000060000000}"/>
    <cellStyle name="Comma 3 4" xfId="106" xr:uid="{00000000-0005-0000-0000-000061000000}"/>
    <cellStyle name="Comma 4" xfId="107" xr:uid="{00000000-0005-0000-0000-000062000000}"/>
    <cellStyle name="Comma 4 2" xfId="108" xr:uid="{00000000-0005-0000-0000-000063000000}"/>
    <cellStyle name="Comma 4 3" xfId="109" xr:uid="{00000000-0005-0000-0000-000064000000}"/>
    <cellStyle name="Comma 4 6" xfId="110" xr:uid="{00000000-0005-0000-0000-000065000000}"/>
    <cellStyle name="Comma 4 6 2" xfId="111" xr:uid="{00000000-0005-0000-0000-000066000000}"/>
    <cellStyle name="Comma 4 6 3" xfId="112" xr:uid="{00000000-0005-0000-0000-000067000000}"/>
    <cellStyle name="Comma 4 6 4" xfId="113" xr:uid="{00000000-0005-0000-0000-000068000000}"/>
    <cellStyle name="Comma 4 6 5" xfId="114" xr:uid="{00000000-0005-0000-0000-000069000000}"/>
    <cellStyle name="Comma 4 6 6" xfId="115" xr:uid="{00000000-0005-0000-0000-00006A000000}"/>
    <cellStyle name="Comma 44" xfId="292" xr:uid="{00000000-0005-0000-0000-00006B000000}"/>
    <cellStyle name="Comma 5" xfId="116" xr:uid="{00000000-0005-0000-0000-00006C000000}"/>
    <cellStyle name="Comma 5 14" xfId="8" xr:uid="{00000000-0005-0000-0000-00006D000000}"/>
    <cellStyle name="Comma 5 2" xfId="117" xr:uid="{00000000-0005-0000-0000-00006E000000}"/>
    <cellStyle name="Comma 6" xfId="118" xr:uid="{00000000-0005-0000-0000-00006F000000}"/>
    <cellStyle name="Comma 7" xfId="119" xr:uid="{00000000-0005-0000-0000-000070000000}"/>
    <cellStyle name="Comma 8" xfId="289" xr:uid="{00000000-0005-0000-0000-000071000000}"/>
    <cellStyle name="Comma 8 8" xfId="296" xr:uid="{00000000-0005-0000-0000-000072000000}"/>
    <cellStyle name="Comma0" xfId="120" xr:uid="{00000000-0005-0000-0000-000073000000}"/>
    <cellStyle name="Currency 11" xfId="121" xr:uid="{00000000-0005-0000-0000-000074000000}"/>
    <cellStyle name="Currency 2" xfId="122" xr:uid="{00000000-0005-0000-0000-000075000000}"/>
    <cellStyle name="Currency 2 2" xfId="123" xr:uid="{00000000-0005-0000-0000-000076000000}"/>
    <cellStyle name="Currency 2 3" xfId="124" xr:uid="{00000000-0005-0000-0000-000077000000}"/>
    <cellStyle name="Currency 3" xfId="125" xr:uid="{00000000-0005-0000-0000-000078000000}"/>
    <cellStyle name="Currency 3 2" xfId="126" xr:uid="{00000000-0005-0000-0000-000079000000}"/>
    <cellStyle name="Currency 3 3" xfId="127" xr:uid="{00000000-0005-0000-0000-00007A000000}"/>
    <cellStyle name="Currency 3 4" xfId="128" xr:uid="{00000000-0005-0000-0000-00007B000000}"/>
    <cellStyle name="Currency 3 5" xfId="129" xr:uid="{00000000-0005-0000-0000-00007C000000}"/>
    <cellStyle name="Currency 4" xfId="130" xr:uid="{00000000-0005-0000-0000-00007D000000}"/>
    <cellStyle name="Currency 4 2" xfId="131" xr:uid="{00000000-0005-0000-0000-00007E000000}"/>
    <cellStyle name="Currency 4 2 2" xfId="132" xr:uid="{00000000-0005-0000-0000-00007F000000}"/>
    <cellStyle name="Currency 4 3" xfId="133" xr:uid="{00000000-0005-0000-0000-000080000000}"/>
    <cellStyle name="Currency 4 3 2" xfId="134" xr:uid="{00000000-0005-0000-0000-000081000000}"/>
    <cellStyle name="Currency 4 4" xfId="135" xr:uid="{00000000-0005-0000-0000-000082000000}"/>
    <cellStyle name="Currency 4 5" xfId="136" xr:uid="{00000000-0005-0000-0000-000083000000}"/>
    <cellStyle name="Currency 4 6" xfId="137" xr:uid="{00000000-0005-0000-0000-000084000000}"/>
    <cellStyle name="Currency 5" xfId="138" xr:uid="{00000000-0005-0000-0000-000085000000}"/>
    <cellStyle name="Currency 5 2" xfId="139" xr:uid="{00000000-0005-0000-0000-000086000000}"/>
    <cellStyle name="Currency 6" xfId="140" xr:uid="{00000000-0005-0000-0000-000087000000}"/>
    <cellStyle name="Currency 6 2" xfId="141" xr:uid="{00000000-0005-0000-0000-000088000000}"/>
    <cellStyle name="Currency 7" xfId="142" xr:uid="{00000000-0005-0000-0000-000089000000}"/>
    <cellStyle name="Currency 8" xfId="143" xr:uid="{00000000-0005-0000-0000-00008A000000}"/>
    <cellStyle name="Currency 9" xfId="144" xr:uid="{00000000-0005-0000-0000-00008B000000}"/>
    <cellStyle name="Currency0" xfId="145" xr:uid="{00000000-0005-0000-0000-00008C000000}"/>
    <cellStyle name="Date" xfId="146" xr:uid="{00000000-0005-0000-0000-00008D000000}"/>
    <cellStyle name="Explanatory Text 2" xfId="147" xr:uid="{00000000-0005-0000-0000-00008E000000}"/>
    <cellStyle name="Fixed" xfId="148" xr:uid="{00000000-0005-0000-0000-00008F000000}"/>
    <cellStyle name="Good 2" xfId="149" xr:uid="{00000000-0005-0000-0000-000090000000}"/>
    <cellStyle name="Grey" xfId="150" xr:uid="{00000000-0005-0000-0000-000091000000}"/>
    <cellStyle name="Heading 1 2" xfId="151" xr:uid="{00000000-0005-0000-0000-000092000000}"/>
    <cellStyle name="Heading 2 2" xfId="152" xr:uid="{00000000-0005-0000-0000-000093000000}"/>
    <cellStyle name="Heading 3 2" xfId="153" xr:uid="{00000000-0005-0000-0000-000094000000}"/>
    <cellStyle name="Heading 4 2" xfId="154" xr:uid="{00000000-0005-0000-0000-000095000000}"/>
    <cellStyle name="Hyperlink" xfId="287" builtinId="8"/>
    <cellStyle name="Hyperlink 2" xfId="155" xr:uid="{00000000-0005-0000-0000-000097000000}"/>
    <cellStyle name="Input [yellow]" xfId="156" xr:uid="{00000000-0005-0000-0000-000098000000}"/>
    <cellStyle name="Input 2" xfId="157" xr:uid="{00000000-0005-0000-0000-000099000000}"/>
    <cellStyle name="Linked Cell 2" xfId="158" xr:uid="{00000000-0005-0000-0000-00009A000000}"/>
    <cellStyle name="M" xfId="159" xr:uid="{00000000-0005-0000-0000-00009B000000}"/>
    <cellStyle name="M.00" xfId="160" xr:uid="{00000000-0005-0000-0000-00009C000000}"/>
    <cellStyle name="M_9. Rev2Cost_GDPIPI" xfId="161" xr:uid="{00000000-0005-0000-0000-00009D000000}"/>
    <cellStyle name="M_9. Rev2Cost_GDPIPI 2" xfId="162" xr:uid="{00000000-0005-0000-0000-00009E000000}"/>
    <cellStyle name="M_9. Rev2Cost_GDPIPI_6.2 CBR B" xfId="163" xr:uid="{00000000-0005-0000-0000-00009F000000}"/>
    <cellStyle name="M_9. Rev2Cost_GDPIPI_9. Shared Tax - Rate Rider" xfId="164" xr:uid="{00000000-0005-0000-0000-0000A0000000}"/>
    <cellStyle name="M_lists" xfId="165" xr:uid="{00000000-0005-0000-0000-0000A1000000}"/>
    <cellStyle name="M_lists 2" xfId="166" xr:uid="{00000000-0005-0000-0000-0000A2000000}"/>
    <cellStyle name="M_lists_4. Current Monthly Fixed Charge" xfId="167" xr:uid="{00000000-0005-0000-0000-0000A3000000}"/>
    <cellStyle name="M_lists_6.2 CBR B" xfId="168" xr:uid="{00000000-0005-0000-0000-0000A4000000}"/>
    <cellStyle name="M_lists_9. Shared Tax - Rate Rider" xfId="169" xr:uid="{00000000-0005-0000-0000-0000A5000000}"/>
    <cellStyle name="M_Sheet4" xfId="170" xr:uid="{00000000-0005-0000-0000-0000A6000000}"/>
    <cellStyle name="M_Sheet4 2" xfId="171" xr:uid="{00000000-0005-0000-0000-0000A7000000}"/>
    <cellStyle name="M_Sheet4_6.2 CBR B" xfId="172" xr:uid="{00000000-0005-0000-0000-0000A8000000}"/>
    <cellStyle name="M_Sheet4_9. Shared Tax - Rate Rider" xfId="173" xr:uid="{00000000-0005-0000-0000-0000A9000000}"/>
    <cellStyle name="Neutral 2" xfId="174" xr:uid="{00000000-0005-0000-0000-0000AA000000}"/>
    <cellStyle name="Normal" xfId="0" builtinId="0"/>
    <cellStyle name="Normal - Style1" xfId="175" xr:uid="{00000000-0005-0000-0000-0000AC000000}"/>
    <cellStyle name="Normal 10" xfId="176" xr:uid="{00000000-0005-0000-0000-0000AD000000}"/>
    <cellStyle name="Normal 10 12" xfId="177" xr:uid="{00000000-0005-0000-0000-0000AE000000}"/>
    <cellStyle name="Normal 11" xfId="178" xr:uid="{00000000-0005-0000-0000-0000AF000000}"/>
    <cellStyle name="Normal 12" xfId="179" xr:uid="{00000000-0005-0000-0000-0000B0000000}"/>
    <cellStyle name="Normal 13" xfId="10" xr:uid="{00000000-0005-0000-0000-0000B1000000}"/>
    <cellStyle name="Normal 13 6" xfId="180" xr:uid="{00000000-0005-0000-0000-0000B2000000}"/>
    <cellStyle name="Normal 14" xfId="288" xr:uid="{00000000-0005-0000-0000-0000B3000000}"/>
    <cellStyle name="Normal 14 2" xfId="294" xr:uid="{00000000-0005-0000-0000-0000B4000000}"/>
    <cellStyle name="Normal 15" xfId="181" xr:uid="{00000000-0005-0000-0000-0000B5000000}"/>
    <cellStyle name="Normal 167" xfId="182" xr:uid="{00000000-0005-0000-0000-0000B6000000}"/>
    <cellStyle name="Normal 167 2" xfId="183" xr:uid="{00000000-0005-0000-0000-0000B7000000}"/>
    <cellStyle name="Normal 167_6.2 CBR B" xfId="184" xr:uid="{00000000-0005-0000-0000-0000B8000000}"/>
    <cellStyle name="Normal 168" xfId="185" xr:uid="{00000000-0005-0000-0000-0000B9000000}"/>
    <cellStyle name="Normal 168 2" xfId="186" xr:uid="{00000000-0005-0000-0000-0000BA000000}"/>
    <cellStyle name="Normal 168_6.2 CBR B" xfId="187" xr:uid="{00000000-0005-0000-0000-0000BB000000}"/>
    <cellStyle name="Normal 169" xfId="188" xr:uid="{00000000-0005-0000-0000-0000BC000000}"/>
    <cellStyle name="Normal 169 2" xfId="189" xr:uid="{00000000-0005-0000-0000-0000BD000000}"/>
    <cellStyle name="Normal 169_6.2 CBR B" xfId="190" xr:uid="{00000000-0005-0000-0000-0000BE000000}"/>
    <cellStyle name="Normal 170" xfId="191" xr:uid="{00000000-0005-0000-0000-0000BF000000}"/>
    <cellStyle name="Normal 170 2" xfId="192" xr:uid="{00000000-0005-0000-0000-0000C0000000}"/>
    <cellStyle name="Normal 170_6.2 CBR B" xfId="193" xr:uid="{00000000-0005-0000-0000-0000C1000000}"/>
    <cellStyle name="Normal 171" xfId="194" xr:uid="{00000000-0005-0000-0000-0000C2000000}"/>
    <cellStyle name="Normal 171 2" xfId="195" xr:uid="{00000000-0005-0000-0000-0000C3000000}"/>
    <cellStyle name="Normal 171_6.2 CBR B" xfId="196" xr:uid="{00000000-0005-0000-0000-0000C4000000}"/>
    <cellStyle name="Normal 19" xfId="197" xr:uid="{00000000-0005-0000-0000-0000C5000000}"/>
    <cellStyle name="Normal 2" xfId="198" xr:uid="{00000000-0005-0000-0000-0000C6000000}"/>
    <cellStyle name="Normal 2 2 2 2 2" xfId="4" xr:uid="{00000000-0005-0000-0000-0000C7000000}"/>
    <cellStyle name="Normal 25" xfId="199" xr:uid="{00000000-0005-0000-0000-0000C8000000}"/>
    <cellStyle name="Normal 3" xfId="5" xr:uid="{00000000-0005-0000-0000-0000C9000000}"/>
    <cellStyle name="Normal 3 2" xfId="201" xr:uid="{00000000-0005-0000-0000-0000CA000000}"/>
    <cellStyle name="Normal 3 3" xfId="200" xr:uid="{00000000-0005-0000-0000-0000CB000000}"/>
    <cellStyle name="Normal 3_6.2 CBR B" xfId="202" xr:uid="{00000000-0005-0000-0000-0000CC000000}"/>
    <cellStyle name="Normal 30" xfId="203" xr:uid="{00000000-0005-0000-0000-0000CD000000}"/>
    <cellStyle name="Normal 31" xfId="204" xr:uid="{00000000-0005-0000-0000-0000CE000000}"/>
    <cellStyle name="Normal 4" xfId="205" xr:uid="{00000000-0005-0000-0000-0000CF000000}"/>
    <cellStyle name="Normal 4 2" xfId="206" xr:uid="{00000000-0005-0000-0000-0000D0000000}"/>
    <cellStyle name="Normal 4_6.2 CBR B" xfId="207" xr:uid="{00000000-0005-0000-0000-0000D1000000}"/>
    <cellStyle name="Normal 41" xfId="208" xr:uid="{00000000-0005-0000-0000-0000D2000000}"/>
    <cellStyle name="Normal 42" xfId="209" xr:uid="{00000000-0005-0000-0000-0000D3000000}"/>
    <cellStyle name="Normal 5" xfId="210" xr:uid="{00000000-0005-0000-0000-0000D4000000}"/>
    <cellStyle name="Normal 5 2" xfId="211" xr:uid="{00000000-0005-0000-0000-0000D5000000}"/>
    <cellStyle name="Normal 5 2 2" xfId="212" xr:uid="{00000000-0005-0000-0000-0000D6000000}"/>
    <cellStyle name="Normal 5 2_6.2 CBR B" xfId="213" xr:uid="{00000000-0005-0000-0000-0000D7000000}"/>
    <cellStyle name="Normal 5 3" xfId="214" xr:uid="{00000000-0005-0000-0000-0000D8000000}"/>
    <cellStyle name="Normal 5_6.2 CBR B" xfId="215" xr:uid="{00000000-0005-0000-0000-0000D9000000}"/>
    <cellStyle name="Normal 50" xfId="216" xr:uid="{00000000-0005-0000-0000-0000DA000000}"/>
    <cellStyle name="Normal 51" xfId="217" xr:uid="{00000000-0005-0000-0000-0000DB000000}"/>
    <cellStyle name="Normal 52" xfId="218" xr:uid="{00000000-0005-0000-0000-0000DC000000}"/>
    <cellStyle name="Normal 6" xfId="219" xr:uid="{00000000-0005-0000-0000-0000DD000000}"/>
    <cellStyle name="Normal 6 2" xfId="220" xr:uid="{00000000-0005-0000-0000-0000DE000000}"/>
    <cellStyle name="Normal 6 3" xfId="221" xr:uid="{00000000-0005-0000-0000-0000DF000000}"/>
    <cellStyle name="Normal 6 4" xfId="222" xr:uid="{00000000-0005-0000-0000-0000E0000000}"/>
    <cellStyle name="Normal 6 5" xfId="223" xr:uid="{00000000-0005-0000-0000-0000E1000000}"/>
    <cellStyle name="Normal 6_6.2 CBR B" xfId="224" xr:uid="{00000000-0005-0000-0000-0000E2000000}"/>
    <cellStyle name="Normal 60" xfId="225" xr:uid="{00000000-0005-0000-0000-0000E3000000}"/>
    <cellStyle name="Normal 61" xfId="226" xr:uid="{00000000-0005-0000-0000-0000E4000000}"/>
    <cellStyle name="Normal 67" xfId="2" xr:uid="{00000000-0005-0000-0000-0000E5000000}"/>
    <cellStyle name="Normal 67 2" xfId="9" xr:uid="{00000000-0005-0000-0000-0000E6000000}"/>
    <cellStyle name="Normal 67 3" xfId="286" xr:uid="{00000000-0005-0000-0000-0000E7000000}"/>
    <cellStyle name="Normal 7" xfId="227" xr:uid="{00000000-0005-0000-0000-0000E8000000}"/>
    <cellStyle name="Normal 8" xfId="228" xr:uid="{00000000-0005-0000-0000-0000E9000000}"/>
    <cellStyle name="Normal 9" xfId="229" xr:uid="{00000000-0005-0000-0000-0000EA000000}"/>
    <cellStyle name="Note 2" xfId="230" xr:uid="{00000000-0005-0000-0000-0000EB000000}"/>
    <cellStyle name="Note 2 2" xfId="231" xr:uid="{00000000-0005-0000-0000-0000EC000000}"/>
    <cellStyle name="Note 3" xfId="232" xr:uid="{00000000-0005-0000-0000-0000ED000000}"/>
    <cellStyle name="Output 2" xfId="233" xr:uid="{00000000-0005-0000-0000-0000EE000000}"/>
    <cellStyle name="Percent" xfId="3" builtinId="5"/>
    <cellStyle name="Percent [2]" xfId="234" xr:uid="{00000000-0005-0000-0000-0000F0000000}"/>
    <cellStyle name="Percent 10" xfId="235" xr:uid="{00000000-0005-0000-0000-0000F1000000}"/>
    <cellStyle name="Percent 10 2" xfId="293" xr:uid="{00000000-0005-0000-0000-0000F2000000}"/>
    <cellStyle name="Percent 11" xfId="236" xr:uid="{00000000-0005-0000-0000-0000F3000000}"/>
    <cellStyle name="Percent 12" xfId="237" xr:uid="{00000000-0005-0000-0000-0000F4000000}"/>
    <cellStyle name="Percent 13" xfId="238" xr:uid="{00000000-0005-0000-0000-0000F5000000}"/>
    <cellStyle name="Percent 13 6" xfId="239" xr:uid="{00000000-0005-0000-0000-0000F6000000}"/>
    <cellStyle name="Percent 14" xfId="240" xr:uid="{00000000-0005-0000-0000-0000F7000000}"/>
    <cellStyle name="Percent 15" xfId="241" xr:uid="{00000000-0005-0000-0000-0000F8000000}"/>
    <cellStyle name="Percent 16" xfId="242" xr:uid="{00000000-0005-0000-0000-0000F9000000}"/>
    <cellStyle name="Percent 17" xfId="243" xr:uid="{00000000-0005-0000-0000-0000FA000000}"/>
    <cellStyle name="Percent 18" xfId="244" xr:uid="{00000000-0005-0000-0000-0000FB000000}"/>
    <cellStyle name="Percent 19" xfId="245" xr:uid="{00000000-0005-0000-0000-0000FC000000}"/>
    <cellStyle name="Percent 2" xfId="246" xr:uid="{00000000-0005-0000-0000-0000FD000000}"/>
    <cellStyle name="Percent 20" xfId="247" xr:uid="{00000000-0005-0000-0000-0000FE000000}"/>
    <cellStyle name="Percent 21" xfId="248" xr:uid="{00000000-0005-0000-0000-0000FF000000}"/>
    <cellStyle name="Percent 22" xfId="249" xr:uid="{00000000-0005-0000-0000-000000010000}"/>
    <cellStyle name="Percent 23" xfId="250" xr:uid="{00000000-0005-0000-0000-000001010000}"/>
    <cellStyle name="Percent 24" xfId="251" xr:uid="{00000000-0005-0000-0000-000002010000}"/>
    <cellStyle name="Percent 25" xfId="252" xr:uid="{00000000-0005-0000-0000-000003010000}"/>
    <cellStyle name="Percent 26" xfId="253" xr:uid="{00000000-0005-0000-0000-000004010000}"/>
    <cellStyle name="Percent 27" xfId="254" xr:uid="{00000000-0005-0000-0000-000005010000}"/>
    <cellStyle name="Percent 28" xfId="255" xr:uid="{00000000-0005-0000-0000-000006010000}"/>
    <cellStyle name="Percent 29" xfId="256" xr:uid="{00000000-0005-0000-0000-000007010000}"/>
    <cellStyle name="Percent 3" xfId="6" xr:uid="{00000000-0005-0000-0000-000008010000}"/>
    <cellStyle name="Percent 3 2" xfId="258" xr:uid="{00000000-0005-0000-0000-000009010000}"/>
    <cellStyle name="Percent 3 2 2" xfId="259" xr:uid="{00000000-0005-0000-0000-00000A010000}"/>
    <cellStyle name="Percent 3 3" xfId="260" xr:uid="{00000000-0005-0000-0000-00000B010000}"/>
    <cellStyle name="Percent 3 4" xfId="257" xr:uid="{00000000-0005-0000-0000-00000C010000}"/>
    <cellStyle name="Percent 30" xfId="261" xr:uid="{00000000-0005-0000-0000-00000D010000}"/>
    <cellStyle name="Percent 31" xfId="262" xr:uid="{00000000-0005-0000-0000-00000E010000}"/>
    <cellStyle name="Percent 32" xfId="263" xr:uid="{00000000-0005-0000-0000-00000F010000}"/>
    <cellStyle name="Percent 33" xfId="264" xr:uid="{00000000-0005-0000-0000-000010010000}"/>
    <cellStyle name="Percent 34" xfId="265" xr:uid="{00000000-0005-0000-0000-000011010000}"/>
    <cellStyle name="Percent 35" xfId="266" xr:uid="{00000000-0005-0000-0000-000012010000}"/>
    <cellStyle name="Percent 36" xfId="267" xr:uid="{00000000-0005-0000-0000-000013010000}"/>
    <cellStyle name="Percent 37" xfId="268" xr:uid="{00000000-0005-0000-0000-000014010000}"/>
    <cellStyle name="Percent 38" xfId="269" xr:uid="{00000000-0005-0000-0000-000015010000}"/>
    <cellStyle name="Percent 39" xfId="270" xr:uid="{00000000-0005-0000-0000-000016010000}"/>
    <cellStyle name="Percent 4" xfId="271" xr:uid="{00000000-0005-0000-0000-000017010000}"/>
    <cellStyle name="Percent 4 2" xfId="272" xr:uid="{00000000-0005-0000-0000-000018010000}"/>
    <cellStyle name="Percent 4 3" xfId="273" xr:uid="{00000000-0005-0000-0000-000019010000}"/>
    <cellStyle name="Percent 40" xfId="274" xr:uid="{00000000-0005-0000-0000-00001A010000}"/>
    <cellStyle name="Percent 41" xfId="275" xr:uid="{00000000-0005-0000-0000-00001B010000}"/>
    <cellStyle name="Percent 42" xfId="276" xr:uid="{00000000-0005-0000-0000-00001C010000}"/>
    <cellStyle name="Percent 43" xfId="290" xr:uid="{00000000-0005-0000-0000-00001D010000}"/>
    <cellStyle name="Percent 43 2" xfId="295" xr:uid="{00000000-0005-0000-0000-00001E010000}"/>
    <cellStyle name="Percent 5" xfId="277" xr:uid="{00000000-0005-0000-0000-00001F010000}"/>
    <cellStyle name="Percent 5 3" xfId="7" xr:uid="{00000000-0005-0000-0000-000020010000}"/>
    <cellStyle name="Percent 54" xfId="278" xr:uid="{00000000-0005-0000-0000-000021010000}"/>
    <cellStyle name="Percent 6" xfId="279" xr:uid="{00000000-0005-0000-0000-000022010000}"/>
    <cellStyle name="Percent 7" xfId="280" xr:uid="{00000000-0005-0000-0000-000023010000}"/>
    <cellStyle name="Percent 8" xfId="281" xr:uid="{00000000-0005-0000-0000-000024010000}"/>
    <cellStyle name="Percent 9" xfId="282" xr:uid="{00000000-0005-0000-0000-000025010000}"/>
    <cellStyle name="Title 2" xfId="283" xr:uid="{00000000-0005-0000-0000-000026010000}"/>
    <cellStyle name="Total 2" xfId="284" xr:uid="{00000000-0005-0000-0000-000027010000}"/>
    <cellStyle name="Warning Text 2" xfId="285" xr:uid="{00000000-0005-0000-0000-00002801000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Residential</a:t>
            </a:r>
          </a:p>
        </c:rich>
      </c:tx>
      <c:overlay val="0"/>
    </c:title>
    <c:autoTitleDeleted val="0"/>
    <c:plotArea>
      <c:layout/>
      <c:scatterChart>
        <c:scatterStyle val="lineMarker"/>
        <c:varyColors val="0"/>
        <c:ser>
          <c:idx val="0"/>
          <c:order val="0"/>
          <c:tx>
            <c:strRef>
              <c:f>Weather!$ER$1</c:f>
              <c:strCache>
                <c:ptCount val="1"/>
                <c:pt idx="0">
                  <c:v> Res_NoCDM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Weather!$ER$2:$ER$121</c:f>
              <c:numCache>
                <c:formatCode>_(* #,##0_);_(* \(#,##0\);_(* "-"??_);_(@_)</c:formatCode>
                <c:ptCount val="120"/>
                <c:pt idx="0">
                  <c:v>34.567417466789699</c:v>
                </c:pt>
                <c:pt idx="1">
                  <c:v>38.809546960306868</c:v>
                </c:pt>
                <c:pt idx="2">
                  <c:v>28.908761544435801</c:v>
                </c:pt>
                <c:pt idx="3">
                  <c:v>26.313582863050531</c:v>
                </c:pt>
                <c:pt idx="4">
                  <c:v>21.589452457826916</c:v>
                </c:pt>
                <c:pt idx="5">
                  <c:v>24.152682914157385</c:v>
                </c:pt>
                <c:pt idx="6">
                  <c:v>26.983876828221277</c:v>
                </c:pt>
                <c:pt idx="7">
                  <c:v>29.653550842444471</c:v>
                </c:pt>
                <c:pt idx="8">
                  <c:v>27.122046703425251</c:v>
                </c:pt>
                <c:pt idx="9">
                  <c:v>20.851354020875974</c:v>
                </c:pt>
                <c:pt idx="10">
                  <c:v>23.549586922936996</c:v>
                </c:pt>
                <c:pt idx="11">
                  <c:v>25.137741093481065</c:v>
                </c:pt>
                <c:pt idx="12">
                  <c:v>31.295415273432805</c:v>
                </c:pt>
                <c:pt idx="13">
                  <c:v>32.70902230410114</c:v>
                </c:pt>
                <c:pt idx="14">
                  <c:v>26.32255842469527</c:v>
                </c:pt>
                <c:pt idx="15">
                  <c:v>25.617479111588295</c:v>
                </c:pt>
                <c:pt idx="16">
                  <c:v>21.48613174801396</c:v>
                </c:pt>
                <c:pt idx="17">
                  <c:v>26.467046904841975</c:v>
                </c:pt>
                <c:pt idx="18">
                  <c:v>30.843583637774554</c:v>
                </c:pt>
                <c:pt idx="19">
                  <c:v>33.540621137368596</c:v>
                </c:pt>
                <c:pt idx="20">
                  <c:v>27.532433379850833</c:v>
                </c:pt>
                <c:pt idx="21">
                  <c:v>19.910658007988928</c:v>
                </c:pt>
                <c:pt idx="22">
                  <c:v>22.392941907820816</c:v>
                </c:pt>
                <c:pt idx="23">
                  <c:v>26.197945303491931</c:v>
                </c:pt>
                <c:pt idx="24">
                  <c:v>28.647422031589691</c:v>
                </c:pt>
                <c:pt idx="25">
                  <c:v>29.214702161201618</c:v>
                </c:pt>
                <c:pt idx="26">
                  <c:v>25.083379007665915</c:v>
                </c:pt>
                <c:pt idx="27">
                  <c:v>23.512660149177858</c:v>
                </c:pt>
                <c:pt idx="28">
                  <c:v>20.349955845945054</c:v>
                </c:pt>
                <c:pt idx="29">
                  <c:v>23.427254275119704</c:v>
                </c:pt>
                <c:pt idx="30">
                  <c:v>26.287997267940273</c:v>
                </c:pt>
                <c:pt idx="31">
                  <c:v>26.348022853747587</c:v>
                </c:pt>
                <c:pt idx="32">
                  <c:v>25.308859811031034</c:v>
                </c:pt>
                <c:pt idx="33">
                  <c:v>22.46410888050649</c:v>
                </c:pt>
                <c:pt idx="34">
                  <c:v>24.618979795424753</c:v>
                </c:pt>
                <c:pt idx="35">
                  <c:v>27.844880855603865</c:v>
                </c:pt>
                <c:pt idx="36">
                  <c:v>29.90131130328297</c:v>
                </c:pt>
                <c:pt idx="37">
                  <c:v>28.393553057407047</c:v>
                </c:pt>
                <c:pt idx="38">
                  <c:v>26.299448511437376</c:v>
                </c:pt>
                <c:pt idx="39">
                  <c:v>25.413554215196697</c:v>
                </c:pt>
                <c:pt idx="40">
                  <c:v>19.633766305555724</c:v>
                </c:pt>
                <c:pt idx="41">
                  <c:v>24.440756575218167</c:v>
                </c:pt>
                <c:pt idx="42">
                  <c:v>29.286412100988038</c:v>
                </c:pt>
                <c:pt idx="43">
                  <c:v>30.589406584475537</c:v>
                </c:pt>
                <c:pt idx="44">
                  <c:v>27.791514926586665</c:v>
                </c:pt>
                <c:pt idx="45">
                  <c:v>20.684032663162366</c:v>
                </c:pt>
                <c:pt idx="46">
                  <c:v>24.337934835354719</c:v>
                </c:pt>
                <c:pt idx="47">
                  <c:v>25.882636239493205</c:v>
                </c:pt>
                <c:pt idx="48">
                  <c:v>29.619298438007103</c:v>
                </c:pt>
                <c:pt idx="49">
                  <c:v>30.917579850079143</c:v>
                </c:pt>
                <c:pt idx="50">
                  <c:v>24.056885070125578</c:v>
                </c:pt>
                <c:pt idx="51">
                  <c:v>23.486838065371771</c:v>
                </c:pt>
                <c:pt idx="52">
                  <c:v>20.31844571187802</c:v>
                </c:pt>
                <c:pt idx="53">
                  <c:v>22.373717352082181</c:v>
                </c:pt>
                <c:pt idx="54">
                  <c:v>30.300728431331486</c:v>
                </c:pt>
                <c:pt idx="55">
                  <c:v>29.639131552232985</c:v>
                </c:pt>
                <c:pt idx="56">
                  <c:v>24.805033226931975</c:v>
                </c:pt>
                <c:pt idx="57">
                  <c:v>20.773207504340629</c:v>
                </c:pt>
                <c:pt idx="58">
                  <c:v>24.909285791000904</c:v>
                </c:pt>
                <c:pt idx="59">
                  <c:v>27.386523297377877</c:v>
                </c:pt>
                <c:pt idx="60">
                  <c:v>28.736898152619659</c:v>
                </c:pt>
                <c:pt idx="61">
                  <c:v>29.168380278830274</c:v>
                </c:pt>
                <c:pt idx="62">
                  <c:v>23.924949171153607</c:v>
                </c:pt>
                <c:pt idx="63">
                  <c:v>25.561712556921648</c:v>
                </c:pt>
                <c:pt idx="64">
                  <c:v>23.342284749652816</c:v>
                </c:pt>
                <c:pt idx="65">
                  <c:v>28.829318135731434</c:v>
                </c:pt>
                <c:pt idx="66">
                  <c:v>35.623989446858026</c:v>
                </c:pt>
                <c:pt idx="67">
                  <c:v>32.945027807519253</c:v>
                </c:pt>
                <c:pt idx="68">
                  <c:v>26.966903579689085</c:v>
                </c:pt>
                <c:pt idx="69">
                  <c:v>21.407364008558709</c:v>
                </c:pt>
                <c:pt idx="70">
                  <c:v>24.043988320924164</c:v>
                </c:pt>
                <c:pt idx="71">
                  <c:v>27.109335783500672</c:v>
                </c:pt>
                <c:pt idx="72">
                  <c:v>30.458880358200936</c:v>
                </c:pt>
                <c:pt idx="73">
                  <c:v>32.870788695160407</c:v>
                </c:pt>
                <c:pt idx="74">
                  <c:v>24.447714736669742</c:v>
                </c:pt>
                <c:pt idx="75">
                  <c:v>23.779643059771583</c:v>
                </c:pt>
                <c:pt idx="76">
                  <c:v>22.481292785677923</c:v>
                </c:pt>
                <c:pt idx="77">
                  <c:v>27.76902434602578</c:v>
                </c:pt>
                <c:pt idx="78">
                  <c:v>28.856278798304086</c:v>
                </c:pt>
                <c:pt idx="79">
                  <c:v>32.289433559845826</c:v>
                </c:pt>
                <c:pt idx="80">
                  <c:v>28.85381983368692</c:v>
                </c:pt>
                <c:pt idx="81">
                  <c:v>21.527826645021939</c:v>
                </c:pt>
                <c:pt idx="82">
                  <c:v>23.792839417651539</c:v>
                </c:pt>
                <c:pt idx="83">
                  <c:v>26.616304313466973</c:v>
                </c:pt>
                <c:pt idx="84">
                  <c:v>29.988537004918392</c:v>
                </c:pt>
                <c:pt idx="85">
                  <c:v>29.683027298110851</c:v>
                </c:pt>
                <c:pt idx="86">
                  <c:v>28.38601818033613</c:v>
                </c:pt>
                <c:pt idx="87">
                  <c:v>24.592313999499464</c:v>
                </c:pt>
                <c:pt idx="88">
                  <c:v>21.453996645441869</c:v>
                </c:pt>
                <c:pt idx="89">
                  <c:v>24.81051431851624</c:v>
                </c:pt>
                <c:pt idx="90">
                  <c:v>29.004564169022998</c:v>
                </c:pt>
                <c:pt idx="91">
                  <c:v>31.461366481728405</c:v>
                </c:pt>
                <c:pt idx="92">
                  <c:v>27.096752444201083</c:v>
                </c:pt>
                <c:pt idx="93">
                  <c:v>20.686662920848754</c:v>
                </c:pt>
                <c:pt idx="94">
                  <c:v>23.326237014838163</c:v>
                </c:pt>
                <c:pt idx="95">
                  <c:v>26.409824755668456</c:v>
                </c:pt>
                <c:pt idx="96">
                  <c:v>28.534304732043594</c:v>
                </c:pt>
                <c:pt idx="97">
                  <c:v>30.504088327186444</c:v>
                </c:pt>
                <c:pt idx="98">
                  <c:v>25.118838103962894</c:v>
                </c:pt>
                <c:pt idx="99">
                  <c:v>24.463040097873002</c:v>
                </c:pt>
                <c:pt idx="100">
                  <c:v>21.34239715521505</c:v>
                </c:pt>
                <c:pt idx="101">
                  <c:v>25.766574361862968</c:v>
                </c:pt>
                <c:pt idx="102">
                  <c:v>30.039947876273764</c:v>
                </c:pt>
                <c:pt idx="103">
                  <c:v>29.489834594263996</c:v>
                </c:pt>
                <c:pt idx="104">
                  <c:v>27.121467821153615</c:v>
                </c:pt>
                <c:pt idx="105">
                  <c:v>22.072298234795653</c:v>
                </c:pt>
                <c:pt idx="106">
                  <c:v>24.335898872616212</c:v>
                </c:pt>
                <c:pt idx="107">
                  <c:v>26.111512286822144</c:v>
                </c:pt>
                <c:pt idx="108">
                  <c:v>27.712937710266587</c:v>
                </c:pt>
                <c:pt idx="109">
                  <c:v>25.893072944596309</c:v>
                </c:pt>
                <c:pt idx="110">
                  <c:v>25.154179656535209</c:v>
                </c:pt>
                <c:pt idx="111">
                  <c:v>23.633642576949558</c:v>
                </c:pt>
                <c:pt idx="112">
                  <c:v>22.840235660882861</c:v>
                </c:pt>
                <c:pt idx="113">
                  <c:v>26.434715897753257</c:v>
                </c:pt>
                <c:pt idx="114">
                  <c:v>30.90057185841647</c:v>
                </c:pt>
                <c:pt idx="115">
                  <c:v>30.695257842847919</c:v>
                </c:pt>
                <c:pt idx="116">
                  <c:v>27.110104317779587</c:v>
                </c:pt>
                <c:pt idx="117">
                  <c:v>22.154127223505153</c:v>
                </c:pt>
                <c:pt idx="118">
                  <c:v>23.470454454123118</c:v>
                </c:pt>
                <c:pt idx="119">
                  <c:v>26.666404149730855</c:v>
                </c:pt>
              </c:numCache>
            </c:numRef>
          </c:yVal>
          <c:smooth val="0"/>
          <c:extLst>
            <c:ext xmlns:c16="http://schemas.microsoft.com/office/drawing/2014/chart" uri="{C3380CC4-5D6E-409C-BE32-E72D297353CC}">
              <c16:uniqueId val="{00000000-E530-4760-B813-A6923811D0C1}"/>
            </c:ext>
          </c:extLst>
        </c:ser>
        <c:dLbls>
          <c:showLegendKey val="0"/>
          <c:showVal val="0"/>
          <c:showCatName val="0"/>
          <c:showSerName val="0"/>
          <c:showPercent val="0"/>
          <c:showBubbleSize val="0"/>
        </c:dLbls>
        <c:axId val="174515712"/>
        <c:axId val="152584192"/>
      </c:scatterChart>
      <c:valAx>
        <c:axId val="17451571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en-US"/>
                  <a:t>Average</a:t>
                </a:r>
                <a:r>
                  <a:rPr lang="en-US" baseline="0"/>
                  <a:t> Tempurature (°C)</a:t>
                </a:r>
                <a:endParaRPr lang="en-US"/>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84192"/>
        <c:crosses val="autoZero"/>
        <c:crossBetween val="midCat"/>
      </c:valAx>
      <c:valAx>
        <c:axId val="15258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Avg. Daily Consumption</a:t>
                </a: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157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Large Use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Weather!$DT$2:$DT$121</c:f>
              <c:numCache>
                <c:formatCode>#,##0</c:formatCode>
                <c:ptCount val="12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3134927.0234779711</c:v>
                </c:pt>
                <c:pt idx="25">
                  <c:v>2672619.768727066</c:v>
                </c:pt>
                <c:pt idx="26">
                  <c:v>3167625.9681110834</c:v>
                </c:pt>
                <c:pt idx="27">
                  <c:v>2851633.5451566167</c:v>
                </c:pt>
                <c:pt idx="28">
                  <c:v>3104012.6835156321</c:v>
                </c:pt>
                <c:pt idx="29">
                  <c:v>3164334.3234939571</c:v>
                </c:pt>
                <c:pt idx="30">
                  <c:v>3330834.0260694562</c:v>
                </c:pt>
                <c:pt idx="31">
                  <c:v>3426068.7581383074</c:v>
                </c:pt>
                <c:pt idx="32">
                  <c:v>3363510.2194956485</c:v>
                </c:pt>
                <c:pt idx="33">
                  <c:v>3363510.2194956485</c:v>
                </c:pt>
                <c:pt idx="34">
                  <c:v>2918187.1957343561</c:v>
                </c:pt>
                <c:pt idx="35">
                  <c:v>3038979.2685842598</c:v>
                </c:pt>
                <c:pt idx="36">
                  <c:v>3601834.996090522</c:v>
                </c:pt>
                <c:pt idx="37">
                  <c:v>3368081.2940163556</c:v>
                </c:pt>
                <c:pt idx="38">
                  <c:v>3716883.3500913847</c:v>
                </c:pt>
                <c:pt idx="39">
                  <c:v>3398029.7079421505</c:v>
                </c:pt>
                <c:pt idx="40">
                  <c:v>3765155.0246874741</c:v>
                </c:pt>
                <c:pt idx="41">
                  <c:v>3542268.7592087607</c:v>
                </c:pt>
                <c:pt idx="42">
                  <c:v>3944834.7222399656</c:v>
                </c:pt>
                <c:pt idx="43">
                  <c:v>4464883.9792863484</c:v>
                </c:pt>
                <c:pt idx="44">
                  <c:v>4269800.7918802854</c:v>
                </c:pt>
                <c:pt idx="45">
                  <c:v>3882440.9348609606</c:v>
                </c:pt>
                <c:pt idx="46">
                  <c:v>3615531.6010835604</c:v>
                </c:pt>
                <c:pt idx="47">
                  <c:v>3303674.8386122286</c:v>
                </c:pt>
                <c:pt idx="48">
                  <c:v>3372037.1290001231</c:v>
                </c:pt>
                <c:pt idx="49">
                  <c:v>2864073.6348337554</c:v>
                </c:pt>
                <c:pt idx="50">
                  <c:v>3271187.2445928664</c:v>
                </c:pt>
                <c:pt idx="51">
                  <c:v>3115930.8448223723</c:v>
                </c:pt>
                <c:pt idx="52">
                  <c:v>3162233.4763844404</c:v>
                </c:pt>
                <c:pt idx="53">
                  <c:v>3172473.3758691298</c:v>
                </c:pt>
                <c:pt idx="54">
                  <c:v>3467321.3949721884</c:v>
                </c:pt>
                <c:pt idx="55">
                  <c:v>3551002.3047195231</c:v>
                </c:pt>
                <c:pt idx="56">
                  <c:v>3301878.995178178</c:v>
                </c:pt>
                <c:pt idx="57">
                  <c:v>3235594.6355934963</c:v>
                </c:pt>
                <c:pt idx="58">
                  <c:v>3235594.6355934963</c:v>
                </c:pt>
                <c:pt idx="59">
                  <c:v>3129610.3284404315</c:v>
                </c:pt>
                <c:pt idx="60">
                  <c:v>3051730.6981788147</c:v>
                </c:pt>
                <c:pt idx="61">
                  <c:v>2738816.0758073898</c:v>
                </c:pt>
                <c:pt idx="62">
                  <c:v>2583844.5749993362</c:v>
                </c:pt>
                <c:pt idx="63">
                  <c:v>2026215.689811578</c:v>
                </c:pt>
                <c:pt idx="64">
                  <c:v>1950073.45202516</c:v>
                </c:pt>
                <c:pt idx="65">
                  <c:v>2214827.6747113038</c:v>
                </c:pt>
                <c:pt idx="66">
                  <c:v>2771707.1866302304</c:v>
                </c:pt>
                <c:pt idx="67">
                  <c:v>2823767.8385568643</c:v>
                </c:pt>
                <c:pt idx="68">
                  <c:v>2773278.0060593467</c:v>
                </c:pt>
                <c:pt idx="69">
                  <c:v>2549443.6415996617</c:v>
                </c:pt>
                <c:pt idx="70">
                  <c:v>2612945.5044569829</c:v>
                </c:pt>
                <c:pt idx="71">
                  <c:v>2701865.657163329</c:v>
                </c:pt>
                <c:pt idx="72">
                  <c:v>2837674</c:v>
                </c:pt>
                <c:pt idx="73">
                  <c:v>2471480</c:v>
                </c:pt>
                <c:pt idx="74">
                  <c:v>3003749</c:v>
                </c:pt>
                <c:pt idx="75">
                  <c:v>2727156</c:v>
                </c:pt>
                <c:pt idx="76">
                  <c:v>2846646</c:v>
                </c:pt>
                <c:pt idx="77">
                  <c:v>3068568</c:v>
                </c:pt>
                <c:pt idx="78">
                  <c:v>3205744</c:v>
                </c:pt>
                <c:pt idx="79">
                  <c:v>3545099</c:v>
                </c:pt>
                <c:pt idx="80">
                  <c:v>3231896</c:v>
                </c:pt>
                <c:pt idx="81">
                  <c:v>3100549</c:v>
                </c:pt>
                <c:pt idx="82">
                  <c:v>3042708</c:v>
                </c:pt>
                <c:pt idx="83">
                  <c:v>3065363</c:v>
                </c:pt>
                <c:pt idx="84">
                  <c:v>3019557</c:v>
                </c:pt>
                <c:pt idx="85">
                  <c:v>2697106</c:v>
                </c:pt>
                <c:pt idx="86">
                  <c:v>3147951</c:v>
                </c:pt>
                <c:pt idx="87">
                  <c:v>2970947</c:v>
                </c:pt>
                <c:pt idx="88">
                  <c:v>3078921</c:v>
                </c:pt>
                <c:pt idx="89">
                  <c:v>3066956</c:v>
                </c:pt>
                <c:pt idx="90">
                  <c:v>2783162</c:v>
                </c:pt>
                <c:pt idx="91">
                  <c:v>2720948</c:v>
                </c:pt>
                <c:pt idx="92">
                  <c:v>2739776</c:v>
                </c:pt>
                <c:pt idx="93">
                  <c:v>2642054</c:v>
                </c:pt>
                <c:pt idx="94">
                  <c:v>2584119</c:v>
                </c:pt>
                <c:pt idx="95">
                  <c:v>2398663</c:v>
                </c:pt>
                <c:pt idx="96">
                  <c:v>2718971.7479580869</c:v>
                </c:pt>
                <c:pt idx="97">
                  <c:v>2576085.9383378797</c:v>
                </c:pt>
                <c:pt idx="98">
                  <c:v>2739789.2561942837</c:v>
                </c:pt>
                <c:pt idx="99">
                  <c:v>2517469.3774617161</c:v>
                </c:pt>
                <c:pt idx="100">
                  <c:v>2612878.6013215701</c:v>
                </c:pt>
                <c:pt idx="101">
                  <c:v>2552437.8310888154</c:v>
                </c:pt>
                <c:pt idx="102">
                  <c:v>2671992.2080055689</c:v>
                </c:pt>
                <c:pt idx="103">
                  <c:v>2937780.5360975759</c:v>
                </c:pt>
                <c:pt idx="104">
                  <c:v>2945265.9434799016</c:v>
                </c:pt>
                <c:pt idx="105">
                  <c:v>2948633.5569325746</c:v>
                </c:pt>
                <c:pt idx="106">
                  <c:v>3365865.081233291</c:v>
                </c:pt>
                <c:pt idx="107">
                  <c:v>3262989.9218887375</c:v>
                </c:pt>
                <c:pt idx="108">
                  <c:v>3490907</c:v>
                </c:pt>
                <c:pt idx="109">
                  <c:v>3323335</c:v>
                </c:pt>
                <c:pt idx="110">
                  <c:v>3467587</c:v>
                </c:pt>
                <c:pt idx="111">
                  <c:v>3191123</c:v>
                </c:pt>
                <c:pt idx="112">
                  <c:v>3367177</c:v>
                </c:pt>
                <c:pt idx="113">
                  <c:v>3275188</c:v>
                </c:pt>
                <c:pt idx="114">
                  <c:v>3353405</c:v>
                </c:pt>
                <c:pt idx="115">
                  <c:v>3316007</c:v>
                </c:pt>
                <c:pt idx="116">
                  <c:v>3312867</c:v>
                </c:pt>
                <c:pt idx="117">
                  <c:v>3279056</c:v>
                </c:pt>
                <c:pt idx="118">
                  <c:v>3208594</c:v>
                </c:pt>
                <c:pt idx="119">
                  <c:v>3132940</c:v>
                </c:pt>
              </c:numCache>
            </c:numRef>
          </c:yVal>
          <c:smooth val="0"/>
          <c:extLst>
            <c:ext xmlns:c16="http://schemas.microsoft.com/office/drawing/2014/chart" uri="{C3380CC4-5D6E-409C-BE32-E72D297353CC}">
              <c16:uniqueId val="{00000000-DA17-423A-92DF-0F66733D16D1}"/>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Weather!$DY$2:$DY$121</c:f>
              <c:numCache>
                <c:formatCode>_(* #,##0_);_(* \(#,##0\);_(* "-"??_);_(@_)</c:formatCode>
                <c:ptCount val="120"/>
                <c:pt idx="0">
                  <c:v>3227026.2028917666</c:v>
                </c:pt>
                <c:pt idx="1">
                  <c:v>3245416.0114970752</c:v>
                </c:pt>
                <c:pt idx="2">
                  <c:v>3192778.0314124362</c:v>
                </c:pt>
                <c:pt idx="3">
                  <c:v>3132125.8834342076</c:v>
                </c:pt>
                <c:pt idx="4">
                  <c:v>3186877.0536679956</c:v>
                </c:pt>
                <c:pt idx="5">
                  <c:v>3228969.1630236567</c:v>
                </c:pt>
                <c:pt idx="6">
                  <c:v>3381439.1551290406</c:v>
                </c:pt>
                <c:pt idx="7">
                  <c:v>3329251.0416349424</c:v>
                </c:pt>
                <c:pt idx="8">
                  <c:v>3283429.9333904753</c:v>
                </c:pt>
                <c:pt idx="9">
                  <c:v>3124612.7078287154</c:v>
                </c:pt>
                <c:pt idx="10">
                  <c:v>3138283.167185029</c:v>
                </c:pt>
                <c:pt idx="11">
                  <c:v>3149955.1344500128</c:v>
                </c:pt>
                <c:pt idx="12">
                  <c:v>3200924.2415255629</c:v>
                </c:pt>
                <c:pt idx="13">
                  <c:v>3188051.9994592909</c:v>
                </c:pt>
                <c:pt idx="14">
                  <c:v>3166524.6150344005</c:v>
                </c:pt>
                <c:pt idx="15">
                  <c:v>3146315.270307675</c:v>
                </c:pt>
                <c:pt idx="16">
                  <c:v>3198215.3505950226</c:v>
                </c:pt>
                <c:pt idx="17">
                  <c:v>3300568.9302579351</c:v>
                </c:pt>
                <c:pt idx="18">
                  <c:v>3444865.382833383</c:v>
                </c:pt>
                <c:pt idx="19">
                  <c:v>3465404.0053555537</c:v>
                </c:pt>
                <c:pt idx="20">
                  <c:v>3263783.3976349891</c:v>
                </c:pt>
                <c:pt idx="21">
                  <c:v>3149246.1747523062</c:v>
                </c:pt>
                <c:pt idx="22">
                  <c:v>3138625.1468769424</c:v>
                </c:pt>
                <c:pt idx="23">
                  <c:v>3188257.9054157557</c:v>
                </c:pt>
                <c:pt idx="24">
                  <c:v>3189016.4593939008</c:v>
                </c:pt>
                <c:pt idx="25">
                  <c:v>3173585.1004401371</c:v>
                </c:pt>
                <c:pt idx="26">
                  <c:v>3184622.9076215406</c:v>
                </c:pt>
                <c:pt idx="27">
                  <c:v>3129810.7411797089</c:v>
                </c:pt>
                <c:pt idx="28">
                  <c:v>3146693.5777301281</c:v>
                </c:pt>
                <c:pt idx="29">
                  <c:v>3252586.6277214349</c:v>
                </c:pt>
                <c:pt idx="30">
                  <c:v>3371207.4392062812</c:v>
                </c:pt>
                <c:pt idx="31">
                  <c:v>3311874.9540611492</c:v>
                </c:pt>
                <c:pt idx="32">
                  <c:v>3253708.6742794607</c:v>
                </c:pt>
                <c:pt idx="33">
                  <c:v>3147960.6991696656</c:v>
                </c:pt>
                <c:pt idx="34">
                  <c:v>3152305.3154352368</c:v>
                </c:pt>
                <c:pt idx="35">
                  <c:v>3213852.6397617804</c:v>
                </c:pt>
                <c:pt idx="36">
                  <c:v>3216895.7693521306</c:v>
                </c:pt>
                <c:pt idx="37">
                  <c:v>3183514.0461070719</c:v>
                </c:pt>
                <c:pt idx="38">
                  <c:v>3177691.6317883343</c:v>
                </c:pt>
                <c:pt idx="39">
                  <c:v>3154424.2587078065</c:v>
                </c:pt>
                <c:pt idx="40">
                  <c:v>3209492.0632526758</c:v>
                </c:pt>
                <c:pt idx="41">
                  <c:v>3292566.9301809533</c:v>
                </c:pt>
                <c:pt idx="42">
                  <c:v>3452041.2768929228</c:v>
                </c:pt>
                <c:pt idx="43">
                  <c:v>3446276.6539951432</c:v>
                </c:pt>
                <c:pt idx="44">
                  <c:v>3284063.1157383649</c:v>
                </c:pt>
                <c:pt idx="45">
                  <c:v>3147895.0797711597</c:v>
                </c:pt>
                <c:pt idx="46">
                  <c:v>3165336.3830326665</c:v>
                </c:pt>
                <c:pt idx="47">
                  <c:v>3181464.7915879693</c:v>
                </c:pt>
                <c:pt idx="48">
                  <c:v>3223184.3690181891</c:v>
                </c:pt>
                <c:pt idx="49">
                  <c:v>3196950.5239761244</c:v>
                </c:pt>
                <c:pt idx="50">
                  <c:v>3187142.8043268486</c:v>
                </c:pt>
                <c:pt idx="51">
                  <c:v>3136236.790587855</c:v>
                </c:pt>
                <c:pt idx="52">
                  <c:v>3121762.903733769</c:v>
                </c:pt>
                <c:pt idx="53">
                  <c:v>3261899.4416241786</c:v>
                </c:pt>
                <c:pt idx="54">
                  <c:v>3456485.2343250872</c:v>
                </c:pt>
                <c:pt idx="55">
                  <c:v>3359969.3249960369</c:v>
                </c:pt>
                <c:pt idx="56">
                  <c:v>3202407.6397968694</c:v>
                </c:pt>
                <c:pt idx="57">
                  <c:v>3121844.1159208636</c:v>
                </c:pt>
                <c:pt idx="58">
                  <c:v>3170941.3036138397</c:v>
                </c:pt>
                <c:pt idx="59">
                  <c:v>3187778.3495517811</c:v>
                </c:pt>
                <c:pt idx="60">
                  <c:v>3190857.1338532078</c:v>
                </c:pt>
                <c:pt idx="61">
                  <c:v>3191622.8187735686</c:v>
                </c:pt>
                <c:pt idx="62">
                  <c:v>3159356.196617417</c:v>
                </c:pt>
                <c:pt idx="63">
                  <c:v>3138841.3672319688</c:v>
                </c:pt>
                <c:pt idx="64">
                  <c:v>3185372.5337127144</c:v>
                </c:pt>
                <c:pt idx="65">
                  <c:v>3326513.4974676366</c:v>
                </c:pt>
                <c:pt idx="66">
                  <c:v>3524902.9661794249</c:v>
                </c:pt>
                <c:pt idx="67">
                  <c:v>3397254.9618632351</c:v>
                </c:pt>
                <c:pt idx="68">
                  <c:v>3203281.4919036506</c:v>
                </c:pt>
                <c:pt idx="69">
                  <c:v>3125559.9239355312</c:v>
                </c:pt>
                <c:pt idx="70">
                  <c:v>3136371.5421426506</c:v>
                </c:pt>
                <c:pt idx="71">
                  <c:v>3181034.2609517248</c:v>
                </c:pt>
                <c:pt idx="72">
                  <c:v>3196137.5965635879</c:v>
                </c:pt>
                <c:pt idx="73">
                  <c:v>3199977.608946491</c:v>
                </c:pt>
                <c:pt idx="74">
                  <c:v>3161778.1591326273</c:v>
                </c:pt>
                <c:pt idx="75">
                  <c:v>3133543.9890237078</c:v>
                </c:pt>
                <c:pt idx="76">
                  <c:v>3181808.8269057018</c:v>
                </c:pt>
                <c:pt idx="77">
                  <c:v>3348314.7701151092</c:v>
                </c:pt>
                <c:pt idx="78">
                  <c:v>3363861.8884872845</c:v>
                </c:pt>
                <c:pt idx="79">
                  <c:v>3465456.0604393892</c:v>
                </c:pt>
                <c:pt idx="80">
                  <c:v>3228417.334374343</c:v>
                </c:pt>
                <c:pt idx="81">
                  <c:v>3167432.5303534297</c:v>
                </c:pt>
                <c:pt idx="82">
                  <c:v>3153097.0342337796</c:v>
                </c:pt>
                <c:pt idx="83">
                  <c:v>3170368.1541332901</c:v>
                </c:pt>
                <c:pt idx="84">
                  <c:v>3232930.5842908588</c:v>
                </c:pt>
                <c:pt idx="85">
                  <c:v>3196425.5083555281</c:v>
                </c:pt>
                <c:pt idx="86">
                  <c:v>3172865.7666441756</c:v>
                </c:pt>
                <c:pt idx="87">
                  <c:v>3133902.298380143</c:v>
                </c:pt>
                <c:pt idx="88">
                  <c:v>3199654.7677718764</c:v>
                </c:pt>
                <c:pt idx="89">
                  <c:v>3263982.0697409464</c:v>
                </c:pt>
                <c:pt idx="90">
                  <c:v>3404089.138734017</c:v>
                </c:pt>
                <c:pt idx="91">
                  <c:v>3413013.4554243176</c:v>
                </c:pt>
                <c:pt idx="92">
                  <c:v>3228518.7183016688</c:v>
                </c:pt>
                <c:pt idx="93">
                  <c:v>3119693.303027038</c:v>
                </c:pt>
                <c:pt idx="94">
                  <c:v>3150332.6930588256</c:v>
                </c:pt>
                <c:pt idx="95">
                  <c:v>3181508.4686090378</c:v>
                </c:pt>
                <c:pt idx="96">
                  <c:v>3185562.4092583978</c:v>
                </c:pt>
                <c:pt idx="97">
                  <c:v>3182858.8907910474</c:v>
                </c:pt>
                <c:pt idx="98">
                  <c:v>3174216.1888261852</c:v>
                </c:pt>
                <c:pt idx="99">
                  <c:v>3143220.1910441928</c:v>
                </c:pt>
                <c:pt idx="100">
                  <c:v>3155984.5299293958</c:v>
                </c:pt>
                <c:pt idx="101">
                  <c:v>3298156.8048905921</c:v>
                </c:pt>
                <c:pt idx="102">
                  <c:v>3406766.8453640686</c:v>
                </c:pt>
                <c:pt idx="103">
                  <c:v>3326284.9077516641</c:v>
                </c:pt>
                <c:pt idx="104">
                  <c:v>3242365.3228154425</c:v>
                </c:pt>
                <c:pt idx="105">
                  <c:v>3159821.4354421743</c:v>
                </c:pt>
                <c:pt idx="106">
                  <c:v>3154012.7568358425</c:v>
                </c:pt>
                <c:pt idx="107">
                  <c:v>3161090.7983112722</c:v>
                </c:pt>
                <c:pt idx="108">
                  <c:v>3192605.9974314938</c:v>
                </c:pt>
                <c:pt idx="109">
                  <c:v>3175057.6400075825</c:v>
                </c:pt>
                <c:pt idx="110">
                  <c:v>3154765.6525663608</c:v>
                </c:pt>
                <c:pt idx="111">
                  <c:v>3124081.6538981022</c:v>
                </c:pt>
                <c:pt idx="112">
                  <c:v>3180998.3506772853</c:v>
                </c:pt>
                <c:pt idx="113">
                  <c:v>3299643.2667290033</c:v>
                </c:pt>
                <c:pt idx="114">
                  <c:v>3430862.5652816584</c:v>
                </c:pt>
                <c:pt idx="115">
                  <c:v>3374955.4052424305</c:v>
                </c:pt>
                <c:pt idx="116">
                  <c:v>3254181.8268460804</c:v>
                </c:pt>
                <c:pt idx="117">
                  <c:v>3129860.7385980627</c:v>
                </c:pt>
                <c:pt idx="118">
                  <c:v>3145652.033359068</c:v>
                </c:pt>
                <c:pt idx="119">
                  <c:v>3184386.6951606609</c:v>
                </c:pt>
              </c:numCache>
            </c:numRef>
          </c:yVal>
          <c:smooth val="0"/>
          <c:extLst>
            <c:ext xmlns:c16="http://schemas.microsoft.com/office/drawing/2014/chart" uri="{C3380CC4-5D6E-409C-BE32-E72D297353CC}">
              <c16:uniqueId val="{00000001-DA17-423A-92DF-0F66733D16D1}"/>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Predicted Monthly</a:t>
            </a:r>
            <a:endParaRPr lang="en-US"/>
          </a:p>
        </c:rich>
      </c:tx>
      <c:overlay val="0"/>
      <c:spPr>
        <a:noFill/>
        <a:ln>
          <a:noFill/>
        </a:ln>
        <a:effectLst/>
      </c:sp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Monthly'!$D$2:$D$139</c:f>
              <c:numCache>
                <c:formatCode>_(* #,##0_);_(* \(#,##0\);_(* "-"??_);_(@_)</c:formatCode>
                <c:ptCount val="138"/>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250E-45FF-B359-C8A24C015BBE}"/>
            </c:ext>
          </c:extLst>
        </c:ser>
        <c:ser>
          <c:idx val="1"/>
          <c:order val="1"/>
          <c:tx>
            <c:strRef>
              <c:f>'Res Predicted Monthly'!$O$1</c:f>
              <c:strCache>
                <c:ptCount val="1"/>
                <c:pt idx="0">
                  <c:v>Predicted</c:v>
                </c:pt>
              </c:strCache>
            </c:strRef>
          </c:tx>
          <c:spPr>
            <a:ln w="28575" cap="rnd">
              <a:solidFill>
                <a:schemeClr val="accent2"/>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Monthly'!$O$2:$O$139</c:f>
              <c:numCache>
                <c:formatCode>_(* #,##0_);_(* \(#,##0\);_(* "-"??_);_(@_)</c:formatCode>
                <c:ptCount val="138"/>
                <c:pt idx="0">
                  <c:v>48455701.944353193</c:v>
                </c:pt>
                <c:pt idx="1">
                  <c:v>51383517.594547555</c:v>
                </c:pt>
                <c:pt idx="2">
                  <c:v>42849468.710846089</c:v>
                </c:pt>
                <c:pt idx="3">
                  <c:v>33208357.519701853</c:v>
                </c:pt>
                <c:pt idx="4">
                  <c:v>34971215.213543288</c:v>
                </c:pt>
                <c:pt idx="5">
                  <c:v>37134289.739015549</c:v>
                </c:pt>
                <c:pt idx="6">
                  <c:v>44010162.760654755</c:v>
                </c:pt>
                <c:pt idx="7">
                  <c:v>41871242.951485232</c:v>
                </c:pt>
                <c:pt idx="8">
                  <c:v>39629621.519174904</c:v>
                </c:pt>
                <c:pt idx="9">
                  <c:v>32420465.891557451</c:v>
                </c:pt>
                <c:pt idx="10">
                  <c:v>34682681.415320337</c:v>
                </c:pt>
                <c:pt idx="11">
                  <c:v>36305315.040577896</c:v>
                </c:pt>
                <c:pt idx="12">
                  <c:v>44851763.84075626</c:v>
                </c:pt>
                <c:pt idx="13">
                  <c:v>42617236.468362898</c:v>
                </c:pt>
                <c:pt idx="14">
                  <c:v>39220173.605212659</c:v>
                </c:pt>
                <c:pt idx="15">
                  <c:v>36097765.38575992</c:v>
                </c:pt>
                <c:pt idx="16">
                  <c:v>35895711.609111033</c:v>
                </c:pt>
                <c:pt idx="17">
                  <c:v>40968300.179368436</c:v>
                </c:pt>
                <c:pt idx="18">
                  <c:v>47453387.866195917</c:v>
                </c:pt>
                <c:pt idx="19">
                  <c:v>48384128.450537458</c:v>
                </c:pt>
                <c:pt idx="20">
                  <c:v>39584363.57843215</c:v>
                </c:pt>
                <c:pt idx="21">
                  <c:v>35055495.043931678</c:v>
                </c:pt>
                <c:pt idx="22">
                  <c:v>35155511.541425094</c:v>
                </c:pt>
                <c:pt idx="23">
                  <c:v>43433410.462070256</c:v>
                </c:pt>
                <c:pt idx="24">
                  <c:v>43624253.082828365</c:v>
                </c:pt>
                <c:pt idx="25">
                  <c:v>40889638.653638877</c:v>
                </c:pt>
                <c:pt idx="26">
                  <c:v>43016359.907867387</c:v>
                </c:pt>
                <c:pt idx="27">
                  <c:v>33727078.631600358</c:v>
                </c:pt>
                <c:pt idx="28">
                  <c:v>34594155.386609524</c:v>
                </c:pt>
                <c:pt idx="29">
                  <c:v>39712390.428514682</c:v>
                </c:pt>
                <c:pt idx="30">
                  <c:v>45110544.816288888</c:v>
                </c:pt>
                <c:pt idx="31">
                  <c:v>42670074.354704626</c:v>
                </c:pt>
                <c:pt idx="32">
                  <c:v>39692788.378670245</c:v>
                </c:pt>
                <c:pt idx="33">
                  <c:v>35125995.957173832</c:v>
                </c:pt>
                <c:pt idx="34">
                  <c:v>38120701.152548127</c:v>
                </c:pt>
                <c:pt idx="35">
                  <c:v>48484671.038246609</c:v>
                </c:pt>
                <c:pt idx="36">
                  <c:v>49058003.401340872</c:v>
                </c:pt>
                <c:pt idx="37">
                  <c:v>43318091.105914339</c:v>
                </c:pt>
                <c:pt idx="38">
                  <c:v>42622029.107591771</c:v>
                </c:pt>
                <c:pt idx="39">
                  <c:v>38722415.971105397</c:v>
                </c:pt>
                <c:pt idx="40">
                  <c:v>38521573.143655658</c:v>
                </c:pt>
                <c:pt idx="41">
                  <c:v>42183561.69311928</c:v>
                </c:pt>
                <c:pt idx="42">
                  <c:v>49288512.79405795</c:v>
                </c:pt>
                <c:pt idx="43">
                  <c:v>49109042.263351507</c:v>
                </c:pt>
                <c:pt idx="44">
                  <c:v>41760767.346036792</c:v>
                </c:pt>
                <c:pt idx="45">
                  <c:v>36580033.723068781</c:v>
                </c:pt>
                <c:pt idx="46">
                  <c:v>41012613.912789322</c:v>
                </c:pt>
                <c:pt idx="47">
                  <c:v>43828332.99982103</c:v>
                </c:pt>
                <c:pt idx="48">
                  <c:v>50876979.416745141</c:v>
                </c:pt>
                <c:pt idx="49">
                  <c:v>46333783.954636447</c:v>
                </c:pt>
                <c:pt idx="50">
                  <c:v>44970491.508407146</c:v>
                </c:pt>
                <c:pt idx="51">
                  <c:v>36578278.951390475</c:v>
                </c:pt>
                <c:pt idx="52">
                  <c:v>34699128.218190946</c:v>
                </c:pt>
                <c:pt idx="53">
                  <c:v>41546110.94867079</c:v>
                </c:pt>
                <c:pt idx="54">
                  <c:v>50242205.8665189</c:v>
                </c:pt>
                <c:pt idx="55">
                  <c:v>46232292.160747752</c:v>
                </c:pt>
                <c:pt idx="56">
                  <c:v>39294095.930935353</c:v>
                </c:pt>
                <c:pt idx="57">
                  <c:v>34627453.452296965</c:v>
                </c:pt>
                <c:pt idx="58">
                  <c:v>42697108.089435764</c:v>
                </c:pt>
                <c:pt idx="59">
                  <c:v>45651487.600003064</c:v>
                </c:pt>
                <c:pt idx="60">
                  <c:v>46230789.369922705</c:v>
                </c:pt>
                <c:pt idx="61">
                  <c:v>46279560.108236797</c:v>
                </c:pt>
                <c:pt idx="62">
                  <c:v>41086702.569161743</c:v>
                </c:pt>
                <c:pt idx="63">
                  <c:v>37768282.544477791</c:v>
                </c:pt>
                <c:pt idx="64">
                  <c:v>40510390.030124895</c:v>
                </c:pt>
                <c:pt idx="65">
                  <c:v>48519461.347168751</c:v>
                </c:pt>
                <c:pt idx="66">
                  <c:v>59518346.214658126</c:v>
                </c:pt>
                <c:pt idx="67">
                  <c:v>52800449.47847826</c:v>
                </c:pt>
                <c:pt idx="68">
                  <c:v>41549825.763795413</c:v>
                </c:pt>
                <c:pt idx="69">
                  <c:v>36732370.337952815</c:v>
                </c:pt>
                <c:pt idx="70">
                  <c:v>38221391.238147892</c:v>
                </c:pt>
                <c:pt idx="71">
                  <c:v>45288496.185560688</c:v>
                </c:pt>
                <c:pt idx="72">
                  <c:v>47880980.407339387</c:v>
                </c:pt>
                <c:pt idx="73">
                  <c:v>48372830.367267236</c:v>
                </c:pt>
                <c:pt idx="74">
                  <c:v>42550628.116048247</c:v>
                </c:pt>
                <c:pt idx="75">
                  <c:v>37832260.392727219</c:v>
                </c:pt>
                <c:pt idx="76">
                  <c:v>40165270.889560431</c:v>
                </c:pt>
                <c:pt idx="77">
                  <c:v>49658208.175455421</c:v>
                </c:pt>
                <c:pt idx="78">
                  <c:v>50762701.889028065</c:v>
                </c:pt>
                <c:pt idx="79">
                  <c:v>55946726.117924206</c:v>
                </c:pt>
                <c:pt idx="80">
                  <c:v>43602978.772470072</c:v>
                </c:pt>
                <c:pt idx="81">
                  <c:v>39901151.80807624</c:v>
                </c:pt>
                <c:pt idx="82">
                  <c:v>41241816.68936643</c:v>
                </c:pt>
                <c:pt idx="83">
                  <c:v>44293038.652341701</c:v>
                </c:pt>
                <c:pt idx="84">
                  <c:v>54807082.432196625</c:v>
                </c:pt>
                <c:pt idx="85">
                  <c:v>48544250.098866895</c:v>
                </c:pt>
                <c:pt idx="86">
                  <c:v>44878557.440088935</c:v>
                </c:pt>
                <c:pt idx="87">
                  <c:v>38793976.021350034</c:v>
                </c:pt>
                <c:pt idx="88">
                  <c:v>41431086.711462334</c:v>
                </c:pt>
                <c:pt idx="89">
                  <c:v>45488454.463647068</c:v>
                </c:pt>
                <c:pt idx="90">
                  <c:v>52480484.326573923</c:v>
                </c:pt>
                <c:pt idx="91">
                  <c:v>52969734.772685707</c:v>
                </c:pt>
                <c:pt idx="92">
                  <c:v>43397033.734036833</c:v>
                </c:pt>
                <c:pt idx="93">
                  <c:v>37494510.168190561</c:v>
                </c:pt>
                <c:pt idx="94">
                  <c:v>41715571.825639568</c:v>
                </c:pt>
                <c:pt idx="95">
                  <c:v>46900133.069494322</c:v>
                </c:pt>
                <c:pt idx="96">
                  <c:v>47642698.116088077</c:v>
                </c:pt>
                <c:pt idx="97">
                  <c:v>47039012.688388251</c:v>
                </c:pt>
                <c:pt idx="98">
                  <c:v>45870770.610178202</c:v>
                </c:pt>
                <c:pt idx="99">
                  <c:v>39820747.748267077</c:v>
                </c:pt>
                <c:pt idx="100">
                  <c:v>40037064.956292398</c:v>
                </c:pt>
                <c:pt idx="101">
                  <c:v>47104683.150695965</c:v>
                </c:pt>
                <c:pt idx="102">
                  <c:v>52291210.258919373</c:v>
                </c:pt>
                <c:pt idx="103">
                  <c:v>48738338.878876172</c:v>
                </c:pt>
                <c:pt idx="104">
                  <c:v>44726397.302905351</c:v>
                </c:pt>
                <c:pt idx="105">
                  <c:v>40246708.818711586</c:v>
                </c:pt>
                <c:pt idx="106">
                  <c:v>42948612.283805206</c:v>
                </c:pt>
                <c:pt idx="107">
                  <c:v>44247874.137519114</c:v>
                </c:pt>
                <c:pt idx="108">
                  <c:v>49588076.321019754</c:v>
                </c:pt>
                <c:pt idx="109">
                  <c:v>46570661.243477933</c:v>
                </c:pt>
                <c:pt idx="110">
                  <c:v>43380431.838341393</c:v>
                </c:pt>
                <c:pt idx="111">
                  <c:v>38781640.559526578</c:v>
                </c:pt>
                <c:pt idx="112">
                  <c:v>42353600.168452725</c:v>
                </c:pt>
                <c:pt idx="113">
                  <c:v>47872301.067534842</c:v>
                </c:pt>
                <c:pt idx="114">
                  <c:v>54140150.86394389</c:v>
                </c:pt>
                <c:pt idx="115">
                  <c:v>51691626.199786469</c:v>
                </c:pt>
                <c:pt idx="116">
                  <c:v>46018108.363008261</c:v>
                </c:pt>
                <c:pt idx="117">
                  <c:v>39799267.107021406</c:v>
                </c:pt>
                <c:pt idx="118">
                  <c:v>41787843.18114049</c:v>
                </c:pt>
                <c:pt idx="119">
                  <c:v>48914257.208629146</c:v>
                </c:pt>
              </c:numCache>
            </c:numRef>
          </c:val>
          <c:smooth val="0"/>
          <c:extLst>
            <c:ext xmlns:c16="http://schemas.microsoft.com/office/drawing/2014/chart" uri="{C3380CC4-5D6E-409C-BE32-E72D297353CC}">
              <c16:uniqueId val="{00000001-250E-45FF-B359-C8A24C015BBE}"/>
            </c:ext>
          </c:extLst>
        </c:ser>
        <c:dLbls>
          <c:showLegendKey val="0"/>
          <c:showVal val="0"/>
          <c:showCatName val="0"/>
          <c:showSerName val="0"/>
          <c:showPercent val="0"/>
          <c:showBubbleSize val="0"/>
        </c:dLbls>
        <c:smooth val="0"/>
        <c:axId val="175769856"/>
        <c:axId val="175784320"/>
      </c:lineChart>
      <c:dateAx>
        <c:axId val="175769856"/>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84320"/>
        <c:crosses val="autoZero"/>
        <c:auto val="1"/>
        <c:lblOffset val="100"/>
        <c:baseTimeUnit val="months"/>
      </c:dateAx>
      <c:valAx>
        <c:axId val="17578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6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 Predicted Monthly</a:t>
            </a:r>
          </a:p>
        </c:rich>
      </c:tx>
      <c:overlay val="0"/>
      <c:spPr>
        <a:noFill/>
        <a:ln>
          <a:noFill/>
        </a:ln>
        <a:effectLst/>
      </c:spPr>
    </c:title>
    <c:autoTitleDeleted val="0"/>
    <c:plotArea>
      <c:layout/>
      <c:lineChart>
        <c:grouping val="standard"/>
        <c:varyColors val="0"/>
        <c:ser>
          <c:idx val="0"/>
          <c:order val="0"/>
          <c:tx>
            <c:strRef>
              <c:f>'GS&lt;50 Predicted Monthly'!$D$1</c:f>
              <c:strCache>
                <c:ptCount val="1"/>
                <c:pt idx="0">
                  <c:v> GS_lt_50_NoCDM </c:v>
                </c:pt>
              </c:strCache>
            </c:strRef>
          </c:tx>
          <c:spPr>
            <a:ln w="28575" cap="rnd">
              <a:solidFill>
                <a:schemeClr val="accent1"/>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Monthly'!$D$2:$D$141</c:f>
              <c:numCache>
                <c:formatCode>_(* #,##0_);_(* \(#,##0\);_(* "-"??_);_(@_)</c:formatCode>
                <c:ptCount val="14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72B5-4C03-A1C2-4F4A0569D7D6}"/>
            </c:ext>
          </c:extLst>
        </c:ser>
        <c:ser>
          <c:idx val="1"/>
          <c:order val="1"/>
          <c:tx>
            <c:strRef>
              <c:f>'GS&lt;50 Predicted Monthly'!$Q$1</c:f>
              <c:strCache>
                <c:ptCount val="1"/>
                <c:pt idx="0">
                  <c:v>Predicted</c:v>
                </c:pt>
              </c:strCache>
            </c:strRef>
          </c:tx>
          <c:spPr>
            <a:ln w="28575" cap="rnd">
              <a:solidFill>
                <a:schemeClr val="accent2"/>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Monthly'!$Q$2:$Q$141</c:f>
              <c:numCache>
                <c:formatCode>_(* #,##0_);_(* \(#,##0\);_(* "-"??_);_(@_)</c:formatCode>
                <c:ptCount val="140"/>
                <c:pt idx="0">
                  <c:v>12789208.285044091</c:v>
                </c:pt>
                <c:pt idx="1">
                  <c:v>12380682.260713559</c:v>
                </c:pt>
                <c:pt idx="2">
                  <c:v>11913888.614541952</c:v>
                </c:pt>
                <c:pt idx="3">
                  <c:v>10094125.910623698</c:v>
                </c:pt>
                <c:pt idx="4">
                  <c:v>9978854.458209781</c:v>
                </c:pt>
                <c:pt idx="5">
                  <c:v>9874952.5241627693</c:v>
                </c:pt>
                <c:pt idx="6">
                  <c:v>11451053.431271944</c:v>
                </c:pt>
                <c:pt idx="7">
                  <c:v>10979308.742091142</c:v>
                </c:pt>
                <c:pt idx="8">
                  <c:v>10410019.152414799</c:v>
                </c:pt>
                <c:pt idx="9">
                  <c:v>10126328.435066653</c:v>
                </c:pt>
                <c:pt idx="10">
                  <c:v>10342577.918212965</c:v>
                </c:pt>
                <c:pt idx="11">
                  <c:v>10967100.162801787</c:v>
                </c:pt>
                <c:pt idx="12">
                  <c:v>12266085.621832669</c:v>
                </c:pt>
                <c:pt idx="13">
                  <c:v>11430987.460935995</c:v>
                </c:pt>
                <c:pt idx="14">
                  <c:v>11496844.674690165</c:v>
                </c:pt>
                <c:pt idx="15">
                  <c:v>10677936.593424976</c:v>
                </c:pt>
                <c:pt idx="16">
                  <c:v>10507247.669367215</c:v>
                </c:pt>
                <c:pt idx="17">
                  <c:v>10723154.053884441</c:v>
                </c:pt>
                <c:pt idx="18">
                  <c:v>12265732.01748224</c:v>
                </c:pt>
                <c:pt idx="19">
                  <c:v>12434115.032697968</c:v>
                </c:pt>
                <c:pt idx="20">
                  <c:v>10434018.453143224</c:v>
                </c:pt>
                <c:pt idx="21">
                  <c:v>10272051.596366037</c:v>
                </c:pt>
                <c:pt idx="22">
                  <c:v>10495905.415539399</c:v>
                </c:pt>
                <c:pt idx="23">
                  <c:v>12050106.003362235</c:v>
                </c:pt>
                <c:pt idx="24">
                  <c:v>12069256.576247804</c:v>
                </c:pt>
                <c:pt idx="25">
                  <c:v>10797717.511409245</c:v>
                </c:pt>
                <c:pt idx="26">
                  <c:v>11958336.2780657</c:v>
                </c:pt>
                <c:pt idx="27">
                  <c:v>10104054.075833121</c:v>
                </c:pt>
                <c:pt idx="28">
                  <c:v>10155879.050046148</c:v>
                </c:pt>
                <c:pt idx="29">
                  <c:v>10323013.856808804</c:v>
                </c:pt>
                <c:pt idx="30">
                  <c:v>11567164.948022628</c:v>
                </c:pt>
                <c:pt idx="31">
                  <c:v>11045962.837070685</c:v>
                </c:pt>
                <c:pt idx="32">
                  <c:v>10437856.379404638</c:v>
                </c:pt>
                <c:pt idx="33">
                  <c:v>10140577.794133103</c:v>
                </c:pt>
                <c:pt idx="34">
                  <c:v>10911039.051655352</c:v>
                </c:pt>
                <c:pt idx="35">
                  <c:v>12751225.877260488</c:v>
                </c:pt>
                <c:pt idx="36">
                  <c:v>12849423.112207759</c:v>
                </c:pt>
                <c:pt idx="37">
                  <c:v>11149129.082031501</c:v>
                </c:pt>
                <c:pt idx="38">
                  <c:v>11882565.626349851</c:v>
                </c:pt>
                <c:pt idx="39">
                  <c:v>11008800.462898755</c:v>
                </c:pt>
                <c:pt idx="40">
                  <c:v>10378515.404806606</c:v>
                </c:pt>
                <c:pt idx="41">
                  <c:v>10627325.168501355</c:v>
                </c:pt>
                <c:pt idx="42">
                  <c:v>12317224.494437605</c:v>
                </c:pt>
                <c:pt idx="43">
                  <c:v>12289245.700834882</c:v>
                </c:pt>
                <c:pt idx="44">
                  <c:v>10777461.6173675</c:v>
                </c:pt>
                <c:pt idx="45">
                  <c:v>10727102.116059616</c:v>
                </c:pt>
                <c:pt idx="46">
                  <c:v>11265972.60427917</c:v>
                </c:pt>
                <c:pt idx="47">
                  <c:v>11970191.301589113</c:v>
                </c:pt>
                <c:pt idx="48">
                  <c:v>13032608.838382713</c:v>
                </c:pt>
                <c:pt idx="49">
                  <c:v>11486822.090959657</c:v>
                </c:pt>
                <c:pt idx="50">
                  <c:v>12101327.927496837</c:v>
                </c:pt>
                <c:pt idx="51">
                  <c:v>10520645.801653031</c:v>
                </c:pt>
                <c:pt idx="52">
                  <c:v>10054245.790809412</c:v>
                </c:pt>
                <c:pt idx="53">
                  <c:v>10469929.093522258</c:v>
                </c:pt>
                <c:pt idx="54">
                  <c:v>12388149.371948415</c:v>
                </c:pt>
                <c:pt idx="55">
                  <c:v>11509274.537776297</c:v>
                </c:pt>
                <c:pt idx="56">
                  <c:v>9918774.8343357556</c:v>
                </c:pt>
                <c:pt idx="57">
                  <c:v>10195982.293346712</c:v>
                </c:pt>
                <c:pt idx="58">
                  <c:v>11373894.026796278</c:v>
                </c:pt>
                <c:pt idx="59">
                  <c:v>12094476.672831047</c:v>
                </c:pt>
                <c:pt idx="60">
                  <c:v>12181362.676617127</c:v>
                </c:pt>
                <c:pt idx="61">
                  <c:v>11627986.462726334</c:v>
                </c:pt>
                <c:pt idx="62">
                  <c:v>10610169.061571121</c:v>
                </c:pt>
                <c:pt idx="63">
                  <c:v>9010135.5578296408</c:v>
                </c:pt>
                <c:pt idx="64">
                  <c:v>9084210.5985146705</c:v>
                </c:pt>
                <c:pt idx="65">
                  <c:v>10244646.027366925</c:v>
                </c:pt>
                <c:pt idx="66">
                  <c:v>12250954.514829043</c:v>
                </c:pt>
                <c:pt idx="67">
                  <c:v>11086030.030365685</c:v>
                </c:pt>
                <c:pt idx="68">
                  <c:v>9321263.1571885552</c:v>
                </c:pt>
                <c:pt idx="69">
                  <c:v>9623794.7810268924</c:v>
                </c:pt>
                <c:pt idx="70">
                  <c:v>9788613.5614497215</c:v>
                </c:pt>
                <c:pt idx="71">
                  <c:v>11227672.288621912</c:v>
                </c:pt>
                <c:pt idx="72">
                  <c:v>11613552.737753138</c:v>
                </c:pt>
                <c:pt idx="73">
                  <c:v>10851438.070063807</c:v>
                </c:pt>
                <c:pt idx="74">
                  <c:v>10768933.978027076</c:v>
                </c:pt>
                <c:pt idx="75">
                  <c:v>9620495.5527617633</c:v>
                </c:pt>
                <c:pt idx="76">
                  <c:v>9811247.5351168178</c:v>
                </c:pt>
                <c:pt idx="77">
                  <c:v>10488707.710389521</c:v>
                </c:pt>
                <c:pt idx="78">
                  <c:v>10890305.329028392</c:v>
                </c:pt>
                <c:pt idx="79">
                  <c:v>11815893.678928968</c:v>
                </c:pt>
                <c:pt idx="80">
                  <c:v>9508821.2264202088</c:v>
                </c:pt>
                <c:pt idx="81">
                  <c:v>9614179.1397656724</c:v>
                </c:pt>
                <c:pt idx="82">
                  <c:v>10281803.925193299</c:v>
                </c:pt>
                <c:pt idx="83">
                  <c:v>11002660.316998037</c:v>
                </c:pt>
                <c:pt idx="84">
                  <c:v>12993738.798973456</c:v>
                </c:pt>
                <c:pt idx="85">
                  <c:v>11208486.428364959</c:v>
                </c:pt>
                <c:pt idx="86">
                  <c:v>11469700.867962832</c:v>
                </c:pt>
                <c:pt idx="87">
                  <c:v>10184442.322571112</c:v>
                </c:pt>
                <c:pt idx="88">
                  <c:v>10167946.823069945</c:v>
                </c:pt>
                <c:pt idx="89">
                  <c:v>10187652.89277425</c:v>
                </c:pt>
                <c:pt idx="90">
                  <c:v>11703255.235285416</c:v>
                </c:pt>
                <c:pt idx="91">
                  <c:v>11784379.012006117</c:v>
                </c:pt>
                <c:pt idx="92">
                  <c:v>10075170.92321959</c:v>
                </c:pt>
                <c:pt idx="93">
                  <c:v>10063761.490516327</c:v>
                </c:pt>
                <c:pt idx="94">
                  <c:v>10594335.088475373</c:v>
                </c:pt>
                <c:pt idx="95">
                  <c:v>11756584.867096163</c:v>
                </c:pt>
                <c:pt idx="96">
                  <c:v>12250705.347114548</c:v>
                </c:pt>
                <c:pt idx="97">
                  <c:v>11309653.874177556</c:v>
                </c:pt>
                <c:pt idx="98">
                  <c:v>11959677.61797471</c:v>
                </c:pt>
                <c:pt idx="99">
                  <c:v>10511782.605009453</c:v>
                </c:pt>
                <c:pt idx="100">
                  <c:v>10412237.627091423</c:v>
                </c:pt>
                <c:pt idx="101">
                  <c:v>11067464.953970378</c:v>
                </c:pt>
                <c:pt idx="102">
                  <c:v>12302540.80159275</c:v>
                </c:pt>
                <c:pt idx="103">
                  <c:v>11584232.478153814</c:v>
                </c:pt>
                <c:pt idx="104">
                  <c:v>10624005.768259458</c:v>
                </c:pt>
                <c:pt idx="105">
                  <c:v>10794696.467658605</c:v>
                </c:pt>
                <c:pt idx="106">
                  <c:v>11367805.733829504</c:v>
                </c:pt>
                <c:pt idx="107">
                  <c:v>11858801.661710529</c:v>
                </c:pt>
                <c:pt idx="108">
                  <c:v>12585750.341355853</c:v>
                </c:pt>
                <c:pt idx="109">
                  <c:v>11557803.562082577</c:v>
                </c:pt>
                <c:pt idx="110">
                  <c:v>11633479.894846145</c:v>
                </c:pt>
                <c:pt idx="111">
                  <c:v>10558074.949416062</c:v>
                </c:pt>
                <c:pt idx="112">
                  <c:v>10498338.707146347</c:v>
                </c:pt>
                <c:pt idx="113">
                  <c:v>11128871.636887714</c:v>
                </c:pt>
                <c:pt idx="114">
                  <c:v>12536839.807769177</c:v>
                </c:pt>
                <c:pt idx="115">
                  <c:v>12041182.202827301</c:v>
                </c:pt>
                <c:pt idx="116">
                  <c:v>10731115.197551727</c:v>
                </c:pt>
                <c:pt idx="117">
                  <c:v>10605780.07973378</c:v>
                </c:pt>
                <c:pt idx="118">
                  <c:v>10997714.665208492</c:v>
                </c:pt>
                <c:pt idx="119">
                  <c:v>12176756.847780986</c:v>
                </c:pt>
              </c:numCache>
            </c:numRef>
          </c:val>
          <c:smooth val="0"/>
          <c:extLst>
            <c:ext xmlns:c16="http://schemas.microsoft.com/office/drawing/2014/chart" uri="{C3380CC4-5D6E-409C-BE32-E72D297353CC}">
              <c16:uniqueId val="{00000001-72B5-4C03-A1C2-4F4A0569D7D6}"/>
            </c:ext>
          </c:extLst>
        </c:ser>
        <c:dLbls>
          <c:showLegendKey val="0"/>
          <c:showVal val="0"/>
          <c:showCatName val="0"/>
          <c:showSerName val="0"/>
          <c:showPercent val="0"/>
          <c:showBubbleSize val="0"/>
        </c:dLbls>
        <c:smooth val="0"/>
        <c:axId val="175301760"/>
        <c:axId val="175303680"/>
      </c:lineChart>
      <c:dateAx>
        <c:axId val="175301760"/>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3680"/>
        <c:crosses val="autoZero"/>
        <c:auto val="1"/>
        <c:lblOffset val="100"/>
        <c:baseTimeUnit val="months"/>
      </c:dateAx>
      <c:valAx>
        <c:axId val="17530368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50-999 kW Predicted Monthly</a:t>
            </a:r>
          </a:p>
        </c:rich>
      </c:tx>
      <c:overlay val="0"/>
      <c:spPr>
        <a:noFill/>
        <a:ln>
          <a:noFill/>
        </a:ln>
        <a:effectLst/>
      </c:spPr>
    </c:title>
    <c:autoTitleDeleted val="0"/>
    <c:plotArea>
      <c:layout/>
      <c:lineChart>
        <c:grouping val="standard"/>
        <c:varyColors val="0"/>
        <c:ser>
          <c:idx val="0"/>
          <c:order val="0"/>
          <c:tx>
            <c:strRef>
              <c:f>'GS 50-999 Predicted Monthly'!$D$1</c:f>
              <c:strCache>
                <c:ptCount val="1"/>
                <c:pt idx="0">
                  <c:v> GS_50_999_NoCDM </c:v>
                </c:pt>
              </c:strCache>
            </c:strRef>
          </c:tx>
          <c:spPr>
            <a:ln w="28575" cap="rnd">
              <a:solidFill>
                <a:schemeClr val="accent1"/>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Monthly'!$D$2:$D$141</c:f>
              <c:numCache>
                <c:formatCode>_(* #,##0_);_(* \(#,##0\);_(* "-"??_);_(@_)</c:formatCode>
                <c:ptCount val="14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750E-40F3-A504-D9A134A283C8}"/>
            </c:ext>
          </c:extLst>
        </c:ser>
        <c:ser>
          <c:idx val="1"/>
          <c:order val="1"/>
          <c:tx>
            <c:strRef>
              <c:f>'GS 50-999 Predicted Monthly'!$Q$1</c:f>
              <c:strCache>
                <c:ptCount val="1"/>
                <c:pt idx="0">
                  <c:v>Predicted</c:v>
                </c:pt>
              </c:strCache>
            </c:strRef>
          </c:tx>
          <c:spPr>
            <a:ln w="28575" cap="rnd">
              <a:solidFill>
                <a:schemeClr val="accent2"/>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Monthly'!$Q$2:$Q$141</c:f>
              <c:numCache>
                <c:formatCode>_(* #,##0_);_(* \(#,##0\);_(* "-"??_);_(@_)</c:formatCode>
                <c:ptCount val="140"/>
                <c:pt idx="0">
                  <c:v>34485175.568158239</c:v>
                </c:pt>
                <c:pt idx="1">
                  <c:v>33423628.846928366</c:v>
                </c:pt>
                <c:pt idx="2">
                  <c:v>31530701.84701857</c:v>
                </c:pt>
                <c:pt idx="3">
                  <c:v>25468571.973084949</c:v>
                </c:pt>
                <c:pt idx="4">
                  <c:v>24835358.661980033</c:v>
                </c:pt>
                <c:pt idx="5">
                  <c:v>24185711.873429477</c:v>
                </c:pt>
                <c:pt idx="6">
                  <c:v>27669170.976125356</c:v>
                </c:pt>
                <c:pt idx="7">
                  <c:v>26646837.370660469</c:v>
                </c:pt>
                <c:pt idx="8">
                  <c:v>25306512.314239092</c:v>
                </c:pt>
                <c:pt idx="9">
                  <c:v>25410294.262685753</c:v>
                </c:pt>
                <c:pt idx="10">
                  <c:v>26088980.434698619</c:v>
                </c:pt>
                <c:pt idx="11">
                  <c:v>27974280.247286849</c:v>
                </c:pt>
                <c:pt idx="12">
                  <c:v>32410703.956792388</c:v>
                </c:pt>
                <c:pt idx="13">
                  <c:v>29534943.774622057</c:v>
                </c:pt>
                <c:pt idx="14">
                  <c:v>29443164.724909652</c:v>
                </c:pt>
                <c:pt idx="15">
                  <c:v>26731677.313323461</c:v>
                </c:pt>
                <c:pt idx="16">
                  <c:v>25604825.183484878</c:v>
                </c:pt>
                <c:pt idx="17">
                  <c:v>25580368.461812675</c:v>
                </c:pt>
                <c:pt idx="18">
                  <c:v>29021305.893519547</c:v>
                </c:pt>
                <c:pt idx="19">
                  <c:v>29438058.832679849</c:v>
                </c:pt>
                <c:pt idx="20">
                  <c:v>25034192.964211591</c:v>
                </c:pt>
                <c:pt idx="21">
                  <c:v>25561956.534452662</c:v>
                </c:pt>
                <c:pt idx="22">
                  <c:v>26182520.740007956</c:v>
                </c:pt>
                <c:pt idx="23">
                  <c:v>31333042.18144986</c:v>
                </c:pt>
                <c:pt idx="24">
                  <c:v>31479730.843442548</c:v>
                </c:pt>
                <c:pt idx="25">
                  <c:v>27500546.582589619</c:v>
                </c:pt>
                <c:pt idx="26">
                  <c:v>31100714.017340183</c:v>
                </c:pt>
                <c:pt idx="27">
                  <c:v>25005130.658720203</c:v>
                </c:pt>
                <c:pt idx="28">
                  <c:v>25143898.661834989</c:v>
                </c:pt>
                <c:pt idx="29">
                  <c:v>25060525.084772415</c:v>
                </c:pt>
                <c:pt idx="30">
                  <c:v>27626800.182160147</c:v>
                </c:pt>
                <c:pt idx="31">
                  <c:v>26692631.698416132</c:v>
                </c:pt>
                <c:pt idx="32">
                  <c:v>25184397.341667213</c:v>
                </c:pt>
                <c:pt idx="33">
                  <c:v>25168387.168742377</c:v>
                </c:pt>
                <c:pt idx="34">
                  <c:v>27535985.624483034</c:v>
                </c:pt>
                <c:pt idx="35">
                  <c:v>33728122.507614069</c:v>
                </c:pt>
                <c:pt idx="36">
                  <c:v>34048096.948323146</c:v>
                </c:pt>
                <c:pt idx="37">
                  <c:v>28520395.575672809</c:v>
                </c:pt>
                <c:pt idx="38">
                  <c:v>30666088.823828492</c:v>
                </c:pt>
                <c:pt idx="39">
                  <c:v>27815251.527543761</c:v>
                </c:pt>
                <c:pt idx="40">
                  <c:v>25671262.273052439</c:v>
                </c:pt>
                <c:pt idx="41">
                  <c:v>25603015.490482792</c:v>
                </c:pt>
                <c:pt idx="42">
                  <c:v>29484533.147361763</c:v>
                </c:pt>
                <c:pt idx="43">
                  <c:v>29377893.36723512</c:v>
                </c:pt>
                <c:pt idx="44">
                  <c:v>25912015.995570462</c:v>
                </c:pt>
                <c:pt idx="45">
                  <c:v>26703379.2250317</c:v>
                </c:pt>
                <c:pt idx="46">
                  <c:v>28862354.40597114</c:v>
                </c:pt>
                <c:pt idx="47">
                  <c:v>31136355.304243162</c:v>
                </c:pt>
                <c:pt idx="48">
                  <c:v>34743198.491975054</c:v>
                </c:pt>
                <c:pt idx="49">
                  <c:v>29832120.354973905</c:v>
                </c:pt>
                <c:pt idx="50">
                  <c:v>31634014.814429309</c:v>
                </c:pt>
                <c:pt idx="51">
                  <c:v>26411024.389645208</c:v>
                </c:pt>
                <c:pt idx="52">
                  <c:v>24980153.963078532</c:v>
                </c:pt>
                <c:pt idx="53">
                  <c:v>25477640.800210692</c:v>
                </c:pt>
                <c:pt idx="54">
                  <c:v>29689435.650422614</c:v>
                </c:pt>
                <c:pt idx="55">
                  <c:v>27770860.58309456</c:v>
                </c:pt>
                <c:pt idx="56">
                  <c:v>24595318.476589583</c:v>
                </c:pt>
                <c:pt idx="57">
                  <c:v>25405707.260629419</c:v>
                </c:pt>
                <c:pt idx="58">
                  <c:v>29430301.824122556</c:v>
                </c:pt>
                <c:pt idx="59">
                  <c:v>31765434.468540125</c:v>
                </c:pt>
                <c:pt idx="60">
                  <c:v>31950145.973577131</c:v>
                </c:pt>
                <c:pt idx="61">
                  <c:v>30250883.547415357</c:v>
                </c:pt>
                <c:pt idx="62">
                  <c:v>27807794.279801071</c:v>
                </c:pt>
                <c:pt idx="63">
                  <c:v>23058904.883701302</c:v>
                </c:pt>
                <c:pt idx="64">
                  <c:v>22991325.065962069</c:v>
                </c:pt>
                <c:pt idx="65">
                  <c:v>24440689.816530161</c:v>
                </c:pt>
                <c:pt idx="66">
                  <c:v>29447675.534258544</c:v>
                </c:pt>
                <c:pt idx="67">
                  <c:v>26861213.874092259</c:v>
                </c:pt>
                <c:pt idx="68">
                  <c:v>23036278.177090563</c:v>
                </c:pt>
                <c:pt idx="69">
                  <c:v>24497753.016965486</c:v>
                </c:pt>
                <c:pt idx="70">
                  <c:v>24930822.517424628</c:v>
                </c:pt>
                <c:pt idx="71">
                  <c:v>29647409.431852806</c:v>
                </c:pt>
                <c:pt idx="72">
                  <c:v>31041498.715274803</c:v>
                </c:pt>
                <c:pt idx="73">
                  <c:v>28724790.368467946</c:v>
                </c:pt>
                <c:pt idx="74">
                  <c:v>28080494.863250103</c:v>
                </c:pt>
                <c:pt idx="75">
                  <c:v>24386153.363957137</c:v>
                </c:pt>
                <c:pt idx="76">
                  <c:v>24542237.194571864</c:v>
                </c:pt>
                <c:pt idx="77">
                  <c:v>25395516.160355378</c:v>
                </c:pt>
                <c:pt idx="78">
                  <c:v>26506040.305389144</c:v>
                </c:pt>
                <c:pt idx="79">
                  <c:v>28529766.356929895</c:v>
                </c:pt>
                <c:pt idx="80">
                  <c:v>23442346.759179052</c:v>
                </c:pt>
                <c:pt idx="81">
                  <c:v>24275376.941913828</c:v>
                </c:pt>
                <c:pt idx="82">
                  <c:v>26659826.394783627</c:v>
                </c:pt>
                <c:pt idx="83">
                  <c:v>29032405.129228536</c:v>
                </c:pt>
                <c:pt idx="84">
                  <c:v>35190840.270845577</c:v>
                </c:pt>
                <c:pt idx="85">
                  <c:v>29393697.843485832</c:v>
                </c:pt>
                <c:pt idx="86">
                  <c:v>30009251.951326855</c:v>
                </c:pt>
                <c:pt idx="87">
                  <c:v>25834678.456071883</c:v>
                </c:pt>
                <c:pt idx="88">
                  <c:v>25178162.04268755</c:v>
                </c:pt>
                <c:pt idx="89">
                  <c:v>25113414.066713832</c:v>
                </c:pt>
                <c:pt idx="90">
                  <c:v>28206307.439874005</c:v>
                </c:pt>
                <c:pt idx="91">
                  <c:v>28394250.150933161</c:v>
                </c:pt>
                <c:pt idx="92">
                  <c:v>24587943.303419039</c:v>
                </c:pt>
                <c:pt idx="93">
                  <c:v>25301586.97523506</c:v>
                </c:pt>
                <c:pt idx="94">
                  <c:v>27023437.777986333</c:v>
                </c:pt>
                <c:pt idx="95">
                  <c:v>30803706.775888581</c:v>
                </c:pt>
                <c:pt idx="96">
                  <c:v>31927787.617718466</c:v>
                </c:pt>
                <c:pt idx="97">
                  <c:v>29046591.033862013</c:v>
                </c:pt>
                <c:pt idx="98">
                  <c:v>30948987.62188625</c:v>
                </c:pt>
                <c:pt idx="99">
                  <c:v>26259730.707700673</c:v>
                </c:pt>
                <c:pt idx="100">
                  <c:v>25794738.704897568</c:v>
                </c:pt>
                <c:pt idx="101">
                  <c:v>26363422.763947956</c:v>
                </c:pt>
                <c:pt idx="102">
                  <c:v>29070850.626886792</c:v>
                </c:pt>
                <c:pt idx="103">
                  <c:v>27568371.432370391</c:v>
                </c:pt>
                <c:pt idx="104">
                  <c:v>25635204.764027391</c:v>
                </c:pt>
                <c:pt idx="105">
                  <c:v>26241413.967367284</c:v>
                </c:pt>
                <c:pt idx="106">
                  <c:v>28387447.061963245</c:v>
                </c:pt>
                <c:pt idx="107">
                  <c:v>29880703.454786539</c:v>
                </c:pt>
                <c:pt idx="108">
                  <c:v>32634046.036931526</c:v>
                </c:pt>
                <c:pt idx="109">
                  <c:v>29354893.225478783</c:v>
                </c:pt>
                <c:pt idx="110">
                  <c:v>29369687.688037723</c:v>
                </c:pt>
                <c:pt idx="111">
                  <c:v>25884358.458856963</c:v>
                </c:pt>
                <c:pt idx="112">
                  <c:v>25722639.689809926</c:v>
                </c:pt>
                <c:pt idx="113">
                  <c:v>26593833.254959285</c:v>
                </c:pt>
                <c:pt idx="114">
                  <c:v>29647946.72771826</c:v>
                </c:pt>
                <c:pt idx="115">
                  <c:v>28632811.953738995</c:v>
                </c:pt>
                <c:pt idx="116">
                  <c:v>25611309.218204703</c:v>
                </c:pt>
                <c:pt idx="117">
                  <c:v>26148225.693469401</c:v>
                </c:pt>
                <c:pt idx="118">
                  <c:v>27196136.812775102</c:v>
                </c:pt>
                <c:pt idx="119">
                  <c:v>31980847.246937547</c:v>
                </c:pt>
              </c:numCache>
            </c:numRef>
          </c:val>
          <c:smooth val="0"/>
          <c:extLst>
            <c:ext xmlns:c16="http://schemas.microsoft.com/office/drawing/2014/chart" uri="{C3380CC4-5D6E-409C-BE32-E72D297353CC}">
              <c16:uniqueId val="{00000001-750E-40F3-A504-D9A134A283C8}"/>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 Predicted Monthly</a:t>
            </a:r>
          </a:p>
        </c:rich>
      </c:tx>
      <c:overlay val="0"/>
      <c:spPr>
        <a:noFill/>
        <a:ln>
          <a:noFill/>
        </a:ln>
        <a:effectLst/>
      </c:spPr>
    </c:title>
    <c:autoTitleDeleted val="0"/>
    <c:plotArea>
      <c:layout/>
      <c:lineChart>
        <c:grouping val="standard"/>
        <c:varyColors val="0"/>
        <c:ser>
          <c:idx val="0"/>
          <c:order val="0"/>
          <c:tx>
            <c:strRef>
              <c:f>'GS 1k-4,999 Predicted Monthly'!$D$1</c:f>
              <c:strCache>
                <c:ptCount val="1"/>
                <c:pt idx="0">
                  <c:v> GS_1000_4999_NoCDM </c:v>
                </c:pt>
              </c:strCache>
            </c:strRef>
          </c:tx>
          <c:spPr>
            <a:ln w="28575" cap="rnd">
              <a:solidFill>
                <a:schemeClr val="accent1"/>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Monthly'!$D$2:$D$141</c:f>
              <c:numCache>
                <c:formatCode>_(* #,##0_);_(* \(#,##0\);_(* "-"??_);_(@_)</c:formatCode>
                <c:ptCount val="14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9BFB-46C2-A9A1-5EC968DB1113}"/>
            </c:ext>
          </c:extLst>
        </c:ser>
        <c:ser>
          <c:idx val="1"/>
          <c:order val="1"/>
          <c:tx>
            <c:strRef>
              <c:f>'GS 1k-4,999 Predicted Monthly'!$O$1</c:f>
              <c:strCache>
                <c:ptCount val="1"/>
                <c:pt idx="0">
                  <c:v>Predicted</c:v>
                </c:pt>
              </c:strCache>
            </c:strRef>
          </c:tx>
          <c:spPr>
            <a:ln w="28575" cap="rnd">
              <a:solidFill>
                <a:schemeClr val="accent2"/>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Monthly'!$O$2:$O$141</c:f>
              <c:numCache>
                <c:formatCode>_(* #,##0_);_(* \(#,##0\);_(* "-"??_);_(@_)</c:formatCode>
                <c:ptCount val="140"/>
                <c:pt idx="0">
                  <c:v>7099250.7065883074</c:v>
                </c:pt>
                <c:pt idx="1">
                  <c:v>6737992.9966650642</c:v>
                </c:pt>
                <c:pt idx="2">
                  <c:v>7057019.7172625642</c:v>
                </c:pt>
                <c:pt idx="3">
                  <c:v>6908446.4877376538</c:v>
                </c:pt>
                <c:pt idx="4">
                  <c:v>7286319.8861258887</c:v>
                </c:pt>
                <c:pt idx="5">
                  <c:v>7275157.3451917898</c:v>
                </c:pt>
                <c:pt idx="6">
                  <c:v>8190098.5943467524</c:v>
                </c:pt>
                <c:pt idx="7">
                  <c:v>7823220.53925444</c:v>
                </c:pt>
                <c:pt idx="8">
                  <c:v>7525658.919763241</c:v>
                </c:pt>
                <c:pt idx="9">
                  <c:v>6929618.6793326633</c:v>
                </c:pt>
                <c:pt idx="10">
                  <c:v>6872248.4968870152</c:v>
                </c:pt>
                <c:pt idx="11">
                  <c:v>7069085.7142127762</c:v>
                </c:pt>
                <c:pt idx="12">
                  <c:v>7127002.499573797</c:v>
                </c:pt>
                <c:pt idx="13">
                  <c:v>6916731.2185655069</c:v>
                </c:pt>
                <c:pt idx="14">
                  <c:v>7154754.2925592856</c:v>
                </c:pt>
                <c:pt idx="15">
                  <c:v>7032726.2563248426</c:v>
                </c:pt>
                <c:pt idx="16">
                  <c:v>7516251.759004781</c:v>
                </c:pt>
                <c:pt idx="17">
                  <c:v>7890111.0831748545</c:v>
                </c:pt>
                <c:pt idx="18">
                  <c:v>8847357.6437872536</c:v>
                </c:pt>
                <c:pt idx="19">
                  <c:v>9013487.1341405176</c:v>
                </c:pt>
                <c:pt idx="20">
                  <c:v>7765443.34466644</c:v>
                </c:pt>
                <c:pt idx="21">
                  <c:v>7313755.6136236992</c:v>
                </c:pt>
                <c:pt idx="22">
                  <c:v>7144940.0279618204</c:v>
                </c:pt>
                <c:pt idx="23">
                  <c:v>7265761.4645012412</c:v>
                </c:pt>
                <c:pt idx="24">
                  <c:v>7263348.2651111986</c:v>
                </c:pt>
                <c:pt idx="25">
                  <c:v>6853826.5673871059</c:v>
                </c:pt>
                <c:pt idx="26">
                  <c:v>7114936.5026235841</c:v>
                </c:pt>
                <c:pt idx="27">
                  <c:v>6983726.3141928762</c:v>
                </c:pt>
                <c:pt idx="28">
                  <c:v>7228269.0170066115</c:v>
                </c:pt>
                <c:pt idx="29">
                  <c:v>7659959.3790733386</c:v>
                </c:pt>
                <c:pt idx="30">
                  <c:v>8378761.0335892737</c:v>
                </c:pt>
                <c:pt idx="31">
                  <c:v>8042286.6786728315</c:v>
                </c:pt>
                <c:pt idx="32">
                  <c:v>7715567.5374647733</c:v>
                </c:pt>
                <c:pt idx="33">
                  <c:v>7287723.0280554583</c:v>
                </c:pt>
                <c:pt idx="34">
                  <c:v>7071337.4465655237</c:v>
                </c:pt>
                <c:pt idx="35">
                  <c:v>7172853.287984604</c:v>
                </c:pt>
                <c:pt idx="36">
                  <c:v>7159580.6913393708</c:v>
                </c:pt>
                <c:pt idx="37">
                  <c:v>6824868.174706595</c:v>
                </c:pt>
                <c:pt idx="38">
                  <c:v>7201811.6806651149</c:v>
                </c:pt>
                <c:pt idx="39">
                  <c:v>7137700.4297916926</c:v>
                </c:pt>
                <c:pt idx="40">
                  <c:v>7744374.2771674711</c:v>
                </c:pt>
                <c:pt idx="41">
                  <c:v>7976703.1967332978</c:v>
                </c:pt>
                <c:pt idx="42">
                  <c:v>9055281.3034170233</c:v>
                </c:pt>
                <c:pt idx="43">
                  <c:v>8998830.2142007239</c:v>
                </c:pt>
                <c:pt idx="44">
                  <c:v>8009620.2217388581</c:v>
                </c:pt>
                <c:pt idx="45">
                  <c:v>7332143.4899485391</c:v>
                </c:pt>
                <c:pt idx="46">
                  <c:v>7147353.2273518629</c:v>
                </c:pt>
                <c:pt idx="47">
                  <c:v>7248869.0687709441</c:v>
                </c:pt>
                <c:pt idx="48">
                  <c:v>7282653.8602315392</c:v>
                </c:pt>
                <c:pt idx="49">
                  <c:v>6966040.3390240828</c:v>
                </c:pt>
                <c:pt idx="50">
                  <c:v>7336950.8465074953</c:v>
                </c:pt>
                <c:pt idx="51">
                  <c:v>7212509.6108830106</c:v>
                </c:pt>
                <c:pt idx="52">
                  <c:v>7330703.6694783773</c:v>
                </c:pt>
                <c:pt idx="53">
                  <c:v>7827003.2294635344</c:v>
                </c:pt>
                <c:pt idx="54">
                  <c:v>9048925.4357789531</c:v>
                </c:pt>
                <c:pt idx="55">
                  <c:v>8393221.1877084021</c:v>
                </c:pt>
                <c:pt idx="56">
                  <c:v>7374293.43925138</c:v>
                </c:pt>
                <c:pt idx="57">
                  <c:v>7200922.0635131001</c:v>
                </c:pt>
                <c:pt idx="58">
                  <c:v>7038759.254799949</c:v>
                </c:pt>
                <c:pt idx="59">
                  <c:v>7168026.8892045189</c:v>
                </c:pt>
                <c:pt idx="60">
                  <c:v>7174059.8876796253</c:v>
                </c:pt>
                <c:pt idx="61">
                  <c:v>6978267.8030115906</c:v>
                </c:pt>
                <c:pt idx="62">
                  <c:v>6480450.7108581383</c:v>
                </c:pt>
                <c:pt idx="63">
                  <c:v>5593624.1157959532</c:v>
                </c:pt>
                <c:pt idx="64">
                  <c:v>5884755.3878919873</c:v>
                </c:pt>
                <c:pt idx="65">
                  <c:v>7184425.4898278881</c:v>
                </c:pt>
                <c:pt idx="66">
                  <c:v>8535553.9867876377</c:v>
                </c:pt>
                <c:pt idx="67">
                  <c:v>7798697.2629995737</c:v>
                </c:pt>
                <c:pt idx="68">
                  <c:v>6711720.6987964613</c:v>
                </c:pt>
                <c:pt idx="69">
                  <c:v>6542830.5290192543</c:v>
                </c:pt>
                <c:pt idx="70">
                  <c:v>6438058.2544950992</c:v>
                </c:pt>
                <c:pt idx="71">
                  <c:v>6544400.4946942646</c:v>
                </c:pt>
                <c:pt idx="72">
                  <c:v>6468384.7139079254</c:v>
                </c:pt>
                <c:pt idx="73">
                  <c:v>6104713.8045946397</c:v>
                </c:pt>
                <c:pt idx="74">
                  <c:v>6434599.9224473303</c:v>
                </c:pt>
                <c:pt idx="75">
                  <c:v>6341017.8341199495</c:v>
                </c:pt>
                <c:pt idx="76">
                  <c:v>6747982.2083041361</c:v>
                </c:pt>
                <c:pt idx="77">
                  <c:v>7431384.9307669438</c:v>
                </c:pt>
                <c:pt idx="78">
                  <c:v>7626391.6204266977</c:v>
                </c:pt>
                <c:pt idx="79">
                  <c:v>8309353.987349119</c:v>
                </c:pt>
                <c:pt idx="80">
                  <c:v>6863720.2264933269</c:v>
                </c:pt>
                <c:pt idx="81">
                  <c:v>6751042.0928535815</c:v>
                </c:pt>
                <c:pt idx="82">
                  <c:v>6539412.6288768845</c:v>
                </c:pt>
                <c:pt idx="83">
                  <c:v>6663853.8645013701</c:v>
                </c:pt>
                <c:pt idx="84">
                  <c:v>6985319.8593166675</c:v>
                </c:pt>
                <c:pt idx="85">
                  <c:v>6644574.3442087853</c:v>
                </c:pt>
                <c:pt idx="86">
                  <c:v>7002212.2550469656</c:v>
                </c:pt>
                <c:pt idx="87">
                  <c:v>6944134.0026486497</c:v>
                </c:pt>
                <c:pt idx="88">
                  <c:v>7454731.1670561163</c:v>
                </c:pt>
                <c:pt idx="89">
                  <c:v>7575811.5304100327</c:v>
                </c:pt>
                <c:pt idx="90">
                  <c:v>8505668.3493371699</c:v>
                </c:pt>
                <c:pt idx="91">
                  <c:v>8545074.9633520991</c:v>
                </c:pt>
                <c:pt idx="92">
                  <c:v>7431589.1345353704</c:v>
                </c:pt>
                <c:pt idx="93">
                  <c:v>7044443.2443727087</c:v>
                </c:pt>
                <c:pt idx="94">
                  <c:v>6927241.6069183517</c:v>
                </c:pt>
                <c:pt idx="95">
                  <c:v>7061335.6401030067</c:v>
                </c:pt>
                <c:pt idx="96">
                  <c:v>7425032.6242440483</c:v>
                </c:pt>
                <c:pt idx="97">
                  <c:v>7091526.7073062938</c:v>
                </c:pt>
                <c:pt idx="98">
                  <c:v>7398487.43095358</c:v>
                </c:pt>
                <c:pt idx="99">
                  <c:v>7266848.6138335485</c:v>
                </c:pt>
                <c:pt idx="100">
                  <c:v>7492701.0246056467</c:v>
                </c:pt>
                <c:pt idx="101">
                  <c:v>8012238.1600467376</c:v>
                </c:pt>
                <c:pt idx="102">
                  <c:v>8774405.8970477227</c:v>
                </c:pt>
                <c:pt idx="103">
                  <c:v>8302806.0910237618</c:v>
                </c:pt>
                <c:pt idx="104">
                  <c:v>7771778.4872770477</c:v>
                </c:pt>
                <c:pt idx="105">
                  <c:v>7530180.1545480359</c:v>
                </c:pt>
                <c:pt idx="106">
                  <c:v>7263186.7980739037</c:v>
                </c:pt>
                <c:pt idx="107">
                  <c:v>7393661.0321734957</c:v>
                </c:pt>
                <c:pt idx="108">
                  <c:v>7417793.0260739205</c:v>
                </c:pt>
                <c:pt idx="109">
                  <c:v>7203901.9459805656</c:v>
                </c:pt>
                <c:pt idx="110">
                  <c:v>7449164.6181444731</c:v>
                </c:pt>
                <c:pt idx="111">
                  <c:v>7362127.9730656464</c:v>
                </c:pt>
                <c:pt idx="112">
                  <c:v>7716169.2669395935</c:v>
                </c:pt>
                <c:pt idx="113">
                  <c:v>8176941.582012156</c:v>
                </c:pt>
                <c:pt idx="114">
                  <c:v>9010513.64000104</c:v>
                </c:pt>
                <c:pt idx="115">
                  <c:v>8637034.1556382366</c:v>
                </c:pt>
                <c:pt idx="116">
                  <c:v>7843867.1976527888</c:v>
                </c:pt>
                <c:pt idx="117">
                  <c:v>7449863.5743585229</c:v>
                </c:pt>
                <c:pt idx="118">
                  <c:v>7322491.9475943297</c:v>
                </c:pt>
                <c:pt idx="119">
                  <c:v>7402107.2300386447</c:v>
                </c:pt>
              </c:numCache>
            </c:numRef>
          </c:val>
          <c:smooth val="0"/>
          <c:extLst>
            <c:ext xmlns:c16="http://schemas.microsoft.com/office/drawing/2014/chart" uri="{C3380CC4-5D6E-409C-BE32-E72D297353CC}">
              <c16:uniqueId val="{00000001-9BFB-46C2-A9A1-5EC968DB1113}"/>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 Predicted Monthly</a:t>
            </a:r>
          </a:p>
        </c:rich>
      </c:tx>
      <c:overlay val="0"/>
      <c:spPr>
        <a:noFill/>
        <a:ln>
          <a:noFill/>
        </a:ln>
        <a:effectLst/>
      </c:spPr>
    </c:title>
    <c:autoTitleDeleted val="0"/>
    <c:plotArea>
      <c:layout/>
      <c:lineChart>
        <c:grouping val="standard"/>
        <c:varyColors val="0"/>
        <c:ser>
          <c:idx val="0"/>
          <c:order val="0"/>
          <c:tx>
            <c:strRef>
              <c:f>'Large Use Predicted Monthly'!$D$1</c:f>
              <c:strCache>
                <c:ptCount val="1"/>
                <c:pt idx="0">
                  <c:v> GS_LU_NoCDM </c:v>
                </c:pt>
              </c:strCache>
            </c:strRef>
          </c:tx>
          <c:spPr>
            <a:ln w="28575" cap="rnd">
              <a:solidFill>
                <a:schemeClr val="accent1"/>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Monthly'!$D$2:$D$141</c:f>
              <c:numCache>
                <c:formatCode>_(* #,##0_);_(* \(#,##0\);_(* "-"??_);_(@_)</c:formatCode>
                <c:ptCount val="14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0C55-425E-851F-1A14672487B7}"/>
            </c:ext>
          </c:extLst>
        </c:ser>
        <c:ser>
          <c:idx val="1"/>
          <c:order val="1"/>
          <c:tx>
            <c:strRef>
              <c:f>'Large Use Predicted Monthly'!$U$1</c:f>
              <c:strCache>
                <c:ptCount val="1"/>
                <c:pt idx="0">
                  <c:v>Predicted</c:v>
                </c:pt>
              </c:strCache>
            </c:strRef>
          </c:tx>
          <c:spPr>
            <a:ln w="28575" cap="rnd">
              <a:solidFill>
                <a:schemeClr val="accent2"/>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Monthly'!$U$2:$U$141</c:f>
              <c:numCache>
                <c:formatCode>_(* #,##0_);_(* \(#,##0\);_(* "-"??_);_(@_)</c:formatCode>
                <c:ptCount val="140"/>
                <c:pt idx="0">
                  <c:v>3253824.8397655003</c:v>
                </c:pt>
                <c:pt idx="1">
                  <c:v>3085350.6820185808</c:v>
                </c:pt>
                <c:pt idx="2">
                  <c:v>3363827.2436481221</c:v>
                </c:pt>
                <c:pt idx="3">
                  <c:v>3196542.748682444</c:v>
                </c:pt>
                <c:pt idx="4">
                  <c:v>3349251.3842741144</c:v>
                </c:pt>
                <c:pt idx="5">
                  <c:v>3160562.2277246378</c:v>
                </c:pt>
                <c:pt idx="6">
                  <c:v>3432184.5219928208</c:v>
                </c:pt>
                <c:pt idx="7">
                  <c:v>3364277.8142722943</c:v>
                </c:pt>
                <c:pt idx="8">
                  <c:v>3412458.1136065712</c:v>
                </c:pt>
                <c:pt idx="9">
                  <c:v>3262695.2259418275</c:v>
                </c:pt>
                <c:pt idx="10">
                  <c:v>3213293.4350831923</c:v>
                </c:pt>
                <c:pt idx="11">
                  <c:v>3119593.3332585678</c:v>
                </c:pt>
                <c:pt idx="12">
                  <c:v>3213574.4728139061</c:v>
                </c:pt>
                <c:pt idx="13">
                  <c:v>3051507.2810278088</c:v>
                </c:pt>
                <c:pt idx="14">
                  <c:v>3324376.3648476531</c:v>
                </c:pt>
                <c:pt idx="15">
                  <c:v>3205201.4856667053</c:v>
                </c:pt>
                <c:pt idx="16">
                  <c:v>3341582.2485644319</c:v>
                </c:pt>
                <c:pt idx="17">
                  <c:v>3237550.8246425157</c:v>
                </c:pt>
                <c:pt idx="18">
                  <c:v>3513383.8689478724</c:v>
                </c:pt>
                <c:pt idx="19">
                  <c:v>3540108.5413534571</c:v>
                </c:pt>
                <c:pt idx="20">
                  <c:v>3385348.1916177203</c:v>
                </c:pt>
                <c:pt idx="21">
                  <c:v>3281286.1221303609</c:v>
                </c:pt>
                <c:pt idx="22">
                  <c:v>3190264.8842786816</c:v>
                </c:pt>
                <c:pt idx="23">
                  <c:v>3174535.4376467718</c:v>
                </c:pt>
                <c:pt idx="24">
                  <c:v>3202078.4588329946</c:v>
                </c:pt>
                <c:pt idx="25">
                  <c:v>2967220.7001005504</c:v>
                </c:pt>
                <c:pt idx="26">
                  <c:v>3371604.0252654743</c:v>
                </c:pt>
                <c:pt idx="27">
                  <c:v>3196401.8235920756</c:v>
                </c:pt>
                <c:pt idx="28">
                  <c:v>3296988.5915652658</c:v>
                </c:pt>
                <c:pt idx="29">
                  <c:v>3197290.0230903155</c:v>
                </c:pt>
                <c:pt idx="30">
                  <c:v>3406006.0546033992</c:v>
                </c:pt>
                <c:pt idx="31">
                  <c:v>3328803.1542238216</c:v>
                </c:pt>
                <c:pt idx="32">
                  <c:v>3359408.7552233539</c:v>
                </c:pt>
                <c:pt idx="33">
                  <c:v>3296758.8748027175</c:v>
                </c:pt>
                <c:pt idx="34">
                  <c:v>3230975.2084241728</c:v>
                </c:pt>
                <c:pt idx="35">
                  <c:v>3241014.3549995665</c:v>
                </c:pt>
                <c:pt idx="36">
                  <c:v>3250386.0080966731</c:v>
                </c:pt>
                <c:pt idx="37">
                  <c:v>2979425.8470845493</c:v>
                </c:pt>
                <c:pt idx="38">
                  <c:v>3350577.6697014184</c:v>
                </c:pt>
                <c:pt idx="39">
                  <c:v>3233498.1259589838</c:v>
                </c:pt>
                <c:pt idx="40">
                  <c:v>3382087.9161454807</c:v>
                </c:pt>
                <c:pt idx="41">
                  <c:v>3244113.3023268282</c:v>
                </c:pt>
                <c:pt idx="42">
                  <c:v>3529507.4491807339</c:v>
                </c:pt>
                <c:pt idx="43">
                  <c:v>3522006.5732910004</c:v>
                </c:pt>
                <c:pt idx="44">
                  <c:v>3418159.3209429793</c:v>
                </c:pt>
                <c:pt idx="45">
                  <c:v>3287730.6740428549</c:v>
                </c:pt>
                <c:pt idx="46">
                  <c:v>3253761.504007089</c:v>
                </c:pt>
                <c:pt idx="47">
                  <c:v>3175030.0631944439</c:v>
                </c:pt>
                <c:pt idx="48">
                  <c:v>3248485.8881061436</c:v>
                </c:pt>
                <c:pt idx="49">
                  <c:v>2991675.5396004105</c:v>
                </c:pt>
                <c:pt idx="50">
                  <c:v>3354938.1226966316</c:v>
                </c:pt>
                <c:pt idx="51">
                  <c:v>3201684.6221949565</c:v>
                </c:pt>
                <c:pt idx="52">
                  <c:v>3259798.084952814</c:v>
                </c:pt>
                <c:pt idx="53">
                  <c:v>3204088.6466279714</c:v>
                </c:pt>
                <c:pt idx="54">
                  <c:v>3523819.4673919682</c:v>
                </c:pt>
                <c:pt idx="55">
                  <c:v>3398233.827168935</c:v>
                </c:pt>
                <c:pt idx="56">
                  <c:v>3300911.5793198277</c:v>
                </c:pt>
                <c:pt idx="57">
                  <c:v>3243848.6189999282</c:v>
                </c:pt>
                <c:pt idx="58">
                  <c:v>3254485.9905506773</c:v>
                </c:pt>
                <c:pt idx="59">
                  <c:v>3178309.5975631047</c:v>
                </c:pt>
                <c:pt idx="60">
                  <c:v>3158834.0057677669</c:v>
                </c:pt>
                <c:pt idx="61">
                  <c:v>3023764.2115808432</c:v>
                </c:pt>
                <c:pt idx="62">
                  <c:v>2930888.0394110205</c:v>
                </c:pt>
                <c:pt idx="63">
                  <c:v>2309330.7280456573</c:v>
                </c:pt>
                <c:pt idx="64">
                  <c:v>2448955.4070440205</c:v>
                </c:pt>
                <c:pt idx="65">
                  <c:v>2738158.9014965626</c:v>
                </c:pt>
                <c:pt idx="66">
                  <c:v>3407211.0127967233</c:v>
                </c:pt>
                <c:pt idx="67">
                  <c:v>3241116.5682985857</c:v>
                </c:pt>
                <c:pt idx="68">
                  <c:v>3094036.7995112399</c:v>
                </c:pt>
                <c:pt idx="69">
                  <c:v>2942486.3784827972</c:v>
                </c:pt>
                <c:pt idx="70">
                  <c:v>2888449.5905357758</c:v>
                </c:pt>
                <c:pt idx="71">
                  <c:v>2856876.8263921468</c:v>
                </c:pt>
                <c:pt idx="72">
                  <c:v>2874428.9066214035</c:v>
                </c:pt>
                <c:pt idx="73">
                  <c:v>2677152.2311613262</c:v>
                </c:pt>
                <c:pt idx="74">
                  <c:v>2989190.5704075908</c:v>
                </c:pt>
                <c:pt idx="75">
                  <c:v>2830115.0586053929</c:v>
                </c:pt>
                <c:pt idx="76">
                  <c:v>2968613.7000611974</c:v>
                </c:pt>
                <c:pt idx="77">
                  <c:v>2948162.5986028472</c:v>
                </c:pt>
                <c:pt idx="78">
                  <c:v>3086344.4122883421</c:v>
                </c:pt>
                <c:pt idx="79">
                  <c:v>3218537.8425344964</c:v>
                </c:pt>
                <c:pt idx="80">
                  <c:v>3017839.0528202499</c:v>
                </c:pt>
                <c:pt idx="81">
                  <c:v>3002789.3514812617</c:v>
                </c:pt>
                <c:pt idx="82">
                  <c:v>2912379.1312002717</c:v>
                </c:pt>
                <c:pt idx="83">
                  <c:v>2837155.54370033</c:v>
                </c:pt>
                <c:pt idx="84">
                  <c:v>3107360.6473847865</c:v>
                </c:pt>
                <c:pt idx="85">
                  <c:v>2830217.552961715</c:v>
                </c:pt>
                <c:pt idx="86">
                  <c:v>3166816.2357232226</c:v>
                </c:pt>
                <c:pt idx="87">
                  <c:v>3028006.2204904603</c:v>
                </c:pt>
                <c:pt idx="88">
                  <c:v>3196691.0807021963</c:v>
                </c:pt>
                <c:pt idx="89">
                  <c:v>3036615.4041926917</c:v>
                </c:pt>
                <c:pt idx="90">
                  <c:v>3278438.0877436693</c:v>
                </c:pt>
                <c:pt idx="91">
                  <c:v>3290050.3290093397</c:v>
                </c:pt>
                <c:pt idx="92">
                  <c:v>3155414.3876128127</c:v>
                </c:pt>
                <c:pt idx="93">
                  <c:v>3065120.0232571308</c:v>
                </c:pt>
                <c:pt idx="94">
                  <c:v>3043690.671141481</c:v>
                </c:pt>
                <c:pt idx="95">
                  <c:v>2989438.8533908264</c:v>
                </c:pt>
                <c:pt idx="96">
                  <c:v>3189651.9845317956</c:v>
                </c:pt>
                <c:pt idx="97">
                  <c:v>2979457.1425473029</c:v>
                </c:pt>
                <c:pt idx="98">
                  <c:v>3344990.6832062779</c:v>
                </c:pt>
                <c:pt idx="99">
                  <c:v>3210850.7356987502</c:v>
                </c:pt>
                <c:pt idx="100">
                  <c:v>3305569.4582056855</c:v>
                </c:pt>
                <c:pt idx="101">
                  <c:v>3250158.1945061106</c:v>
                </c:pt>
                <c:pt idx="102">
                  <c:v>3455973.8975162241</c:v>
                </c:pt>
                <c:pt idx="103">
                  <c:v>3351251.5182555662</c:v>
                </c:pt>
                <c:pt idx="104">
                  <c:v>3349868.8581443573</c:v>
                </c:pt>
                <c:pt idx="105">
                  <c:v>3300250.1035933346</c:v>
                </c:pt>
                <c:pt idx="106">
                  <c:v>3223886.5826963382</c:v>
                </c:pt>
                <c:pt idx="107">
                  <c:v>3127482.7021872946</c:v>
                </c:pt>
                <c:pt idx="108">
                  <c:v>3195702.8177508018</c:v>
                </c:pt>
                <c:pt idx="109">
                  <c:v>3024378.8712061904</c:v>
                </c:pt>
                <c:pt idx="110">
                  <c:v>3300533.4439495485</c:v>
                </c:pt>
                <c:pt idx="111">
                  <c:v>3178095.6103997394</c:v>
                </c:pt>
                <c:pt idx="112">
                  <c:v>3340302.6817022343</c:v>
                </c:pt>
                <c:pt idx="113">
                  <c:v>3247709.2414343343</c:v>
                </c:pt>
                <c:pt idx="114">
                  <c:v>3484280.4301167489</c:v>
                </c:pt>
                <c:pt idx="115">
                  <c:v>3411534.5322084464</c:v>
                </c:pt>
                <c:pt idx="116">
                  <c:v>3362197.784572802</c:v>
                </c:pt>
                <c:pt idx="117">
                  <c:v>3263749.8116698861</c:v>
                </c:pt>
                <c:pt idx="118">
                  <c:v>3213495.8774417522</c:v>
                </c:pt>
                <c:pt idx="119">
                  <c:v>3178381.6026254622</c:v>
                </c:pt>
              </c:numCache>
            </c:numRef>
          </c:val>
          <c:smooth val="0"/>
          <c:extLst>
            <c:ext xmlns:c16="http://schemas.microsoft.com/office/drawing/2014/chart" uri="{C3380CC4-5D6E-409C-BE32-E72D297353CC}">
              <c16:uniqueId val="{00000001-0C55-425E-851F-1A14672487B7}"/>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Res kWh</a:t>
            </a:r>
          </a:p>
        </c:rich>
      </c:tx>
      <c:overlay val="0"/>
      <c:spPr>
        <a:noFill/>
        <a:ln>
          <a:noFill/>
        </a:ln>
        <a:effectLst/>
      </c:spPr>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2"/>
          <c:order val="0"/>
          <c:tx>
            <c:strRef>
              <c:f>'Model Summary'!$C$3</c:f>
              <c:strCache>
                <c:ptCount val="1"/>
                <c:pt idx="0">
                  <c:v>CDM Added Back</c:v>
                </c:pt>
              </c:strCache>
            </c:strRef>
          </c:tx>
          <c:spPr>
            <a:ln w="19050" cap="rnd" cmpd="sng" algn="ctr">
              <a:solidFill>
                <a:schemeClr val="accent3"/>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Summary'!$C$4:$C$13</c:f>
              <c:numCache>
                <c:formatCode>#,##0</c:formatCode>
                <c:ptCount val="10"/>
                <c:pt idx="0">
                  <c:v>481012059.99999994</c:v>
                </c:pt>
                <c:pt idx="1">
                  <c:v>485657328.5</c:v>
                </c:pt>
                <c:pt idx="2">
                  <c:v>485732542.58580047</c:v>
                </c:pt>
                <c:pt idx="3">
                  <c:v>511063536.77024138</c:v>
                </c:pt>
                <c:pt idx="4">
                  <c:v>511763347</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0-7E8B-4816-B55E-9CA300298653}"/>
            </c:ext>
          </c:extLst>
        </c:ser>
        <c:ser>
          <c:idx val="0"/>
          <c:order val="1"/>
          <c:tx>
            <c:strRef>
              <c:f>'Model Summary'!$D$3</c:f>
              <c:strCache>
                <c:ptCount val="1"/>
                <c:pt idx="0">
                  <c:v>Predicted</c:v>
                </c:pt>
              </c:strCache>
            </c:strRef>
          </c:tx>
          <c:spPr>
            <a:ln w="19050" cap="rnd" cmpd="sng" algn="ctr">
              <a:solidFill>
                <a:schemeClr val="accent1"/>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Summary'!$D$4:$D$13</c:f>
              <c:numCache>
                <c:formatCode>#,##0</c:formatCode>
                <c:ptCount val="10"/>
                <c:pt idx="0">
                  <c:v>476922040.30077809</c:v>
                </c:pt>
                <c:pt idx="1">
                  <c:v>488717248.03116369</c:v>
                </c:pt>
                <c:pt idx="2">
                  <c:v>484768651.78869158</c:v>
                </c:pt>
                <c:pt idx="3">
                  <c:v>516004977.46185267</c:v>
                </c:pt>
                <c:pt idx="4">
                  <c:v>513749416.09797871</c:v>
                </c:pt>
                <c:pt idx="5">
                  <c:v>534506065.18768591</c:v>
                </c:pt>
                <c:pt idx="6">
                  <c:v>542208592.2776047</c:v>
                </c:pt>
                <c:pt idx="7">
                  <c:v>548900875.06423283</c:v>
                </c:pt>
                <c:pt idx="8">
                  <c:v>540714118.95064676</c:v>
                </c:pt>
                <c:pt idx="9">
                  <c:v>550897964.12188292</c:v>
                </c:pt>
              </c:numCache>
            </c:numRef>
          </c:val>
          <c:smooth val="0"/>
          <c:extLst>
            <c:ext xmlns:c16="http://schemas.microsoft.com/office/drawing/2014/chart" uri="{C3380CC4-5D6E-409C-BE32-E72D297353CC}">
              <c16:uniqueId val="{00000001-7E8B-4816-B55E-9CA300298653}"/>
            </c:ext>
          </c:extLst>
        </c:ser>
        <c:dLbls>
          <c:showLegendKey val="0"/>
          <c:showVal val="0"/>
          <c:showCatName val="0"/>
          <c:showSerName val="0"/>
          <c:showPercent val="0"/>
          <c:showBubbleSize val="0"/>
        </c:dLbls>
        <c:smooth val="0"/>
        <c:axId val="176336256"/>
        <c:axId val="176354432"/>
      </c:lineChart>
      <c:catAx>
        <c:axId val="17633625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54432"/>
        <c:crosses val="autoZero"/>
        <c:auto val="1"/>
        <c:lblAlgn val="ctr"/>
        <c:lblOffset val="100"/>
        <c:noMultiLvlLbl val="0"/>
      </c:catAx>
      <c:valAx>
        <c:axId val="176354432"/>
        <c:scaling>
          <c:orientation val="minMax"/>
          <c:min val="45000000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36256"/>
        <c:crosses val="autoZero"/>
        <c:crossBetween val="between"/>
      </c:valAx>
      <c:spPr>
        <a:solidFill>
          <a:schemeClr val="bg1"/>
        </a:solidFill>
        <a:ln>
          <a:noFill/>
        </a:ln>
        <a:effectLst/>
      </c:spPr>
    </c:plotArea>
    <c:legend>
      <c:legendPos val="r"/>
      <c:layout>
        <c:manualLayout>
          <c:xMode val="edge"/>
          <c:yMode val="edge"/>
          <c:x val="0.21715721957119594"/>
          <c:y val="0.88854677939255144"/>
          <c:w val="0.24757020584833503"/>
          <c:h val="0.111453207686194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GS&lt;50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Summary'!$I$3</c:f>
              <c:strCache>
                <c:ptCount val="1"/>
                <c:pt idx="0">
                  <c:v>CDM Added Back</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Summary'!$I$4:$I$13</c:f>
              <c:numCache>
                <c:formatCode>#,##0</c:formatCode>
                <c:ptCount val="10"/>
                <c:pt idx="0">
                  <c:v>134898301.62</c:v>
                </c:pt>
                <c:pt idx="1">
                  <c:v>134192420.16500002</c:v>
                </c:pt>
                <c:pt idx="2">
                  <c:v>133352086.91229646</c:v>
                </c:pt>
                <c:pt idx="3">
                  <c:v>140606315.23148555</c:v>
                </c:pt>
                <c:pt idx="4">
                  <c:v>123864823.73779301</c:v>
                </c:pt>
                <c:pt idx="5">
                  <c:v>121640408.50729647</c:v>
                </c:pt>
                <c:pt idx="6">
                  <c:v>125968958.52395788</c:v>
                </c:pt>
                <c:pt idx="7">
                  <c:v>133832555.90465832</c:v>
                </c:pt>
                <c:pt idx="8">
                  <c:v>135558434.85972881</c:v>
                </c:pt>
                <c:pt idx="9">
                  <c:v>141570676.4194943</c:v>
                </c:pt>
              </c:numCache>
            </c:numRef>
          </c:val>
          <c:smooth val="0"/>
          <c:extLst>
            <c:ext xmlns:c16="http://schemas.microsoft.com/office/drawing/2014/chart" uri="{C3380CC4-5D6E-409C-BE32-E72D297353CC}">
              <c16:uniqueId val="{00000000-B449-4DF8-BB13-414F3FA7538F}"/>
            </c:ext>
          </c:extLst>
        </c:ser>
        <c:ser>
          <c:idx val="2"/>
          <c:order val="1"/>
          <c:tx>
            <c:strRef>
              <c:f>'Model Summary'!$J$3</c:f>
              <c:strCache>
                <c:ptCount val="1"/>
                <c:pt idx="0">
                  <c:v>Predicted</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Summary'!$J$4:$J$13</c:f>
              <c:numCache>
                <c:formatCode>#,##0</c:formatCode>
                <c:ptCount val="10"/>
                <c:pt idx="0">
                  <c:v>131308099.89515515</c:v>
                </c:pt>
                <c:pt idx="1">
                  <c:v>135054184.59272656</c:v>
                </c:pt>
                <c:pt idx="2">
                  <c:v>132262084.23595771</c:v>
                </c:pt>
                <c:pt idx="3">
                  <c:v>137242956.69136372</c:v>
                </c:pt>
                <c:pt idx="4">
                  <c:v>135146131.27985844</c:v>
                </c:pt>
                <c:pt idx="5">
                  <c:v>126056838.71810764</c:v>
                </c:pt>
                <c:pt idx="6">
                  <c:v>126268039.20044671</c:v>
                </c:pt>
                <c:pt idx="7">
                  <c:v>132189454.75031555</c:v>
                </c:pt>
                <c:pt idx="8">
                  <c:v>136043604.93654272</c:v>
                </c:pt>
                <c:pt idx="9">
                  <c:v>137051707.89260617</c:v>
                </c:pt>
              </c:numCache>
            </c:numRef>
          </c:val>
          <c:smooth val="0"/>
          <c:extLst>
            <c:ext xmlns:c16="http://schemas.microsoft.com/office/drawing/2014/chart" uri="{C3380CC4-5D6E-409C-BE32-E72D297353CC}">
              <c16:uniqueId val="{00000001-B449-4DF8-BB13-414F3FA7538F}"/>
            </c:ext>
          </c:extLst>
        </c:ser>
        <c:dLbls>
          <c:showLegendKey val="0"/>
          <c:showVal val="0"/>
          <c:showCatName val="0"/>
          <c:showSerName val="0"/>
          <c:showPercent val="0"/>
          <c:showBubbleSize val="0"/>
        </c:dLbls>
        <c:smooth val="0"/>
        <c:axId val="175999616"/>
        <c:axId val="176009600"/>
      </c:lineChart>
      <c:catAx>
        <c:axId val="175999616"/>
        <c:scaling>
          <c:orientation val="minMax"/>
        </c:scaling>
        <c:delete val="0"/>
        <c:axPos val="b"/>
        <c:numFmt formatCode="General" sourceLinked="1"/>
        <c:majorTickMark val="out"/>
        <c:minorTickMark val="none"/>
        <c:tickLblPos val="nextTo"/>
        <c:crossAx val="176009600"/>
        <c:crosses val="autoZero"/>
        <c:auto val="1"/>
        <c:lblAlgn val="ctr"/>
        <c:lblOffset val="100"/>
        <c:noMultiLvlLbl val="0"/>
      </c:catAx>
      <c:valAx>
        <c:axId val="176009600"/>
        <c:scaling>
          <c:orientation val="minMax"/>
        </c:scaling>
        <c:delete val="0"/>
        <c:axPos val="l"/>
        <c:majorGridlines/>
        <c:numFmt formatCode="#,##0" sourceLinked="1"/>
        <c:majorTickMark val="out"/>
        <c:minorTickMark val="none"/>
        <c:tickLblPos val="nextTo"/>
        <c:crossAx val="175999616"/>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GS&gt;50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Summary'!$O$3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Summary'!$O$4:$O$13</c:f>
              <c:numCache>
                <c:formatCode>#,##0</c:formatCode>
                <c:ptCount val="10"/>
                <c:pt idx="0">
                  <c:v>331966598.85181773</c:v>
                </c:pt>
                <c:pt idx="1">
                  <c:v>338382860.51643836</c:v>
                </c:pt>
                <c:pt idx="2">
                  <c:v>348869191.4106676</c:v>
                </c:pt>
                <c:pt idx="3">
                  <c:v>331859176.49686801</c:v>
                </c:pt>
                <c:pt idx="4">
                  <c:v>336690488.22027057</c:v>
                </c:pt>
                <c:pt idx="5">
                  <c:v>312300869.96593964</c:v>
                </c:pt>
                <c:pt idx="6">
                  <c:v>318889100.1174531</c:v>
                </c:pt>
                <c:pt idx="7">
                  <c:v>352184063.75136703</c:v>
                </c:pt>
                <c:pt idx="8">
                  <c:v>333727083.94433075</c:v>
                </c:pt>
                <c:pt idx="9">
                  <c:v>325027822.82436216</c:v>
                </c:pt>
              </c:numCache>
            </c:numRef>
          </c:val>
          <c:smooth val="0"/>
          <c:extLst>
            <c:ext xmlns:c16="http://schemas.microsoft.com/office/drawing/2014/chart" uri="{C3380CC4-5D6E-409C-BE32-E72D297353CC}">
              <c16:uniqueId val="{00000000-CF01-45C4-9E84-D2732F09EE2B}"/>
            </c:ext>
          </c:extLst>
        </c:ser>
        <c:ser>
          <c:idx val="2"/>
          <c:order val="1"/>
          <c:tx>
            <c:strRef>
              <c:f>'Model Summary'!$P$3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Summary'!$P$4:$P$13</c:f>
              <c:numCache>
                <c:formatCode>#,##0</c:formatCode>
                <c:ptCount val="10"/>
                <c:pt idx="0">
                  <c:v>333025224.3762958</c:v>
                </c:pt>
                <c:pt idx="1">
                  <c:v>335876760.56126654</c:v>
                </c:pt>
                <c:pt idx="2">
                  <c:v>331226870.37178296</c:v>
                </c:pt>
                <c:pt idx="3">
                  <c:v>343800642.08431679</c:v>
                </c:pt>
                <c:pt idx="4">
                  <c:v>341735211.07771158</c:v>
                </c:pt>
                <c:pt idx="5">
                  <c:v>318920896.11867136</c:v>
                </c:pt>
                <c:pt idx="6">
                  <c:v>320616452.55330133</c:v>
                </c:pt>
                <c:pt idx="7">
                  <c:v>335037277.05446774</c:v>
                </c:pt>
                <c:pt idx="8">
                  <c:v>337125249.75741458</c:v>
                </c:pt>
                <c:pt idx="9">
                  <c:v>338776736.00691819</c:v>
                </c:pt>
              </c:numCache>
            </c:numRef>
          </c:val>
          <c:smooth val="0"/>
          <c:extLst>
            <c:ext xmlns:c16="http://schemas.microsoft.com/office/drawing/2014/chart" uri="{C3380CC4-5D6E-409C-BE32-E72D297353CC}">
              <c16:uniqueId val="{00000001-CF01-45C4-9E84-D2732F09EE2B}"/>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Summary'!$U$3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Summary'!$U$4:$U$13</c:f>
              <c:numCache>
                <c:formatCode>#,##0</c:formatCode>
                <c:ptCount val="10"/>
                <c:pt idx="0">
                  <c:v>41948975.999999993</c:v>
                </c:pt>
                <c:pt idx="1">
                  <c:v>41438245.999999993</c:v>
                </c:pt>
                <c:pt idx="2">
                  <c:v>37675686.675000004</c:v>
                </c:pt>
                <c:pt idx="3">
                  <c:v>45152334.11666666</c:v>
                </c:pt>
                <c:pt idx="4">
                  <c:v>39157632.233333327</c:v>
                </c:pt>
                <c:pt idx="5">
                  <c:v>31076990.349999994</c:v>
                </c:pt>
                <c:pt idx="6">
                  <c:v>36461103.083068967</c:v>
                </c:pt>
                <c:pt idx="7">
                  <c:v>34241072.745995484</c:v>
                </c:pt>
                <c:pt idx="8">
                  <c:v>34385309.398317255</c:v>
                </c:pt>
                <c:pt idx="9">
                  <c:v>40445029.17854955</c:v>
                </c:pt>
              </c:numCache>
            </c:numRef>
          </c:val>
          <c:smooth val="0"/>
          <c:extLst>
            <c:ext xmlns:c16="http://schemas.microsoft.com/office/drawing/2014/chart" uri="{C3380CC4-5D6E-409C-BE32-E72D297353CC}">
              <c16:uniqueId val="{00000000-22F4-41B2-8A27-632E5514915E}"/>
            </c:ext>
          </c:extLst>
        </c:ser>
        <c:ser>
          <c:idx val="2"/>
          <c:order val="1"/>
          <c:tx>
            <c:strRef>
              <c:f>'Model Summary'!$V$3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Summary'!$V$4:$V$13</c:f>
              <c:numCache>
                <c:formatCode>#,##0</c:formatCode>
                <c:ptCount val="10"/>
                <c:pt idx="0">
                  <c:v>39213861.570268683</c:v>
                </c:pt>
                <c:pt idx="1">
                  <c:v>39458719.723537877</c:v>
                </c:pt>
                <c:pt idx="2">
                  <c:v>39094550.024723701</c:v>
                </c:pt>
                <c:pt idx="3">
                  <c:v>39626284.453973033</c:v>
                </c:pt>
                <c:pt idx="4">
                  <c:v>39160279.985173367</c:v>
                </c:pt>
                <c:pt idx="5">
                  <c:v>35040108.469363138</c:v>
                </c:pt>
                <c:pt idx="6">
                  <c:v>35362708.399484709</c:v>
                </c:pt>
                <c:pt idx="7">
                  <c:v>37187859.49361033</c:v>
                </c:pt>
                <c:pt idx="8">
                  <c:v>39089391.861089036</c:v>
                </c:pt>
                <c:pt idx="9">
                  <c:v>39200362.705077946</c:v>
                </c:pt>
              </c:numCache>
            </c:numRef>
          </c:val>
          <c:smooth val="0"/>
          <c:extLst>
            <c:ext xmlns:c16="http://schemas.microsoft.com/office/drawing/2014/chart" uri="{C3380CC4-5D6E-409C-BE32-E72D297353CC}">
              <c16:uniqueId val="{00000001-22F4-41B2-8A27-632E5514915E}"/>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strRef>
              <c:f>Weather!$ES$1</c:f>
              <c:strCache>
                <c:ptCount val="1"/>
                <c:pt idx="0">
                  <c:v> GS_lt_50_NoCDM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Weather!$ES$2:$ES$121</c:f>
              <c:numCache>
                <c:formatCode>_(* #,##0.00_);_(* \(#,##0.00\);_(* "-"??_);_(@_)</c:formatCode>
                <c:ptCount val="120"/>
                <c:pt idx="0">
                  <c:v>111.66629340698282</c:v>
                </c:pt>
                <c:pt idx="1">
                  <c:v>114.2079858128095</c:v>
                </c:pt>
                <c:pt idx="2">
                  <c:v>99.777658289654582</c:v>
                </c:pt>
                <c:pt idx="3">
                  <c:v>88.687838476947746</c:v>
                </c:pt>
                <c:pt idx="4">
                  <c:v>82.209111272821914</c:v>
                </c:pt>
                <c:pt idx="5">
                  <c:v>84.639056829837827</c:v>
                </c:pt>
                <c:pt idx="6">
                  <c:v>90.781089515140209</c:v>
                </c:pt>
                <c:pt idx="7">
                  <c:v>88.499714175345233</c:v>
                </c:pt>
                <c:pt idx="8">
                  <c:v>89.249927610339</c:v>
                </c:pt>
                <c:pt idx="9">
                  <c:v>79.661588202521642</c:v>
                </c:pt>
                <c:pt idx="10">
                  <c:v>87.311802135173224</c:v>
                </c:pt>
                <c:pt idx="11">
                  <c:v>88.527597911797372</c:v>
                </c:pt>
                <c:pt idx="12">
                  <c:v>99.423522492063412</c:v>
                </c:pt>
                <c:pt idx="13">
                  <c:v>96.791652581487341</c:v>
                </c:pt>
                <c:pt idx="14">
                  <c:v>90.848748355819367</c:v>
                </c:pt>
                <c:pt idx="15">
                  <c:v>83.444907570606773</c:v>
                </c:pt>
                <c:pt idx="16">
                  <c:v>79.391450052289088</c:v>
                </c:pt>
                <c:pt idx="17">
                  <c:v>83.997172916477737</c:v>
                </c:pt>
                <c:pt idx="18">
                  <c:v>91.587764496202254</c:v>
                </c:pt>
                <c:pt idx="19">
                  <c:v>95.317605798019187</c:v>
                </c:pt>
                <c:pt idx="20">
                  <c:v>85.086087111051967</c:v>
                </c:pt>
                <c:pt idx="21">
                  <c:v>78.045090988044507</c:v>
                </c:pt>
                <c:pt idx="22">
                  <c:v>84.118005413196457</c:v>
                </c:pt>
                <c:pt idx="23">
                  <c:v>92.425751785119004</c:v>
                </c:pt>
                <c:pt idx="24">
                  <c:v>96.039915326256491</c:v>
                </c:pt>
                <c:pt idx="25">
                  <c:v>95.310254930787167</c:v>
                </c:pt>
                <c:pt idx="26">
                  <c:v>94.701951531860018</c:v>
                </c:pt>
                <c:pt idx="27">
                  <c:v>82.773932249877376</c:v>
                </c:pt>
                <c:pt idx="28">
                  <c:v>79.522263799431471</c:v>
                </c:pt>
                <c:pt idx="29">
                  <c:v>82.424288610171104</c:v>
                </c:pt>
                <c:pt idx="30">
                  <c:v>88.194318933334301</c:v>
                </c:pt>
                <c:pt idx="31">
                  <c:v>85.430914503093035</c:v>
                </c:pt>
                <c:pt idx="32">
                  <c:v>84.867775390920912</c:v>
                </c:pt>
                <c:pt idx="33">
                  <c:v>77.934278655152767</c:v>
                </c:pt>
                <c:pt idx="34">
                  <c:v>88.350364421504807</c:v>
                </c:pt>
                <c:pt idx="35">
                  <c:v>98.161448380500929</c:v>
                </c:pt>
                <c:pt idx="36">
                  <c:v>105.55950258246534</c:v>
                </c:pt>
                <c:pt idx="37">
                  <c:v>100.02814749942614</c:v>
                </c:pt>
                <c:pt idx="38">
                  <c:v>92.774587718881492</c:v>
                </c:pt>
                <c:pt idx="39">
                  <c:v>88.650917167440937</c:v>
                </c:pt>
                <c:pt idx="40">
                  <c:v>81.662934892507693</c:v>
                </c:pt>
                <c:pt idx="41">
                  <c:v>86.014770610711466</c:v>
                </c:pt>
                <c:pt idx="42">
                  <c:v>94.941962001472007</c:v>
                </c:pt>
                <c:pt idx="43">
                  <c:v>97.951177951014841</c:v>
                </c:pt>
                <c:pt idx="44">
                  <c:v>88.283196396512579</c:v>
                </c:pt>
                <c:pt idx="45">
                  <c:v>83.864888067441058</c:v>
                </c:pt>
                <c:pt idx="46">
                  <c:v>90.435141298460763</c:v>
                </c:pt>
                <c:pt idx="47">
                  <c:v>91.024317546115796</c:v>
                </c:pt>
                <c:pt idx="48">
                  <c:v>95.083394730943922</c:v>
                </c:pt>
                <c:pt idx="49">
                  <c:v>91.792536520372764</c:v>
                </c:pt>
                <c:pt idx="50">
                  <c:v>85.81264086811548</c:v>
                </c:pt>
                <c:pt idx="51">
                  <c:v>76.195645058972318</c:v>
                </c:pt>
                <c:pt idx="52">
                  <c:v>70.891456935538926</c:v>
                </c:pt>
                <c:pt idx="53">
                  <c:v>74.846852385716574</c:v>
                </c:pt>
                <c:pt idx="54">
                  <c:v>86.444708741976982</c:v>
                </c:pt>
                <c:pt idx="55">
                  <c:v>80.465426741017112</c:v>
                </c:pt>
                <c:pt idx="56">
                  <c:v>72.586716189022312</c:v>
                </c:pt>
                <c:pt idx="57">
                  <c:v>69.77493093454369</c:v>
                </c:pt>
                <c:pt idx="58">
                  <c:v>82.460402324286889</c:v>
                </c:pt>
                <c:pt idx="59">
                  <c:v>84.812839550174445</c:v>
                </c:pt>
                <c:pt idx="60">
                  <c:v>93.640747627742016</c:v>
                </c:pt>
                <c:pt idx="61">
                  <c:v>92.961521118320334</c:v>
                </c:pt>
                <c:pt idx="62">
                  <c:v>81.121280767166922</c:v>
                </c:pt>
                <c:pt idx="63">
                  <c:v>67.5443697410646</c:v>
                </c:pt>
                <c:pt idx="64">
                  <c:v>64.672244724660473</c:v>
                </c:pt>
                <c:pt idx="65">
                  <c:v>74.677772194066762</c:v>
                </c:pt>
                <c:pt idx="66">
                  <c:v>89.505771767681438</c:v>
                </c:pt>
                <c:pt idx="67">
                  <c:v>82.766060630567807</c:v>
                </c:pt>
                <c:pt idx="68">
                  <c:v>72.082087399467738</c:v>
                </c:pt>
                <c:pt idx="69">
                  <c:v>69.891082922261901</c:v>
                </c:pt>
                <c:pt idx="70">
                  <c:v>75.527161233302607</c:v>
                </c:pt>
                <c:pt idx="71">
                  <c:v>82.693720577029694</c:v>
                </c:pt>
                <c:pt idx="72">
                  <c:v>81.622962367380609</c:v>
                </c:pt>
                <c:pt idx="73">
                  <c:v>84.877962544082251</c:v>
                </c:pt>
                <c:pt idx="74">
                  <c:v>88.329521888880379</c:v>
                </c:pt>
                <c:pt idx="75">
                  <c:v>72.835878903872285</c:v>
                </c:pt>
                <c:pt idx="76">
                  <c:v>68.036542351386188</c:v>
                </c:pt>
                <c:pt idx="77">
                  <c:v>79.217703328241413</c:v>
                </c:pt>
                <c:pt idx="78">
                  <c:v>82.430816243712357</c:v>
                </c:pt>
                <c:pt idx="79">
                  <c:v>91.203728455507658</c:v>
                </c:pt>
                <c:pt idx="80">
                  <c:v>77.298659031344954</c:v>
                </c:pt>
                <c:pt idx="81">
                  <c:v>72.46045087806732</c:v>
                </c:pt>
                <c:pt idx="82">
                  <c:v>80.27145751703064</c:v>
                </c:pt>
                <c:pt idx="83">
                  <c:v>91.006569232148181</c:v>
                </c:pt>
                <c:pt idx="84">
                  <c:v>95.07744726535482</c:v>
                </c:pt>
                <c:pt idx="85">
                  <c:v>96.578864339561505</c:v>
                </c:pt>
                <c:pt idx="86">
                  <c:v>89.512802689601813</c:v>
                </c:pt>
                <c:pt idx="87">
                  <c:v>79.484321682239568</c:v>
                </c:pt>
                <c:pt idx="88">
                  <c:v>76.208823971607387</c:v>
                </c:pt>
                <c:pt idx="89">
                  <c:v>80.928988744373513</c:v>
                </c:pt>
                <c:pt idx="90">
                  <c:v>87.490127854058727</c:v>
                </c:pt>
                <c:pt idx="91">
                  <c:v>90.94903376166782</c:v>
                </c:pt>
                <c:pt idx="92">
                  <c:v>80.39267936423569</c:v>
                </c:pt>
                <c:pt idx="93">
                  <c:v>73.421435155951173</c:v>
                </c:pt>
                <c:pt idx="94">
                  <c:v>82.172405631229836</c:v>
                </c:pt>
                <c:pt idx="95">
                  <c:v>90.464567487504198</c:v>
                </c:pt>
                <c:pt idx="96">
                  <c:v>88.742642066342071</c:v>
                </c:pt>
                <c:pt idx="97">
                  <c:v>93.028770901406688</c:v>
                </c:pt>
                <c:pt idx="98">
                  <c:v>88.17629777630539</c:v>
                </c:pt>
                <c:pt idx="99">
                  <c:v>77.078235406103857</c:v>
                </c:pt>
                <c:pt idx="100">
                  <c:v>77.223474309248758</c:v>
                </c:pt>
                <c:pt idx="101">
                  <c:v>83.739439167693391</c:v>
                </c:pt>
                <c:pt idx="102">
                  <c:v>91.37664042901487</c:v>
                </c:pt>
                <c:pt idx="103">
                  <c:v>85.458001714647068</c:v>
                </c:pt>
                <c:pt idx="104">
                  <c:v>81.79833367897352</c:v>
                </c:pt>
                <c:pt idx="105">
                  <c:v>76.923537235576589</c:v>
                </c:pt>
                <c:pt idx="106">
                  <c:v>83.198005881164647</c:v>
                </c:pt>
                <c:pt idx="107">
                  <c:v>88.032021360931495</c:v>
                </c:pt>
                <c:pt idx="108">
                  <c:v>94.83833298035654</c:v>
                </c:pt>
                <c:pt idx="109">
                  <c:v>92.056748584487934</c:v>
                </c:pt>
                <c:pt idx="110">
                  <c:v>86.331104368595589</c:v>
                </c:pt>
                <c:pt idx="111">
                  <c:v>81.396241076975713</c:v>
                </c:pt>
                <c:pt idx="112">
                  <c:v>78.764274625880191</c:v>
                </c:pt>
                <c:pt idx="113">
                  <c:v>86.907397251383728</c:v>
                </c:pt>
                <c:pt idx="114">
                  <c:v>96.004280639230316</c:v>
                </c:pt>
                <c:pt idx="115">
                  <c:v>91.141101390848377</c:v>
                </c:pt>
                <c:pt idx="116">
                  <c:v>83.853029389491667</c:v>
                </c:pt>
                <c:pt idx="117">
                  <c:v>76.538766567827949</c:v>
                </c:pt>
                <c:pt idx="118">
                  <c:v>83.243337188453879</c:v>
                </c:pt>
                <c:pt idx="119">
                  <c:v>97.642535978182394</c:v>
                </c:pt>
              </c:numCache>
            </c:numRef>
          </c:yVal>
          <c:smooth val="0"/>
          <c:extLst>
            <c:ext xmlns:c16="http://schemas.microsoft.com/office/drawing/2014/chart" uri="{C3380CC4-5D6E-409C-BE32-E72D297353CC}">
              <c16:uniqueId val="{00000000-1118-493C-A18D-374F6CA8F352}"/>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Monthly'!$D$1</c:f>
              <c:strCache>
                <c:ptCount val="1"/>
                <c:pt idx="0">
                  <c:v> Res_NoCDM </c:v>
                </c:pt>
              </c:strCache>
            </c:strRef>
          </c:tx>
          <c:spPr>
            <a:ln w="28575" cap="rnd">
              <a:solidFill>
                <a:schemeClr val="accent1"/>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0E11-42B8-9E06-6EB880D1DA70}"/>
            </c:ext>
          </c:extLst>
        </c:ser>
        <c:ser>
          <c:idx val="1"/>
          <c:order val="1"/>
          <c:tx>
            <c:strRef>
              <c:f>'Res Normalized Monthly'!$O$1</c:f>
              <c:strCache>
                <c:ptCount val="1"/>
                <c:pt idx="0">
                  <c:v>WN Predicted</c:v>
                </c:pt>
              </c:strCache>
            </c:strRef>
          </c:tx>
          <c:spPr>
            <a:ln w="28575" cap="rnd">
              <a:solidFill>
                <a:schemeClr val="accent2"/>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Monthly'!$O$2:$O$145</c:f>
              <c:numCache>
                <c:formatCode>_(* #,##0.00_);_(* \(#,##0.00\);_(* "-"??_);_(@_)</c:formatCode>
                <c:ptCount val="144"/>
                <c:pt idx="0">
                  <c:v>44854084.343657807</c:v>
                </c:pt>
                <c:pt idx="1">
                  <c:v>42687309.738732494</c:v>
                </c:pt>
                <c:pt idx="2">
                  <c:v>39596676.514480799</c:v>
                </c:pt>
                <c:pt idx="3">
                  <c:v>33661743.520036675</c:v>
                </c:pt>
                <c:pt idx="4">
                  <c:v>34507411.772816382</c:v>
                </c:pt>
                <c:pt idx="5">
                  <c:v>39666732.03796161</c:v>
                </c:pt>
                <c:pt idx="6">
                  <c:v>45791896.494470865</c:v>
                </c:pt>
                <c:pt idx="7">
                  <c:v>44392041.305942483</c:v>
                </c:pt>
                <c:pt idx="8">
                  <c:v>37892235.833951496</c:v>
                </c:pt>
                <c:pt idx="9">
                  <c:v>33205300.070822299</c:v>
                </c:pt>
                <c:pt idx="10">
                  <c:v>36299475.390692487</c:v>
                </c:pt>
                <c:pt idx="11">
                  <c:v>41287153.149825156</c:v>
                </c:pt>
                <c:pt idx="12">
                  <c:v>45620206.23023586</c:v>
                </c:pt>
                <c:pt idx="13">
                  <c:v>43453431.625310548</c:v>
                </c:pt>
                <c:pt idx="14">
                  <c:v>40362798.401058853</c:v>
                </c:pt>
                <c:pt idx="15">
                  <c:v>34427865.406614728</c:v>
                </c:pt>
                <c:pt idx="16">
                  <c:v>35273533.659394436</c:v>
                </c:pt>
                <c:pt idx="17">
                  <c:v>40432853.924539655</c:v>
                </c:pt>
                <c:pt idx="18">
                  <c:v>46558018.38104891</c:v>
                </c:pt>
                <c:pt idx="19">
                  <c:v>45158163.192520529</c:v>
                </c:pt>
                <c:pt idx="20">
                  <c:v>38658357.720529541</c:v>
                </c:pt>
                <c:pt idx="21">
                  <c:v>33971421.957400352</c:v>
                </c:pt>
                <c:pt idx="22">
                  <c:v>37065597.277270533</c:v>
                </c:pt>
                <c:pt idx="23">
                  <c:v>42053275.036403202</c:v>
                </c:pt>
                <c:pt idx="24">
                  <c:v>46386328.116813906</c:v>
                </c:pt>
                <c:pt idx="25">
                  <c:v>44219553.511888593</c:v>
                </c:pt>
                <c:pt idx="26">
                  <c:v>41128920.287636898</c:v>
                </c:pt>
                <c:pt idx="27">
                  <c:v>35193987.293192774</c:v>
                </c:pt>
                <c:pt idx="28">
                  <c:v>36039655.545972481</c:v>
                </c:pt>
                <c:pt idx="29">
                  <c:v>41198975.811117709</c:v>
                </c:pt>
                <c:pt idx="30">
                  <c:v>47324140.267626964</c:v>
                </c:pt>
                <c:pt idx="31">
                  <c:v>45924285.079098582</c:v>
                </c:pt>
                <c:pt idx="32">
                  <c:v>39424479.607107595</c:v>
                </c:pt>
                <c:pt idx="33">
                  <c:v>34737543.843978405</c:v>
                </c:pt>
                <c:pt idx="34">
                  <c:v>37831719.163848586</c:v>
                </c:pt>
                <c:pt idx="35">
                  <c:v>42819396.922981255</c:v>
                </c:pt>
                <c:pt idx="36">
                  <c:v>47152450.003391959</c:v>
                </c:pt>
                <c:pt idx="37">
                  <c:v>44985675.398466647</c:v>
                </c:pt>
                <c:pt idx="38">
                  <c:v>41895042.174214952</c:v>
                </c:pt>
                <c:pt idx="39">
                  <c:v>35960109.179770827</c:v>
                </c:pt>
                <c:pt idx="40">
                  <c:v>36805777.432550535</c:v>
                </c:pt>
                <c:pt idx="41">
                  <c:v>41965097.697695762</c:v>
                </c:pt>
                <c:pt idx="42">
                  <c:v>48090262.154205017</c:v>
                </c:pt>
                <c:pt idx="43">
                  <c:v>46690406.965676636</c:v>
                </c:pt>
                <c:pt idx="44">
                  <c:v>40190601.493685648</c:v>
                </c:pt>
                <c:pt idx="45">
                  <c:v>35503665.730556451</c:v>
                </c:pt>
                <c:pt idx="46">
                  <c:v>38597841.05042664</c:v>
                </c:pt>
                <c:pt idx="47">
                  <c:v>43585518.809559308</c:v>
                </c:pt>
                <c:pt idx="48">
                  <c:v>47918571.889970012</c:v>
                </c:pt>
                <c:pt idx="49">
                  <c:v>45751797.2850447</c:v>
                </c:pt>
                <c:pt idx="50">
                  <c:v>42661164.060793005</c:v>
                </c:pt>
                <c:pt idx="51">
                  <c:v>36726231.066348881</c:v>
                </c:pt>
                <c:pt idx="52">
                  <c:v>37571899.319128588</c:v>
                </c:pt>
                <c:pt idx="53">
                  <c:v>42731219.584273815</c:v>
                </c:pt>
                <c:pt idx="54">
                  <c:v>48856384.040783063</c:v>
                </c:pt>
                <c:pt idx="55">
                  <c:v>47456528.852254689</c:v>
                </c:pt>
                <c:pt idx="56">
                  <c:v>40956723.380263694</c:v>
                </c:pt>
                <c:pt idx="57">
                  <c:v>36269787.617134504</c:v>
                </c:pt>
                <c:pt idx="58">
                  <c:v>39363962.937004685</c:v>
                </c:pt>
                <c:pt idx="59">
                  <c:v>44351640.696137354</c:v>
                </c:pt>
                <c:pt idx="60">
                  <c:v>48684693.776548058</c:v>
                </c:pt>
                <c:pt idx="61">
                  <c:v>46517919.171622746</c:v>
                </c:pt>
                <c:pt idx="62">
                  <c:v>43427285.947371051</c:v>
                </c:pt>
                <c:pt idx="63">
                  <c:v>37492352.952926926</c:v>
                </c:pt>
                <c:pt idx="64">
                  <c:v>39516631.895480543</c:v>
                </c:pt>
                <c:pt idx="65">
                  <c:v>46870737.918266401</c:v>
                </c:pt>
                <c:pt idx="66">
                  <c:v>55244739.054514609</c:v>
                </c:pt>
                <c:pt idx="67">
                  <c:v>52450928.71835874</c:v>
                </c:pt>
                <c:pt idx="68">
                  <c:v>43554220.016956657</c:v>
                </c:pt>
                <c:pt idx="69">
                  <c:v>37191477.344277181</c:v>
                </c:pt>
                <c:pt idx="70">
                  <c:v>40157812.912095882</c:v>
                </c:pt>
                <c:pt idx="71">
                  <c:v>45117762.582715407</c:v>
                </c:pt>
                <c:pt idx="72">
                  <c:v>49450815.663126111</c:v>
                </c:pt>
                <c:pt idx="73">
                  <c:v>47284041.058200799</c:v>
                </c:pt>
                <c:pt idx="74">
                  <c:v>44196771.206872396</c:v>
                </c:pt>
                <c:pt idx="75">
                  <c:v>38384151.295356974</c:v>
                </c:pt>
                <c:pt idx="76">
                  <c:v>40050703.608184658</c:v>
                </c:pt>
                <c:pt idx="77">
                  <c:v>47011102.17851074</c:v>
                </c:pt>
                <c:pt idx="78">
                  <c:v>53286339.387428254</c:v>
                </c:pt>
                <c:pt idx="79">
                  <c:v>52718563.711542279</c:v>
                </c:pt>
                <c:pt idx="80">
                  <c:v>44189317.966217205</c:v>
                </c:pt>
                <c:pt idx="81">
                  <c:v>38688588.070000403</c:v>
                </c:pt>
                <c:pt idx="82">
                  <c:v>40896206.710160792</c:v>
                </c:pt>
                <c:pt idx="83">
                  <c:v>45883884.46929346</c:v>
                </c:pt>
                <c:pt idx="84">
                  <c:v>50216937.549704164</c:v>
                </c:pt>
                <c:pt idx="85">
                  <c:v>48050162.944778852</c:v>
                </c:pt>
                <c:pt idx="86">
                  <c:v>44959529.720527157</c:v>
                </c:pt>
                <c:pt idx="87">
                  <c:v>39041682.028914019</c:v>
                </c:pt>
                <c:pt idx="88">
                  <c:v>40699739.061775833</c:v>
                </c:pt>
                <c:pt idx="89">
                  <c:v>46400875.050687879</c:v>
                </c:pt>
                <c:pt idx="90">
                  <c:v>53306204.338416889</c:v>
                </c:pt>
                <c:pt idx="91">
                  <c:v>51955077.280250385</c:v>
                </c:pt>
                <c:pt idx="92">
                  <c:v>44314630.463250637</c:v>
                </c:pt>
                <c:pt idx="93">
                  <c:v>38656106.268336877</c:v>
                </c:pt>
                <c:pt idx="94">
                  <c:v>41712194.942709513</c:v>
                </c:pt>
                <c:pt idx="95">
                  <c:v>46650006.355871506</c:v>
                </c:pt>
                <c:pt idx="96">
                  <c:v>50983059.43628221</c:v>
                </c:pt>
                <c:pt idx="97">
                  <c:v>48816284.831356898</c:v>
                </c:pt>
                <c:pt idx="98">
                  <c:v>45725651.607105203</c:v>
                </c:pt>
                <c:pt idx="99">
                  <c:v>39876808.327110767</c:v>
                </c:pt>
                <c:pt idx="100">
                  <c:v>40894277.037192866</c:v>
                </c:pt>
                <c:pt idx="101">
                  <c:v>46574651.667233698</c:v>
                </c:pt>
                <c:pt idx="102">
                  <c:v>53003909.249361463</c:v>
                </c:pt>
                <c:pt idx="103">
                  <c:v>51384332.233165592</c:v>
                </c:pt>
                <c:pt idx="104">
                  <c:v>44638903.048704103</c:v>
                </c:pt>
                <c:pt idx="105">
                  <c:v>39541288.398302801</c:v>
                </c:pt>
                <c:pt idx="106">
                  <c:v>42428450.483316891</c:v>
                </c:pt>
                <c:pt idx="107">
                  <c:v>47416128.242449559</c:v>
                </c:pt>
                <c:pt idx="108">
                  <c:v>51749181.322860263</c:v>
                </c:pt>
                <c:pt idx="109">
                  <c:v>49582406.717934951</c:v>
                </c:pt>
                <c:pt idx="110">
                  <c:v>46491773.493683256</c:v>
                </c:pt>
                <c:pt idx="111">
                  <c:v>40565872.655634075</c:v>
                </c:pt>
                <c:pt idx="112">
                  <c:v>41819566.994506955</c:v>
                </c:pt>
                <c:pt idx="113">
                  <c:v>47335515.322903506</c:v>
                </c:pt>
                <c:pt idx="114">
                  <c:v>53835814.288983792</c:v>
                </c:pt>
                <c:pt idx="115">
                  <c:v>52283328.289767466</c:v>
                </c:pt>
                <c:pt idx="116">
                  <c:v>45436511.158798784</c:v>
                </c:pt>
                <c:pt idx="117">
                  <c:v>40218273.007172033</c:v>
                </c:pt>
                <c:pt idx="118">
                  <c:v>43230590.462092258</c:v>
                </c:pt>
                <c:pt idx="119">
                  <c:v>48182250.129027613</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0E11-42B8-9E06-6EB880D1DA7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Monthly'!$D$1</c:f>
              <c:strCache>
                <c:ptCount val="1"/>
                <c:pt idx="0">
                  <c:v> GS_lt_50_NoCDM </c:v>
                </c:pt>
              </c:strCache>
            </c:strRef>
          </c:tx>
          <c:spPr>
            <a:ln w="28575" cap="rnd">
              <a:solidFill>
                <a:schemeClr val="accent1"/>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D6D6-4CA9-A1E3-93DA94FB27B9}"/>
            </c:ext>
          </c:extLst>
        </c:ser>
        <c:ser>
          <c:idx val="1"/>
          <c:order val="1"/>
          <c:tx>
            <c:strRef>
              <c:f>'GS&lt;50 Normalized Monthly'!$Q$1</c:f>
              <c:strCache>
                <c:ptCount val="1"/>
                <c:pt idx="0">
                  <c:v>WN Predicted</c:v>
                </c:pt>
              </c:strCache>
            </c:strRef>
          </c:tx>
          <c:spPr>
            <a:ln w="28575" cap="rnd">
              <a:solidFill>
                <a:schemeClr val="accent2"/>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Monthly'!$Q$2:$Q$145</c:f>
              <c:numCache>
                <c:formatCode>_(* #,##0.0_);_(* \(#,##0.0\);_(* "-"??_);_(@_)</c:formatCode>
                <c:ptCount val="144"/>
                <c:pt idx="0">
                  <c:v>12246109.759455398</c:v>
                </c:pt>
                <c:pt idx="1">
                  <c:v>11072595.98580404</c:v>
                </c:pt>
                <c:pt idx="2">
                  <c:v>11418807.315498054</c:v>
                </c:pt>
                <c:pt idx="3">
                  <c:v>10154503.808009779</c:v>
                </c:pt>
                <c:pt idx="4">
                  <c:v>10042385.524628133</c:v>
                </c:pt>
                <c:pt idx="5">
                  <c:v>10374103.91827317</c:v>
                </c:pt>
                <c:pt idx="6">
                  <c:v>11835180.946971681</c:v>
                </c:pt>
                <c:pt idx="7">
                  <c:v>11523600.23952044</c:v>
                </c:pt>
                <c:pt idx="8">
                  <c:v>10091556.980540492</c:v>
                </c:pt>
                <c:pt idx="9">
                  <c:v>10111302.039682055</c:v>
                </c:pt>
                <c:pt idx="10">
                  <c:v>10646459.277661819</c:v>
                </c:pt>
                <c:pt idx="11">
                  <c:v>11724853.099056393</c:v>
                </c:pt>
                <c:pt idx="12">
                  <c:v>12381961.312979236</c:v>
                </c:pt>
                <c:pt idx="13">
                  <c:v>11549518.578170104</c:v>
                </c:pt>
                <c:pt idx="14">
                  <c:v>11664561.249400733</c:v>
                </c:pt>
                <c:pt idx="15">
                  <c:v>10407889.851660989</c:v>
                </c:pt>
                <c:pt idx="16">
                  <c:v>10283560.192681693</c:v>
                </c:pt>
                <c:pt idx="17">
                  <c:v>10590855.835131433</c:v>
                </c:pt>
                <c:pt idx="18">
                  <c:v>12073302.771125827</c:v>
                </c:pt>
                <c:pt idx="19">
                  <c:v>11743405.000278115</c:v>
                </c:pt>
                <c:pt idx="20">
                  <c:v>10311361.741298169</c:v>
                </c:pt>
                <c:pt idx="21">
                  <c:v>10266997.078552075</c:v>
                </c:pt>
                <c:pt idx="22">
                  <c:v>10773152.299487423</c:v>
                </c:pt>
                <c:pt idx="23">
                  <c:v>11840861.167234056</c:v>
                </c:pt>
                <c:pt idx="24">
                  <c:v>12485758.005559251</c:v>
                </c:pt>
                <c:pt idx="25">
                  <c:v>11303085.700209659</c:v>
                </c:pt>
                <c:pt idx="26">
                  <c:v>11669140.515249852</c:v>
                </c:pt>
                <c:pt idx="27">
                  <c:v>10395678.476063339</c:v>
                </c:pt>
                <c:pt idx="28">
                  <c:v>10289665.880480517</c:v>
                </c:pt>
                <c:pt idx="29">
                  <c:v>10592382.25708114</c:v>
                </c:pt>
                <c:pt idx="30">
                  <c:v>12044300.754081413</c:v>
                </c:pt>
                <c:pt idx="31">
                  <c:v>11731193.624680467</c:v>
                </c:pt>
                <c:pt idx="32">
                  <c:v>10299150.365700521</c:v>
                </c:pt>
                <c:pt idx="33">
                  <c:v>10299051.939495903</c:v>
                </c:pt>
                <c:pt idx="34">
                  <c:v>10835735.599425374</c:v>
                </c:pt>
                <c:pt idx="35">
                  <c:v>11895812.357423473</c:v>
                </c:pt>
                <c:pt idx="36">
                  <c:v>12562079.103044555</c:v>
                </c:pt>
                <c:pt idx="37">
                  <c:v>11403829.548890259</c:v>
                </c:pt>
                <c:pt idx="38">
                  <c:v>11768357.941980746</c:v>
                </c:pt>
                <c:pt idx="39">
                  <c:v>10497948.746693647</c:v>
                </c:pt>
                <c:pt idx="40">
                  <c:v>10292718.724379929</c:v>
                </c:pt>
                <c:pt idx="41">
                  <c:v>10601540.788779378</c:v>
                </c:pt>
                <c:pt idx="42">
                  <c:v>12059564.973578474</c:v>
                </c:pt>
                <c:pt idx="43">
                  <c:v>11772407.017322531</c:v>
                </c:pt>
                <c:pt idx="44">
                  <c:v>10378524.307085235</c:v>
                </c:pt>
                <c:pt idx="45">
                  <c:v>10395216.522327386</c:v>
                </c:pt>
                <c:pt idx="46">
                  <c:v>10861684.772570377</c:v>
                </c:pt>
                <c:pt idx="47">
                  <c:v>11932446.48421642</c:v>
                </c:pt>
                <c:pt idx="48">
                  <c:v>12586501.854239851</c:v>
                </c:pt>
                <c:pt idx="49">
                  <c:v>11402303.126940554</c:v>
                </c:pt>
                <c:pt idx="50">
                  <c:v>11748514.456634568</c:v>
                </c:pt>
                <c:pt idx="51">
                  <c:v>10473525.99549835</c:v>
                </c:pt>
                <c:pt idx="52">
                  <c:v>10344617.070669934</c:v>
                </c:pt>
                <c:pt idx="53">
                  <c:v>10653439.135069383</c:v>
                </c:pt>
                <c:pt idx="54">
                  <c:v>12090093.412572596</c:v>
                </c:pt>
                <c:pt idx="55">
                  <c:v>11776986.28317165</c:v>
                </c:pt>
                <c:pt idx="56">
                  <c:v>10325099.538845524</c:v>
                </c:pt>
                <c:pt idx="57">
                  <c:v>10317369.002892375</c:v>
                </c:pt>
                <c:pt idx="58">
                  <c:v>10828103.489676844</c:v>
                </c:pt>
                <c:pt idx="59">
                  <c:v>11897338.77937318</c:v>
                </c:pt>
                <c:pt idx="60">
                  <c:v>12551394.149396613</c:v>
                </c:pt>
                <c:pt idx="61">
                  <c:v>11656368.114649531</c:v>
                </c:pt>
                <c:pt idx="62">
                  <c:v>10958860.653648723</c:v>
                </c:pt>
                <c:pt idx="63">
                  <c:v>8892691.9675769545</c:v>
                </c:pt>
                <c:pt idx="64">
                  <c:v>8772941.574446775</c:v>
                </c:pt>
                <c:pt idx="65">
                  <c:v>9880575.9735303055</c:v>
                </c:pt>
                <c:pt idx="66">
                  <c:v>11330968.048580872</c:v>
                </c:pt>
                <c:pt idx="67">
                  <c:v>11014808.075280514</c:v>
                </c:pt>
                <c:pt idx="68">
                  <c:v>9601081.8796970397</c:v>
                </c:pt>
                <c:pt idx="69">
                  <c:v>9559770.0608503595</c:v>
                </c:pt>
                <c:pt idx="70">
                  <c:v>10125455.737824244</c:v>
                </c:pt>
                <c:pt idx="71">
                  <c:v>11200796.715319406</c:v>
                </c:pt>
                <c:pt idx="72">
                  <c:v>11850272.81949372</c:v>
                </c:pt>
                <c:pt idx="73">
                  <c:v>10690496.84338972</c:v>
                </c:pt>
                <c:pt idx="74">
                  <c:v>11058078.080379616</c:v>
                </c:pt>
                <c:pt idx="75">
                  <c:v>9778510.3533942811</c:v>
                </c:pt>
                <c:pt idx="76">
                  <c:v>9664865.6480629276</c:v>
                </c:pt>
                <c:pt idx="77">
                  <c:v>9979793.400261201</c:v>
                </c:pt>
                <c:pt idx="78">
                  <c:v>11430185.475311767</c:v>
                </c:pt>
                <c:pt idx="79">
                  <c:v>11124710.455659352</c:v>
                </c:pt>
                <c:pt idx="80">
                  <c:v>9683508.6649811678</c:v>
                </c:pt>
                <c:pt idx="81">
                  <c:v>9672725.2851286083</c:v>
                </c:pt>
                <c:pt idx="82">
                  <c:v>10186512.615812488</c:v>
                </c:pt>
                <c:pt idx="83">
                  <c:v>11245062.951860882</c:v>
                </c:pt>
                <c:pt idx="84">
                  <c:v>12301577.333125766</c:v>
                </c:pt>
                <c:pt idx="85">
                  <c:v>11137222.091172647</c:v>
                </c:pt>
                <c:pt idx="86">
                  <c:v>11477327.733067837</c:v>
                </c:pt>
                <c:pt idx="87">
                  <c:v>10203865.693881325</c:v>
                </c:pt>
                <c:pt idx="88">
                  <c:v>10093273.832449384</c:v>
                </c:pt>
                <c:pt idx="89">
                  <c:v>10429571.491943542</c:v>
                </c:pt>
                <c:pt idx="90">
                  <c:v>11881489.988943813</c:v>
                </c:pt>
                <c:pt idx="91">
                  <c:v>11569909.281492574</c:v>
                </c:pt>
                <c:pt idx="92">
                  <c:v>10130233.912764097</c:v>
                </c:pt>
                <c:pt idx="93">
                  <c:v>10122503.376810949</c:v>
                </c:pt>
                <c:pt idx="94">
                  <c:v>10656134.192841008</c:v>
                </c:pt>
                <c:pt idx="95">
                  <c:v>11717737.372788815</c:v>
                </c:pt>
                <c:pt idx="96">
                  <c:v>12754408.268707521</c:v>
                </c:pt>
                <c:pt idx="97">
                  <c:v>11580894.495056165</c:v>
                </c:pt>
                <c:pt idx="98">
                  <c:v>11933211.512549004</c:v>
                </c:pt>
                <c:pt idx="99">
                  <c:v>10659749.473362492</c:v>
                </c:pt>
                <c:pt idx="100">
                  <c:v>10550684.033880256</c:v>
                </c:pt>
                <c:pt idx="101">
                  <c:v>11009095.449350901</c:v>
                </c:pt>
                <c:pt idx="102">
                  <c:v>12456434.680502053</c:v>
                </c:pt>
                <c:pt idx="103">
                  <c:v>12149433.238899931</c:v>
                </c:pt>
                <c:pt idx="104">
                  <c:v>10697546.494573805</c:v>
                </c:pt>
                <c:pt idx="105">
                  <c:v>10705080.17811772</c:v>
                </c:pt>
                <c:pt idx="106">
                  <c:v>11249395.947795723</c:v>
                </c:pt>
                <c:pt idx="107">
                  <c:v>12335421.878938824</c:v>
                </c:pt>
                <c:pt idx="108">
                  <c:v>12911629.729527246</c:v>
                </c:pt>
                <c:pt idx="109">
                  <c:v>12004392.319182515</c:v>
                </c:pt>
                <c:pt idx="110">
                  <c:v>12098065.08311726</c:v>
                </c:pt>
                <c:pt idx="111">
                  <c:v>10826129.465880454</c:v>
                </c:pt>
                <c:pt idx="112">
                  <c:v>10714011.182498807</c:v>
                </c:pt>
                <c:pt idx="113">
                  <c:v>11024359.668847961</c:v>
                </c:pt>
                <c:pt idx="114">
                  <c:v>12471698.899999116</c:v>
                </c:pt>
                <c:pt idx="115">
                  <c:v>12163171.036447287</c:v>
                </c:pt>
                <c:pt idx="116">
                  <c:v>10720442.823819399</c:v>
                </c:pt>
                <c:pt idx="117">
                  <c:v>10714238.709815957</c:v>
                </c:pt>
                <c:pt idx="118">
                  <c:v>11257028.057544252</c:v>
                </c:pt>
                <c:pt idx="119">
                  <c:v>12065245.19384085</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D6D6-4CA9-A1E3-93DA94FB27B9}"/>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50 - 999</a:t>
            </a:r>
          </a:p>
        </c:rich>
      </c:tx>
      <c:overlay val="0"/>
      <c:spPr>
        <a:noFill/>
        <a:ln>
          <a:noFill/>
        </a:ln>
        <a:effectLst/>
      </c:spPr>
    </c:title>
    <c:autoTitleDeleted val="0"/>
    <c:plotArea>
      <c:layout/>
      <c:lineChart>
        <c:grouping val="standard"/>
        <c:varyColors val="0"/>
        <c:ser>
          <c:idx val="0"/>
          <c:order val="0"/>
          <c:tx>
            <c:strRef>
              <c:f>'GS 50-999 Normalized Monthly'!$D$1</c:f>
              <c:strCache>
                <c:ptCount val="1"/>
                <c:pt idx="0">
                  <c:v> GS_50_999_NoCDM </c:v>
                </c:pt>
              </c:strCache>
            </c:strRef>
          </c:tx>
          <c:spPr>
            <a:ln w="28575" cap="rnd">
              <a:solidFill>
                <a:schemeClr val="accent1"/>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69E3-43DF-B3EE-184CDB99B5F2}"/>
            </c:ext>
          </c:extLst>
        </c:ser>
        <c:ser>
          <c:idx val="1"/>
          <c:order val="1"/>
          <c:tx>
            <c:strRef>
              <c:f>'GS 50-999 Normalized Monthly'!$Q$1</c:f>
              <c:strCache>
                <c:ptCount val="1"/>
                <c:pt idx="0">
                  <c:v>WN Predicted</c:v>
                </c:pt>
              </c:strCache>
            </c:strRef>
          </c:tx>
          <c:spPr>
            <a:ln w="28575" cap="rnd">
              <a:solidFill>
                <a:schemeClr val="accent2"/>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Monthly'!$Q$2:$Q$145</c:f>
              <c:numCache>
                <c:formatCode>_(* #,##0_);_(* \(#,##0\);_(* "-"??_);_(@_)</c:formatCode>
                <c:ptCount val="144"/>
                <c:pt idx="0">
                  <c:v>32629397.29490152</c:v>
                </c:pt>
                <c:pt idx="1">
                  <c:v>28964945.407600418</c:v>
                </c:pt>
                <c:pt idx="2">
                  <c:v>29839852.172103535</c:v>
                </c:pt>
                <c:pt idx="3">
                  <c:v>25691535.978794251</c:v>
                </c:pt>
                <c:pt idx="4">
                  <c:v>25052447.949669681</c:v>
                </c:pt>
                <c:pt idx="5">
                  <c:v>25244914.326532081</c:v>
                </c:pt>
                <c:pt idx="6">
                  <c:v>28463309.238348048</c:v>
                </c:pt>
                <c:pt idx="7">
                  <c:v>27817572.151991513</c:v>
                </c:pt>
                <c:pt idx="8">
                  <c:v>24660854.521396298</c:v>
                </c:pt>
                <c:pt idx="9">
                  <c:v>25306714.265676584</c:v>
                </c:pt>
                <c:pt idx="10">
                  <c:v>27065087.520448908</c:v>
                </c:pt>
                <c:pt idx="11">
                  <c:v>30563536.835810095</c:v>
                </c:pt>
                <c:pt idx="12">
                  <c:v>32806653.457475189</c:v>
                </c:pt>
                <c:pt idx="13">
                  <c:v>29914130.104663689</c:v>
                </c:pt>
                <c:pt idx="14">
                  <c:v>30017108.334677204</c:v>
                </c:pt>
                <c:pt idx="15">
                  <c:v>25812859.569258641</c:v>
                </c:pt>
                <c:pt idx="16">
                  <c:v>25173771.540134072</c:v>
                </c:pt>
                <c:pt idx="17">
                  <c:v>25366237.916996472</c:v>
                </c:pt>
                <c:pt idx="18">
                  <c:v>28580032.780220952</c:v>
                </c:pt>
                <c:pt idx="19">
                  <c:v>27934295.693864416</c:v>
                </c:pt>
                <c:pt idx="20">
                  <c:v>24777578.063269202</c:v>
                </c:pt>
                <c:pt idx="21">
                  <c:v>25361225.917940129</c:v>
                </c:pt>
                <c:pt idx="22">
                  <c:v>27119599.172712456</c:v>
                </c:pt>
                <c:pt idx="23">
                  <c:v>30618048.48807364</c:v>
                </c:pt>
                <c:pt idx="24">
                  <c:v>32902924.365204979</c:v>
                </c:pt>
                <c:pt idx="25">
                  <c:v>29238472.477903876</c:v>
                </c:pt>
                <c:pt idx="26">
                  <c:v>30113379.242406994</c:v>
                </c:pt>
                <c:pt idx="27">
                  <c:v>25985178.394186534</c:v>
                </c:pt>
                <c:pt idx="28">
                  <c:v>25346090.365061969</c:v>
                </c:pt>
                <c:pt idx="29">
                  <c:v>25538556.741924368</c:v>
                </c:pt>
                <c:pt idx="30">
                  <c:v>28712465.380388342</c:v>
                </c:pt>
                <c:pt idx="31">
                  <c:v>28066728.294031806</c:v>
                </c:pt>
                <c:pt idx="32">
                  <c:v>24910010.663436592</c:v>
                </c:pt>
                <c:pt idx="33">
                  <c:v>25548335.226716783</c:v>
                </c:pt>
                <c:pt idx="34">
                  <c:v>27306708.481489107</c:v>
                </c:pt>
                <c:pt idx="35">
                  <c:v>30805157.796850294</c:v>
                </c:pt>
                <c:pt idx="36">
                  <c:v>33066236.854747042</c:v>
                </c:pt>
                <c:pt idx="37">
                  <c:v>29401784.96744594</c:v>
                </c:pt>
                <c:pt idx="38">
                  <c:v>30276691.731949061</c:v>
                </c:pt>
                <c:pt idx="39">
                  <c:v>26130514.094771229</c:v>
                </c:pt>
                <c:pt idx="40">
                  <c:v>25491426.065646663</c:v>
                </c:pt>
                <c:pt idx="41">
                  <c:v>25683892.442509063</c:v>
                </c:pt>
                <c:pt idx="42">
                  <c:v>28921154.012276694</c:v>
                </c:pt>
                <c:pt idx="43">
                  <c:v>28275416.925920159</c:v>
                </c:pt>
                <c:pt idx="44">
                  <c:v>25118699.295324944</c:v>
                </c:pt>
                <c:pt idx="45">
                  <c:v>25750557.955670767</c:v>
                </c:pt>
                <c:pt idx="46">
                  <c:v>27508931.210443094</c:v>
                </c:pt>
                <c:pt idx="47">
                  <c:v>31007380.525804278</c:v>
                </c:pt>
                <c:pt idx="48">
                  <c:v>33218842.210906118</c:v>
                </c:pt>
                <c:pt idx="49">
                  <c:v>29554390.323605016</c:v>
                </c:pt>
                <c:pt idx="50">
                  <c:v>30429297.088108134</c:v>
                </c:pt>
                <c:pt idx="51">
                  <c:v>26286485.165110346</c:v>
                </c:pt>
                <c:pt idx="52">
                  <c:v>25647397.135985777</c:v>
                </c:pt>
                <c:pt idx="53">
                  <c:v>25839863.512848176</c:v>
                </c:pt>
                <c:pt idx="54">
                  <c:v>29037461.325103883</c:v>
                </c:pt>
                <c:pt idx="55">
                  <c:v>28391724.238747347</c:v>
                </c:pt>
                <c:pt idx="56">
                  <c:v>25235006.608152132</c:v>
                </c:pt>
                <c:pt idx="57">
                  <c:v>25834987.864686124</c:v>
                </c:pt>
                <c:pt idx="58">
                  <c:v>27593361.119458448</c:v>
                </c:pt>
                <c:pt idx="59">
                  <c:v>31091810.434819631</c:v>
                </c:pt>
                <c:pt idx="60">
                  <c:v>33214550.745917492</c:v>
                </c:pt>
                <c:pt idx="61">
                  <c:v>30322027.393105991</c:v>
                </c:pt>
                <c:pt idx="62">
                  <c:v>29000133.059888691</c:v>
                </c:pt>
                <c:pt idx="63">
                  <c:v>22718450.703905344</c:v>
                </c:pt>
                <c:pt idx="64">
                  <c:v>22079362.674780779</c:v>
                </c:pt>
                <c:pt idx="65">
                  <c:v>23696701.61487399</c:v>
                </c:pt>
                <c:pt idx="66">
                  <c:v>27374893.271315776</c:v>
                </c:pt>
                <c:pt idx="67">
                  <c:v>26729156.18495924</c:v>
                </c:pt>
                <c:pt idx="68">
                  <c:v>23572438.554364026</c:v>
                </c:pt>
                <c:pt idx="69">
                  <c:v>24298752.502636757</c:v>
                </c:pt>
                <c:pt idx="70">
                  <c:v>26057125.757409081</c:v>
                </c:pt>
                <c:pt idx="71">
                  <c:v>29555575.072770268</c:v>
                </c:pt>
                <c:pt idx="72">
                  <c:v>31850375.859733157</c:v>
                </c:pt>
                <c:pt idx="73">
                  <c:v>28185923.972432055</c:v>
                </c:pt>
                <c:pt idx="74">
                  <c:v>29060830.736935176</c:v>
                </c:pt>
                <c:pt idx="75">
                  <c:v>24832103.397810586</c:v>
                </c:pt>
                <c:pt idx="76">
                  <c:v>24193015.36868602</c:v>
                </c:pt>
                <c:pt idx="77">
                  <c:v>24385481.74554842</c:v>
                </c:pt>
                <c:pt idx="78">
                  <c:v>27678733.298328187</c:v>
                </c:pt>
                <c:pt idx="79">
                  <c:v>27032996.211971652</c:v>
                </c:pt>
                <c:pt idx="80">
                  <c:v>23876278.581376437</c:v>
                </c:pt>
                <c:pt idx="81">
                  <c:v>24603877.098600615</c:v>
                </c:pt>
                <c:pt idx="82">
                  <c:v>26362250.353372943</c:v>
                </c:pt>
                <c:pt idx="83">
                  <c:v>29860699.668734126</c:v>
                </c:pt>
                <c:pt idx="84">
                  <c:v>32825711.018260464</c:v>
                </c:pt>
                <c:pt idx="85">
                  <c:v>29161259.130959362</c:v>
                </c:pt>
                <c:pt idx="86">
                  <c:v>30036165.895462476</c:v>
                </c:pt>
                <c:pt idx="87">
                  <c:v>25896920.624804735</c:v>
                </c:pt>
                <c:pt idx="88">
                  <c:v>25257832.59568017</c:v>
                </c:pt>
                <c:pt idx="89">
                  <c:v>25450298.972542569</c:v>
                </c:pt>
                <c:pt idx="90">
                  <c:v>28630967.744818058</c:v>
                </c:pt>
                <c:pt idx="91">
                  <c:v>27985230.658461522</c:v>
                </c:pt>
                <c:pt idx="92">
                  <c:v>24828513.027866308</c:v>
                </c:pt>
                <c:pt idx="93">
                  <c:v>25414141.558685832</c:v>
                </c:pt>
                <c:pt idx="94">
                  <c:v>27172514.81345816</c:v>
                </c:pt>
                <c:pt idx="95">
                  <c:v>30670964.128819343</c:v>
                </c:pt>
                <c:pt idx="96">
                  <c:v>33648950.342391558</c:v>
                </c:pt>
                <c:pt idx="97">
                  <c:v>29984498.455090456</c:v>
                </c:pt>
                <c:pt idx="98">
                  <c:v>30859405.219593573</c:v>
                </c:pt>
                <c:pt idx="99">
                  <c:v>26708979.175604261</c:v>
                </c:pt>
                <c:pt idx="100">
                  <c:v>26069891.146479692</c:v>
                </c:pt>
                <c:pt idx="101">
                  <c:v>26262357.523342095</c:v>
                </c:pt>
                <c:pt idx="102">
                  <c:v>29449054.440417659</c:v>
                </c:pt>
                <c:pt idx="103">
                  <c:v>28803317.354061123</c:v>
                </c:pt>
                <c:pt idx="104">
                  <c:v>25646599.723465908</c:v>
                </c:pt>
                <c:pt idx="105">
                  <c:v>26252501.479357116</c:v>
                </c:pt>
                <c:pt idx="106">
                  <c:v>28010874.734129444</c:v>
                </c:pt>
                <c:pt idx="107">
                  <c:v>31509324.049490627</c:v>
                </c:pt>
                <c:pt idx="108">
                  <c:v>33747582.273501374</c:v>
                </c:pt>
                <c:pt idx="109">
                  <c:v>30855058.920689873</c:v>
                </c:pt>
                <c:pt idx="110">
                  <c:v>30958037.150703393</c:v>
                </c:pt>
                <c:pt idx="111">
                  <c:v>26792454.628359605</c:v>
                </c:pt>
                <c:pt idx="112">
                  <c:v>26153366.599235035</c:v>
                </c:pt>
                <c:pt idx="113">
                  <c:v>26345832.976097435</c:v>
                </c:pt>
                <c:pt idx="114">
                  <c:v>29521994.99249858</c:v>
                </c:pt>
                <c:pt idx="115">
                  <c:v>28876257.906142045</c:v>
                </c:pt>
                <c:pt idx="116">
                  <c:v>25719540.27554683</c:v>
                </c:pt>
                <c:pt idx="117">
                  <c:v>26342987.176522274</c:v>
                </c:pt>
                <c:pt idx="118">
                  <c:v>28101360.431294601</c:v>
                </c:pt>
                <c:pt idx="119">
                  <c:v>31599809.746655785</c:v>
                </c:pt>
                <c:pt idx="120">
                  <c:v>33804057.507817194</c:v>
                </c:pt>
                <c:pt idx="121">
                  <c:v>30139605.620516092</c:v>
                </c:pt>
                <c:pt idx="122">
                  <c:v>31014512.385019209</c:v>
                </c:pt>
                <c:pt idx="123">
                  <c:v>26849106.37967262</c:v>
                </c:pt>
                <c:pt idx="124">
                  <c:v>26210018.350548051</c:v>
                </c:pt>
                <c:pt idx="125">
                  <c:v>26402484.727410451</c:v>
                </c:pt>
                <c:pt idx="126">
                  <c:v>29578693.89251557</c:v>
                </c:pt>
                <c:pt idx="127">
                  <c:v>28932956.806159034</c:v>
                </c:pt>
                <c:pt idx="128">
                  <c:v>25776239.17556382</c:v>
                </c:pt>
                <c:pt idx="129">
                  <c:v>26399965.083968237</c:v>
                </c:pt>
                <c:pt idx="130">
                  <c:v>28158338.338740561</c:v>
                </c:pt>
                <c:pt idx="131">
                  <c:v>31656787.654101744</c:v>
                </c:pt>
                <c:pt idx="132">
                  <c:v>33861041.019241855</c:v>
                </c:pt>
                <c:pt idx="133">
                  <c:v>30196589.131940749</c:v>
                </c:pt>
                <c:pt idx="134">
                  <c:v>31071495.896443866</c:v>
                </c:pt>
                <c:pt idx="135">
                  <c:v>26906267.996747453</c:v>
                </c:pt>
                <c:pt idx="136">
                  <c:v>26267179.967622884</c:v>
                </c:pt>
                <c:pt idx="137">
                  <c:v>26459646.344485283</c:v>
                </c:pt>
                <c:pt idx="138">
                  <c:v>29635903.082632709</c:v>
                </c:pt>
                <c:pt idx="139">
                  <c:v>28990165.996276174</c:v>
                </c:pt>
                <c:pt idx="140">
                  <c:v>25833448.365680959</c:v>
                </c:pt>
                <c:pt idx="141">
                  <c:v>26457455.792581208</c:v>
                </c:pt>
                <c:pt idx="142">
                  <c:v>28215829.047353536</c:v>
                </c:pt>
                <c:pt idx="143">
                  <c:v>31714278.362714719</c:v>
                </c:pt>
              </c:numCache>
            </c:numRef>
          </c:val>
          <c:smooth val="0"/>
          <c:extLst>
            <c:ext xmlns:c16="http://schemas.microsoft.com/office/drawing/2014/chart" uri="{C3380CC4-5D6E-409C-BE32-E72D297353CC}">
              <c16:uniqueId val="{00000001-69E3-43DF-B3EE-184CDB99B5F2}"/>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Monthly'!$D$1</c:f>
              <c:strCache>
                <c:ptCount val="1"/>
                <c:pt idx="0">
                  <c:v> GS_1000_4999_NoCDM </c:v>
                </c:pt>
              </c:strCache>
            </c:strRef>
          </c:tx>
          <c:spPr>
            <a:ln w="28575" cap="rnd">
              <a:solidFill>
                <a:schemeClr val="accent1"/>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88DC-4C0C-B932-C0D36881E3FE}"/>
            </c:ext>
          </c:extLst>
        </c:ser>
        <c:ser>
          <c:idx val="1"/>
          <c:order val="1"/>
          <c:tx>
            <c:strRef>
              <c:f>'GS 1k-4,999 Normalized Monthly'!$O$1</c:f>
              <c:strCache>
                <c:ptCount val="1"/>
                <c:pt idx="0">
                  <c:v>WN Predicted</c:v>
                </c:pt>
              </c:strCache>
            </c:strRef>
          </c:tx>
          <c:spPr>
            <a:ln w="28575" cap="rnd">
              <a:solidFill>
                <a:schemeClr val="accent2"/>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Monthly'!$O$2:$O$145</c:f>
              <c:numCache>
                <c:formatCode>_(* #,##0_);_(* \(#,##0\);_(* "-"??_);_(@_)</c:formatCode>
                <c:ptCount val="144"/>
                <c:pt idx="0">
                  <c:v>7099250.7065883074</c:v>
                </c:pt>
                <c:pt idx="1">
                  <c:v>6737992.9966650642</c:v>
                </c:pt>
                <c:pt idx="2">
                  <c:v>7057019.7172625642</c:v>
                </c:pt>
                <c:pt idx="3">
                  <c:v>6912307.6284882259</c:v>
                </c:pt>
                <c:pt idx="4">
                  <c:v>7258923.4148801342</c:v>
                </c:pt>
                <c:pt idx="5">
                  <c:v>7623765.1302195136</c:v>
                </c:pt>
                <c:pt idx="6">
                  <c:v>8462773.8024878986</c:v>
                </c:pt>
                <c:pt idx="7">
                  <c:v>8210372.2439611852</c:v>
                </c:pt>
                <c:pt idx="8">
                  <c:v>7299596.3697872311</c:v>
                </c:pt>
                <c:pt idx="9">
                  <c:v>6984666.0238171667</c:v>
                </c:pt>
                <c:pt idx="10">
                  <c:v>6873593.9329979774</c:v>
                </c:pt>
                <c:pt idx="11">
                  <c:v>7069085.7142127762</c:v>
                </c:pt>
                <c:pt idx="12">
                  <c:v>7127002.499573797</c:v>
                </c:pt>
                <c:pt idx="13">
                  <c:v>6916731.2185655069</c:v>
                </c:pt>
                <c:pt idx="14">
                  <c:v>7154754.2925592856</c:v>
                </c:pt>
                <c:pt idx="15">
                  <c:v>7036587.3970754147</c:v>
                </c:pt>
                <c:pt idx="16">
                  <c:v>7413368.1758428551</c:v>
                </c:pt>
                <c:pt idx="17">
                  <c:v>7791482.4878274687</c:v>
                </c:pt>
                <c:pt idx="18">
                  <c:v>8711333.3396622781</c:v>
                </c:pt>
                <c:pt idx="19">
                  <c:v>8527707.963751778</c:v>
                </c:pt>
                <c:pt idx="20">
                  <c:v>7683295.0728039909</c:v>
                </c:pt>
                <c:pt idx="21">
                  <c:v>7312861.1408629492</c:v>
                </c:pt>
                <c:pt idx="22">
                  <c:v>7146285.4640727816</c:v>
                </c:pt>
                <c:pt idx="23">
                  <c:v>7265761.4645012412</c:v>
                </c:pt>
                <c:pt idx="24">
                  <c:v>7263348.2651111986</c:v>
                </c:pt>
                <c:pt idx="25">
                  <c:v>6853826.5673871059</c:v>
                </c:pt>
                <c:pt idx="26">
                  <c:v>7114936.5026235841</c:v>
                </c:pt>
                <c:pt idx="27">
                  <c:v>6966604.6147641819</c:v>
                </c:pt>
                <c:pt idx="28">
                  <c:v>7374756.985602174</c:v>
                </c:pt>
                <c:pt idx="29">
                  <c:v>7815614.4817278944</c:v>
                </c:pt>
                <c:pt idx="30">
                  <c:v>8717366.3381373845</c:v>
                </c:pt>
                <c:pt idx="31">
                  <c:v>8513228.7674115226</c:v>
                </c:pt>
                <c:pt idx="32">
                  <c:v>7618138.6892728433</c:v>
                </c:pt>
                <c:pt idx="33">
                  <c:v>7259770.7542820144</c:v>
                </c:pt>
                <c:pt idx="34">
                  <c:v>7072682.882676485</c:v>
                </c:pt>
                <c:pt idx="35">
                  <c:v>7172853.287984604</c:v>
                </c:pt>
                <c:pt idx="36">
                  <c:v>7159580.6913393708</c:v>
                </c:pt>
                <c:pt idx="37">
                  <c:v>6824868.174706595</c:v>
                </c:pt>
                <c:pt idx="38">
                  <c:v>7201811.6806651149</c:v>
                </c:pt>
                <c:pt idx="39">
                  <c:v>7141561.5705422647</c:v>
                </c:pt>
                <c:pt idx="40">
                  <c:v>7560573.3386354484</c:v>
                </c:pt>
                <c:pt idx="41">
                  <c:v>7980918.6399458069</c:v>
                </c:pt>
                <c:pt idx="42">
                  <c:v>8873017.6987951268</c:v>
                </c:pt>
                <c:pt idx="43">
                  <c:v>8636301.9363036901</c:v>
                </c:pt>
                <c:pt idx="44">
                  <c:v>7720699.6633496508</c:v>
                </c:pt>
                <c:pt idx="45">
                  <c:v>7323720.5381181408</c:v>
                </c:pt>
                <c:pt idx="46">
                  <c:v>7148698.6634628251</c:v>
                </c:pt>
                <c:pt idx="47">
                  <c:v>7248869.0687709441</c:v>
                </c:pt>
                <c:pt idx="48">
                  <c:v>7282653.8602315392</c:v>
                </c:pt>
                <c:pt idx="49">
                  <c:v>6966040.3390240828</c:v>
                </c:pt>
                <c:pt idx="50">
                  <c:v>7336950.8465074953</c:v>
                </c:pt>
                <c:pt idx="51">
                  <c:v>7216370.7516335826</c:v>
                </c:pt>
                <c:pt idx="52">
                  <c:v>7572639.3355856612</c:v>
                </c:pt>
                <c:pt idx="53">
                  <c:v>7957993.2457404025</c:v>
                </c:pt>
                <c:pt idx="54">
                  <c:v>8838026.3076395113</c:v>
                </c:pt>
                <c:pt idx="55">
                  <c:v>8586831.3488078192</c:v>
                </c:pt>
                <c:pt idx="56">
                  <c:v>7641064.0834782477</c:v>
                </c:pt>
                <c:pt idx="57">
                  <c:v>7230812.3616015036</c:v>
                </c:pt>
                <c:pt idx="58">
                  <c:v>7040104.6909109112</c:v>
                </c:pt>
                <c:pt idx="59">
                  <c:v>7168026.8892045189</c:v>
                </c:pt>
                <c:pt idx="60">
                  <c:v>7174059.8876796253</c:v>
                </c:pt>
                <c:pt idx="61">
                  <c:v>6978267.8030115906</c:v>
                </c:pt>
                <c:pt idx="62">
                  <c:v>6480450.7108581383</c:v>
                </c:pt>
                <c:pt idx="63">
                  <c:v>5597485.2565465253</c:v>
                </c:pt>
                <c:pt idx="64">
                  <c:v>5866878.6624570731</c:v>
                </c:pt>
                <c:pt idx="65">
                  <c:v>6921709.7555328775</c:v>
                </c:pt>
                <c:pt idx="66">
                  <c:v>7883791.5966934301</c:v>
                </c:pt>
                <c:pt idx="67">
                  <c:v>7752050.0076688435</c:v>
                </c:pt>
                <c:pt idx="68">
                  <c:v>6930562.5109264627</c:v>
                </c:pt>
                <c:pt idx="69">
                  <c:v>6604772.7677012067</c:v>
                </c:pt>
                <c:pt idx="70">
                  <c:v>6439403.6906060604</c:v>
                </c:pt>
                <c:pt idx="71">
                  <c:v>6544400.4946942646</c:v>
                </c:pt>
                <c:pt idx="72">
                  <c:v>6468384.7139079254</c:v>
                </c:pt>
                <c:pt idx="73">
                  <c:v>6104713.8045946397</c:v>
                </c:pt>
                <c:pt idx="74">
                  <c:v>6434599.9224473303</c:v>
                </c:pt>
                <c:pt idx="75">
                  <c:v>6342978.2202539276</c:v>
                </c:pt>
                <c:pt idx="76">
                  <c:v>6693213.8057308998</c:v>
                </c:pt>
                <c:pt idx="77">
                  <c:v>7085807.3140557688</c:v>
                </c:pt>
                <c:pt idx="78">
                  <c:v>8005658.1658905782</c:v>
                </c:pt>
                <c:pt idx="79">
                  <c:v>7823239.3896750975</c:v>
                </c:pt>
                <c:pt idx="80">
                  <c:v>6980033.0984223336</c:v>
                </c:pt>
                <c:pt idx="81">
                  <c:v>6651830.155807036</c:v>
                </c:pt>
                <c:pt idx="82">
                  <c:v>6540758.0649878457</c:v>
                </c:pt>
                <c:pt idx="83">
                  <c:v>6663853.8645013701</c:v>
                </c:pt>
                <c:pt idx="84">
                  <c:v>6985319.8593166675</c:v>
                </c:pt>
                <c:pt idx="85">
                  <c:v>6644574.3442087853</c:v>
                </c:pt>
                <c:pt idx="86">
                  <c:v>7002212.2550469656</c:v>
                </c:pt>
                <c:pt idx="87">
                  <c:v>6947995.1433992209</c:v>
                </c:pt>
                <c:pt idx="88">
                  <c:v>7345288.1169820223</c:v>
                </c:pt>
                <c:pt idx="89">
                  <c:v>7747534.4228670616</c:v>
                </c:pt>
                <c:pt idx="90">
                  <c:v>8632393.8835462555</c:v>
                </c:pt>
                <c:pt idx="91">
                  <c:v>8396884.7207498401</c:v>
                </c:pt>
                <c:pt idx="92">
                  <c:v>7486108.8465758841</c:v>
                </c:pt>
                <c:pt idx="93">
                  <c:v>7108435.3164647147</c:v>
                </c:pt>
                <c:pt idx="94">
                  <c:v>6928587.043029312</c:v>
                </c:pt>
                <c:pt idx="95">
                  <c:v>7061335.6401030067</c:v>
                </c:pt>
                <c:pt idx="96">
                  <c:v>7425032.6242440483</c:v>
                </c:pt>
                <c:pt idx="97">
                  <c:v>7091526.7073062938</c:v>
                </c:pt>
                <c:pt idx="98">
                  <c:v>7398487.43095358</c:v>
                </c:pt>
                <c:pt idx="99">
                  <c:v>7254981.9418742619</c:v>
                </c:pt>
                <c:pt idx="100">
                  <c:v>7581085.5334508102</c:v>
                </c:pt>
                <c:pt idx="101">
                  <c:v>7980918.6399458069</c:v>
                </c:pt>
                <c:pt idx="102">
                  <c:v>8883877.0960503183</c:v>
                </c:pt>
                <c:pt idx="103">
                  <c:v>8699045.120444797</c:v>
                </c:pt>
                <c:pt idx="104">
                  <c:v>7808781.4410862029</c:v>
                </c:pt>
                <c:pt idx="105">
                  <c:v>7419041.9140248206</c:v>
                </c:pt>
                <c:pt idx="106">
                  <c:v>7264532.2341848649</c:v>
                </c:pt>
                <c:pt idx="107">
                  <c:v>7393661.0321734957</c:v>
                </c:pt>
                <c:pt idx="108">
                  <c:v>7417793.0260739205</c:v>
                </c:pt>
                <c:pt idx="109">
                  <c:v>7203901.9459805656</c:v>
                </c:pt>
                <c:pt idx="110">
                  <c:v>7449164.6181444731</c:v>
                </c:pt>
                <c:pt idx="111">
                  <c:v>7365989.1138162185</c:v>
                </c:pt>
                <c:pt idx="112">
                  <c:v>7735530.2944135312</c:v>
                </c:pt>
                <c:pt idx="113">
                  <c:v>8103991.8088379744</c:v>
                </c:pt>
                <c:pt idx="114">
                  <c:v>8964719.2756167427</c:v>
                </c:pt>
                <c:pt idx="115">
                  <c:v>8718350.7155651357</c:v>
                </c:pt>
                <c:pt idx="116">
                  <c:v>7844979.4319368415</c:v>
                </c:pt>
                <c:pt idx="117">
                  <c:v>7486611.4969460107</c:v>
                </c:pt>
                <c:pt idx="118">
                  <c:v>7310383.0225956729</c:v>
                </c:pt>
                <c:pt idx="119">
                  <c:v>7402107.2300386447</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88DC-4C0C-B932-C0D36881E3F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Monthly'!$D$1</c:f>
              <c:strCache>
                <c:ptCount val="1"/>
                <c:pt idx="0">
                  <c:v> GS_LU_NoCDM </c:v>
                </c:pt>
              </c:strCache>
            </c:strRef>
          </c:tx>
          <c:spPr>
            <a:ln w="28575" cap="rnd">
              <a:solidFill>
                <a:schemeClr val="accent1"/>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1F85-4B72-A15E-1ACF88E0253E}"/>
            </c:ext>
          </c:extLst>
        </c:ser>
        <c:ser>
          <c:idx val="1"/>
          <c:order val="1"/>
          <c:tx>
            <c:strRef>
              <c:f>'Large Use Normalized Monthly'!$U$1</c:f>
              <c:strCache>
                <c:ptCount val="1"/>
                <c:pt idx="0">
                  <c:v>WN Predicted</c:v>
                </c:pt>
              </c:strCache>
            </c:strRef>
          </c:tx>
          <c:spPr>
            <a:ln w="28575" cap="rnd">
              <a:solidFill>
                <a:schemeClr val="accent2"/>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Monthly'!$U$2:$U$145</c:f>
              <c:numCache>
                <c:formatCode>_(* #,##0_);_(* \(#,##0\);_(* "-"??_);_(@_)</c:formatCode>
                <c:ptCount val="144"/>
                <c:pt idx="0">
                  <c:v>3211239.816850543</c:v>
                </c:pt>
                <c:pt idx="1">
                  <c:v>2981826.0039398619</c:v>
                </c:pt>
                <c:pt idx="2">
                  <c:v>3326042.9165402353</c:v>
                </c:pt>
                <c:pt idx="3">
                  <c:v>3203515.7851688778</c:v>
                </c:pt>
                <c:pt idx="4">
                  <c:v>3333527.1245571054</c:v>
                </c:pt>
                <c:pt idx="5">
                  <c:v>3236522.3429286694</c:v>
                </c:pt>
                <c:pt idx="6">
                  <c:v>3487111.7454096805</c:v>
                </c:pt>
                <c:pt idx="7">
                  <c:v>3441988.8952134247</c:v>
                </c:pt>
                <c:pt idx="8">
                  <c:v>3360961.1094890218</c:v>
                </c:pt>
                <c:pt idx="9">
                  <c:v>3283429.4311374854</c:v>
                </c:pt>
                <c:pt idx="10">
                  <c:v>3231226.2002332187</c:v>
                </c:pt>
                <c:pt idx="11">
                  <c:v>3176539.7441931269</c:v>
                </c:pt>
                <c:pt idx="12">
                  <c:v>3222660.4281797661</c:v>
                </c:pt>
                <c:pt idx="13">
                  <c:v>3063233.3348438572</c:v>
                </c:pt>
                <c:pt idx="14">
                  <c:v>3337463.5278694583</c:v>
                </c:pt>
                <c:pt idx="15">
                  <c:v>3187340.5635261438</c:v>
                </c:pt>
                <c:pt idx="16">
                  <c:v>3317351.9029143713</c:v>
                </c:pt>
                <c:pt idx="17">
                  <c:v>3220347.1212859354</c:v>
                </c:pt>
                <c:pt idx="18">
                  <c:v>3485781.4506864329</c:v>
                </c:pt>
                <c:pt idx="19">
                  <c:v>3440658.6004901771</c:v>
                </c:pt>
                <c:pt idx="20">
                  <c:v>3359630.8147657742</c:v>
                </c:pt>
                <c:pt idx="21">
                  <c:v>3265438.2845605211</c:v>
                </c:pt>
                <c:pt idx="22">
                  <c:v>3213235.0536562544</c:v>
                </c:pt>
                <c:pt idx="23">
                  <c:v>3158548.5976161626</c:v>
                </c:pt>
                <c:pt idx="24">
                  <c:v>3234736.8478280939</c:v>
                </c:pt>
                <c:pt idx="25">
                  <c:v>3005323.0349174128</c:v>
                </c:pt>
                <c:pt idx="26">
                  <c:v>3349539.9475177862</c:v>
                </c:pt>
                <c:pt idx="27">
                  <c:v>3209332.9709867607</c:v>
                </c:pt>
                <c:pt idx="28">
                  <c:v>3339344.3103749882</c:v>
                </c:pt>
                <c:pt idx="29">
                  <c:v>3242339.5287465523</c:v>
                </c:pt>
                <c:pt idx="30">
                  <c:v>3474246.6955042011</c:v>
                </c:pt>
                <c:pt idx="31">
                  <c:v>3429123.8453079453</c:v>
                </c:pt>
                <c:pt idx="32">
                  <c:v>3348096.0595835424</c:v>
                </c:pt>
                <c:pt idx="33">
                  <c:v>3281250.3212164086</c:v>
                </c:pt>
                <c:pt idx="34">
                  <c:v>3229047.0903121419</c:v>
                </c:pt>
                <c:pt idx="35">
                  <c:v>3174360.6342720501</c:v>
                </c:pt>
                <c:pt idx="36">
                  <c:v>3227855.0111630559</c:v>
                </c:pt>
                <c:pt idx="37">
                  <c:v>2998441.1982523748</c:v>
                </c:pt>
                <c:pt idx="38">
                  <c:v>3342658.1108527482</c:v>
                </c:pt>
                <c:pt idx="39">
                  <c:v>3204134.2373179067</c:v>
                </c:pt>
                <c:pt idx="40">
                  <c:v>3334145.5767061342</c:v>
                </c:pt>
                <c:pt idx="41">
                  <c:v>3237140.7950776983</c:v>
                </c:pt>
                <c:pt idx="42">
                  <c:v>3492567.8215834997</c:v>
                </c:pt>
                <c:pt idx="43">
                  <c:v>3447444.9713872438</c:v>
                </c:pt>
                <c:pt idx="44">
                  <c:v>3366417.185662841</c:v>
                </c:pt>
                <c:pt idx="45">
                  <c:v>3279380.4373698472</c:v>
                </c:pt>
                <c:pt idx="46">
                  <c:v>3227177.2064655805</c:v>
                </c:pt>
                <c:pt idx="47">
                  <c:v>3172490.7504254887</c:v>
                </c:pt>
                <c:pt idx="48">
                  <c:v>3213506.0911684628</c:v>
                </c:pt>
                <c:pt idx="49">
                  <c:v>2984092.2782577816</c:v>
                </c:pt>
                <c:pt idx="50">
                  <c:v>3328309.190858155</c:v>
                </c:pt>
                <c:pt idx="51">
                  <c:v>3205107.5730826543</c:v>
                </c:pt>
                <c:pt idx="52">
                  <c:v>3335118.9124708818</c:v>
                </c:pt>
                <c:pt idx="53">
                  <c:v>3238114.1308424459</c:v>
                </c:pt>
                <c:pt idx="54">
                  <c:v>3481097.4020275096</c:v>
                </c:pt>
                <c:pt idx="55">
                  <c:v>3435974.5518312538</c:v>
                </c:pt>
                <c:pt idx="56">
                  <c:v>3354946.7661068509</c:v>
                </c:pt>
                <c:pt idx="57">
                  <c:v>3270161.7647323022</c:v>
                </c:pt>
                <c:pt idx="58">
                  <c:v>3217958.5338280355</c:v>
                </c:pt>
                <c:pt idx="59">
                  <c:v>3163272.0777879437</c:v>
                </c:pt>
                <c:pt idx="60">
                  <c:v>3187848.628354873</c:v>
                </c:pt>
                <c:pt idx="61">
                  <c:v>3028421.5350189642</c:v>
                </c:pt>
                <c:pt idx="62">
                  <c:v>2958035.1003328329</c:v>
                </c:pt>
                <c:pt idx="63">
                  <c:v>2309392.2382518891</c:v>
                </c:pt>
                <c:pt idx="64">
                  <c:v>2439403.5776401162</c:v>
                </c:pt>
                <c:pt idx="65">
                  <c:v>2687015.4237234131</c:v>
                </c:pt>
                <c:pt idx="66">
                  <c:v>3275464.4050820367</c:v>
                </c:pt>
                <c:pt idx="67">
                  <c:v>3230341.5548857809</c:v>
                </c:pt>
                <c:pt idx="68">
                  <c:v>3149313.769161378</c:v>
                </c:pt>
                <c:pt idx="69">
                  <c:v>2962079.4713545041</c:v>
                </c:pt>
                <c:pt idx="70">
                  <c:v>2909876.2404502374</c:v>
                </c:pt>
                <c:pt idx="71">
                  <c:v>2855189.7844101456</c:v>
                </c:pt>
                <c:pt idx="72">
                  <c:v>2892990.4191838363</c:v>
                </c:pt>
                <c:pt idx="73">
                  <c:v>2663576.6062731552</c:v>
                </c:pt>
                <c:pt idx="74">
                  <c:v>3007793.5188735286</c:v>
                </c:pt>
                <c:pt idx="75">
                  <c:v>2835644.9415850858</c:v>
                </c:pt>
                <c:pt idx="76">
                  <c:v>2965656.2809733134</c:v>
                </c:pt>
                <c:pt idx="77">
                  <c:v>2868651.4993448774</c:v>
                </c:pt>
                <c:pt idx="78">
                  <c:v>3164143.0182567569</c:v>
                </c:pt>
                <c:pt idx="79">
                  <c:v>3119020.1680605011</c:v>
                </c:pt>
                <c:pt idx="80">
                  <c:v>3037992.3823360982</c:v>
                </c:pt>
                <c:pt idx="81">
                  <c:v>2962450.957712478</c:v>
                </c:pt>
                <c:pt idx="82">
                  <c:v>2910247.7268082113</c:v>
                </c:pt>
                <c:pt idx="83">
                  <c:v>2855561.2707681195</c:v>
                </c:pt>
                <c:pt idx="84">
                  <c:v>3053087.4161105459</c:v>
                </c:pt>
                <c:pt idx="85">
                  <c:v>2823673.6031998647</c:v>
                </c:pt>
                <c:pt idx="86">
                  <c:v>3167890.5158002381</c:v>
                </c:pt>
                <c:pt idx="87">
                  <c:v>3033830.7045894307</c:v>
                </c:pt>
                <c:pt idx="88">
                  <c:v>3163842.0439776583</c:v>
                </c:pt>
                <c:pt idx="89">
                  <c:v>3066837.2623492223</c:v>
                </c:pt>
                <c:pt idx="90">
                  <c:v>3303893.3545489577</c:v>
                </c:pt>
                <c:pt idx="91">
                  <c:v>3258770.5043527018</c:v>
                </c:pt>
                <c:pt idx="92">
                  <c:v>3177742.718628299</c:v>
                </c:pt>
                <c:pt idx="93">
                  <c:v>3093702.7653124807</c:v>
                </c:pt>
                <c:pt idx="94">
                  <c:v>3041499.534408214</c:v>
                </c:pt>
                <c:pt idx="95">
                  <c:v>2986813.0783681222</c:v>
                </c:pt>
                <c:pt idx="96">
                  <c:v>3229147.9497162281</c:v>
                </c:pt>
                <c:pt idx="97">
                  <c:v>2999734.1368055469</c:v>
                </c:pt>
                <c:pt idx="98">
                  <c:v>3343951.0494059203</c:v>
                </c:pt>
                <c:pt idx="99">
                  <c:v>3202905.6343909763</c:v>
                </c:pt>
                <c:pt idx="100">
                  <c:v>3332916.9737792038</c:v>
                </c:pt>
                <c:pt idx="101">
                  <c:v>3235912.1921507679</c:v>
                </c:pt>
                <c:pt idx="102">
                  <c:v>3477944.9563416853</c:v>
                </c:pt>
                <c:pt idx="103">
                  <c:v>3432822.1061454294</c:v>
                </c:pt>
                <c:pt idx="104">
                  <c:v>3351794.3204210266</c:v>
                </c:pt>
                <c:pt idx="105">
                  <c:v>3271873.9225274338</c:v>
                </c:pt>
                <c:pt idx="106">
                  <c:v>3219670.6916231671</c:v>
                </c:pt>
                <c:pt idx="107">
                  <c:v>3164984.2355830753</c:v>
                </c:pt>
                <c:pt idx="108">
                  <c:v>3221255.421116367</c:v>
                </c:pt>
                <c:pt idx="109">
                  <c:v>3061828.3277804581</c:v>
                </c:pt>
                <c:pt idx="110">
                  <c:v>3336058.5208060592</c:v>
                </c:pt>
                <c:pt idx="111">
                  <c:v>3198522.5104354392</c:v>
                </c:pt>
                <c:pt idx="112">
                  <c:v>3328533.8498236667</c:v>
                </c:pt>
                <c:pt idx="113">
                  <c:v>3231529.0681952308</c:v>
                </c:pt>
                <c:pt idx="114">
                  <c:v>3474898.3531377423</c:v>
                </c:pt>
                <c:pt idx="115">
                  <c:v>3429775.5029414864</c:v>
                </c:pt>
                <c:pt idx="116">
                  <c:v>3348747.7172170836</c:v>
                </c:pt>
                <c:pt idx="117">
                  <c:v>3276947.8284786372</c:v>
                </c:pt>
                <c:pt idx="118">
                  <c:v>3224744.5975743704</c:v>
                </c:pt>
                <c:pt idx="119">
                  <c:v>3170058.1415342786</c:v>
                </c:pt>
                <c:pt idx="120">
                  <c:v>3220204.9905179543</c:v>
                </c:pt>
                <c:pt idx="121">
                  <c:v>2990791.1776072732</c:v>
                </c:pt>
                <c:pt idx="122">
                  <c:v>3335008.0902076466</c:v>
                </c:pt>
                <c:pt idx="123">
                  <c:v>3193030.6678041155</c:v>
                </c:pt>
                <c:pt idx="124">
                  <c:v>3323042.007192343</c:v>
                </c:pt>
                <c:pt idx="125">
                  <c:v>3226037.2255639071</c:v>
                </c:pt>
                <c:pt idx="126">
                  <c:v>3479106.3119364521</c:v>
                </c:pt>
                <c:pt idx="127">
                  <c:v>3433983.4617401962</c:v>
                </c:pt>
                <c:pt idx="128">
                  <c:v>3352955.6760157933</c:v>
                </c:pt>
                <c:pt idx="129">
                  <c:v>3269511.2900441471</c:v>
                </c:pt>
                <c:pt idx="130">
                  <c:v>3217308.0591398804</c:v>
                </c:pt>
                <c:pt idx="131">
                  <c:v>3162621.6030997885</c:v>
                </c:pt>
                <c:pt idx="132">
                  <c:v>3220285.6770809614</c:v>
                </c:pt>
                <c:pt idx="133">
                  <c:v>2990871.8641702803</c:v>
                </c:pt>
                <c:pt idx="134">
                  <c:v>3335088.7767706537</c:v>
                </c:pt>
                <c:pt idx="135">
                  <c:v>3193032.2884268416</c:v>
                </c:pt>
                <c:pt idx="136">
                  <c:v>3323043.6278150692</c:v>
                </c:pt>
                <c:pt idx="137">
                  <c:v>3226038.8461866332</c:v>
                </c:pt>
                <c:pt idx="138">
                  <c:v>3479157.8185677179</c:v>
                </c:pt>
                <c:pt idx="139">
                  <c:v>3434034.9683714621</c:v>
                </c:pt>
                <c:pt idx="140">
                  <c:v>3353007.1826470592</c:v>
                </c:pt>
                <c:pt idx="141">
                  <c:v>3269525.0477612433</c:v>
                </c:pt>
                <c:pt idx="142">
                  <c:v>3217321.8168569766</c:v>
                </c:pt>
                <c:pt idx="143">
                  <c:v>3162635.3608168848</c:v>
                </c:pt>
              </c:numCache>
            </c:numRef>
          </c:val>
          <c:smooth val="0"/>
          <c:extLst>
            <c:ext xmlns:c16="http://schemas.microsoft.com/office/drawing/2014/chart" uri="{C3380CC4-5D6E-409C-BE32-E72D297353CC}">
              <c16:uniqueId val="{00000001-1F85-4B72-A15E-1ACF88E0253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8DE2-4E16-B54F-952CEB5448A4}"/>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8DE2-4E16-B54F-952CEB5448A4}"/>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8DE2-4E16-B54F-952CEB5448A4}"/>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8DE2-4E16-B54F-952CEB5448A4}"/>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5FF4-4DA4-9875-10FB45B051C5}"/>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5FF4-4DA4-9875-10FB45B051C5}"/>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5FF4-4DA4-9875-10FB45B051C5}"/>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5FF4-4DA4-9875-10FB45B051C5}"/>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0347-4CD5-B9F2-06D34607F46F}"/>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0347-4CD5-B9F2-06D34607F46F}"/>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0347-4CD5-B9F2-06D34607F46F}"/>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0347-4CD5-B9F2-06D34607F46F}"/>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Street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Summary'!$BF$5:$BF$16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numCache>
            </c:numRef>
          </c:val>
          <c:smooth val="0"/>
          <c:extLst>
            <c:ext xmlns:c16="http://schemas.microsoft.com/office/drawing/2014/chart" uri="{C3380CC4-5D6E-409C-BE32-E72D297353CC}">
              <c16:uniqueId val="{00000000-7887-4806-AF2F-9B2AB721F4D7}"/>
            </c:ext>
          </c:extLst>
        </c:ser>
        <c:ser>
          <c:idx val="3"/>
          <c:order val="1"/>
          <c:tx>
            <c:strRef>
              <c:f>'Normalized Annual Summary'!$BI$3</c:f>
              <c:strCache>
                <c:ptCount val="1"/>
                <c:pt idx="0">
                  <c:v>Normal Forecast</c:v>
                </c:pt>
              </c:strCache>
            </c:strRef>
          </c:tx>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Summary'!$BI$5:$BI$16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pt idx="10">
                  <c:v>4601999.7364925863</c:v>
                </c:pt>
                <c:pt idx="11">
                  <c:v>4665081.9792804932</c:v>
                </c:pt>
              </c:numCache>
            </c:numRef>
          </c:val>
          <c:smooth val="0"/>
          <c:extLst>
            <c:ext xmlns:c16="http://schemas.microsoft.com/office/drawing/2014/chart" uri="{C3380CC4-5D6E-409C-BE32-E72D297353CC}">
              <c16:uniqueId val="{00000003-7887-4806-AF2F-9B2AB721F4D7}"/>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Streetlight Connection</a:t>
            </a:r>
          </a:p>
        </c:rich>
      </c:tx>
      <c:overlay val="0"/>
      <c:spPr>
        <a:noFill/>
        <a:ln>
          <a:noFill/>
        </a:ln>
        <a:effectLst/>
      </c:spPr>
    </c:title>
    <c:autoTitleDeleted val="0"/>
    <c:plotArea>
      <c:layout/>
      <c:lineChart>
        <c:grouping val="standard"/>
        <c:varyColors val="0"/>
        <c:ser>
          <c:idx val="0"/>
          <c:order val="0"/>
          <c:tx>
            <c:strRef>
              <c:f>'Normalized Annual Summary'!$BH$3</c:f>
              <c:strCache>
                <c:ptCount val="1"/>
                <c:pt idx="0">
                  <c:v>Average per Connection</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Summary'!$BH$5:$BH$14</c:f>
              <c:numCache>
                <c:formatCode>#,##0</c:formatCode>
                <c:ptCount val="10"/>
                <c:pt idx="0">
                  <c:v>725.80593502241743</c:v>
                </c:pt>
                <c:pt idx="1">
                  <c:v>725.26045901301904</c:v>
                </c:pt>
                <c:pt idx="2">
                  <c:v>378.70923412736067</c:v>
                </c:pt>
                <c:pt idx="3">
                  <c:v>305.29858014126268</c:v>
                </c:pt>
                <c:pt idx="4">
                  <c:v>308.19233529496188</c:v>
                </c:pt>
                <c:pt idx="5">
                  <c:v>311.68639607041314</c:v>
                </c:pt>
                <c:pt idx="6">
                  <c:v>310.0454960998253</c:v>
                </c:pt>
                <c:pt idx="7">
                  <c:v>312.07709096029288</c:v>
                </c:pt>
                <c:pt idx="8">
                  <c:v>312.50596992097883</c:v>
                </c:pt>
                <c:pt idx="9">
                  <c:v>318.18309405041191</c:v>
                </c:pt>
              </c:numCache>
            </c:numRef>
          </c:val>
          <c:smooth val="0"/>
          <c:extLst>
            <c:ext xmlns:c16="http://schemas.microsoft.com/office/drawing/2014/chart" uri="{C3380CC4-5D6E-409C-BE32-E72D297353CC}">
              <c16:uniqueId val="{00000000-CA5A-47C0-92B0-3D2135012DDA}"/>
            </c:ext>
          </c:extLst>
        </c:ser>
        <c:ser>
          <c:idx val="1"/>
          <c:order val="1"/>
          <c:tx>
            <c:v>Forecast per Device</c:v>
          </c:tx>
          <c:spPr>
            <a:ln w="28575" cap="rnd">
              <a:solidFill>
                <a:schemeClr val="accent2"/>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Summary'!$BH$14:$BH$16)</c:f>
              <c:numCache>
                <c:formatCode>General</c:formatCode>
                <c:ptCount val="12"/>
                <c:pt idx="9" formatCode="#,##0">
                  <c:v>318.18309405041191</c:v>
                </c:pt>
                <c:pt idx="10" formatCode="#,##0">
                  <c:v>314.25538497722783</c:v>
                </c:pt>
                <c:pt idx="11" formatCode="#,##0">
                  <c:v>314.25538497722783</c:v>
                </c:pt>
              </c:numCache>
            </c:numRef>
          </c:val>
          <c:smooth val="0"/>
          <c:extLst>
            <c:ext xmlns:c16="http://schemas.microsoft.com/office/drawing/2014/chart" uri="{C3380CC4-5D6E-409C-BE32-E72D297353CC}">
              <c16:uniqueId val="{00000001-CA5A-47C0-92B0-3D2135012DDA}"/>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itle>
    <c:autoTitleDeleted val="0"/>
    <c:plotArea>
      <c:layout/>
      <c:scatterChart>
        <c:scatterStyle val="lineMarker"/>
        <c:varyColors val="0"/>
        <c:ser>
          <c:idx val="0"/>
          <c:order val="0"/>
          <c:tx>
            <c:strRef>
              <c:f>Weather!$ET$1</c:f>
              <c:strCache>
                <c:ptCount val="1"/>
                <c:pt idx="0">
                  <c:v> GS_50_999_NoCDM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Weather!$ET$2:$ET$121</c:f>
              <c:numCache>
                <c:formatCode>_(* #,##0_);_(* \(#,##0\);_(* "-"??_);_(@_)</c:formatCode>
                <c:ptCount val="120"/>
                <c:pt idx="0">
                  <c:v>2089.0638378200706</c:v>
                </c:pt>
                <c:pt idx="1">
                  <c:v>2412.012976719684</c:v>
                </c:pt>
                <c:pt idx="2">
                  <c:v>1879.5768428728024</c:v>
                </c:pt>
                <c:pt idx="3">
                  <c:v>1642.6123629344647</c:v>
                </c:pt>
                <c:pt idx="4">
                  <c:v>1604.4346990852487</c:v>
                </c:pt>
                <c:pt idx="5">
                  <c:v>1595.0875394585169</c:v>
                </c:pt>
                <c:pt idx="6">
                  <c:v>1741.6916032443003</c:v>
                </c:pt>
                <c:pt idx="7">
                  <c:v>1680.8151567821772</c:v>
                </c:pt>
                <c:pt idx="8">
                  <c:v>1648.3705122051635</c:v>
                </c:pt>
                <c:pt idx="9">
                  <c:v>1605.6899046523736</c:v>
                </c:pt>
                <c:pt idx="10">
                  <c:v>1760.7328860107086</c:v>
                </c:pt>
                <c:pt idx="11">
                  <c:v>1824.3569330578121</c:v>
                </c:pt>
                <c:pt idx="12">
                  <c:v>2034.9366381362518</c:v>
                </c:pt>
                <c:pt idx="13">
                  <c:v>1941.4139032580053</c:v>
                </c:pt>
                <c:pt idx="14">
                  <c:v>1946.1972634119625</c:v>
                </c:pt>
                <c:pt idx="15">
                  <c:v>1659.8056969318543</c:v>
                </c:pt>
                <c:pt idx="16">
                  <c:v>1604.3445157633951</c:v>
                </c:pt>
                <c:pt idx="17">
                  <c:v>1608.0094191934436</c:v>
                </c:pt>
                <c:pt idx="18">
                  <c:v>1879.3071222993417</c:v>
                </c:pt>
                <c:pt idx="19">
                  <c:v>1867.4816333446013</c:v>
                </c:pt>
                <c:pt idx="20">
                  <c:v>1624.3219122738244</c:v>
                </c:pt>
                <c:pt idx="21">
                  <c:v>1636.5235396771577</c:v>
                </c:pt>
                <c:pt idx="22">
                  <c:v>1694.4957381160057</c:v>
                </c:pt>
                <c:pt idx="23">
                  <c:v>1933.0841738183706</c:v>
                </c:pt>
                <c:pt idx="24">
                  <c:v>2142.7441769319425</c:v>
                </c:pt>
                <c:pt idx="25">
                  <c:v>1969.2823027241943</c:v>
                </c:pt>
                <c:pt idx="26">
                  <c:v>1905.1352857713171</c:v>
                </c:pt>
                <c:pt idx="27">
                  <c:v>1647.6382219939176</c:v>
                </c:pt>
                <c:pt idx="28">
                  <c:v>1705.2454176045751</c:v>
                </c:pt>
                <c:pt idx="29">
                  <c:v>1556.2109823696737</c:v>
                </c:pt>
                <c:pt idx="30">
                  <c:v>1929.9366762236671</c:v>
                </c:pt>
                <c:pt idx="31">
                  <c:v>1661.5143356058295</c:v>
                </c:pt>
                <c:pt idx="32">
                  <c:v>1758.833463887355</c:v>
                </c:pt>
                <c:pt idx="33">
                  <c:v>1760.5086495773464</c:v>
                </c:pt>
                <c:pt idx="34">
                  <c:v>1842.1529813897407</c:v>
                </c:pt>
                <c:pt idx="35">
                  <c:v>2007.1222592523125</c:v>
                </c:pt>
                <c:pt idx="36">
                  <c:v>2097.2511355401793</c:v>
                </c:pt>
                <c:pt idx="37">
                  <c:v>1853.5604037694459</c:v>
                </c:pt>
                <c:pt idx="38">
                  <c:v>1788.0304269652249</c:v>
                </c:pt>
                <c:pt idx="39">
                  <c:v>1739.492374746311</c:v>
                </c:pt>
                <c:pt idx="40">
                  <c:v>1430.8014394875709</c:v>
                </c:pt>
                <c:pt idx="41">
                  <c:v>1727.3716501167223</c:v>
                </c:pt>
                <c:pt idx="42">
                  <c:v>1816.7068362647929</c:v>
                </c:pt>
                <c:pt idx="43">
                  <c:v>1629.5544678282947</c:v>
                </c:pt>
                <c:pt idx="44">
                  <c:v>1715.5411450983468</c:v>
                </c:pt>
                <c:pt idx="45">
                  <c:v>1719.118301124385</c:v>
                </c:pt>
                <c:pt idx="46">
                  <c:v>1816.9454616359776</c:v>
                </c:pt>
                <c:pt idx="47">
                  <c:v>1834.9455614047167</c:v>
                </c:pt>
                <c:pt idx="48">
                  <c:v>2145.9546888026825</c:v>
                </c:pt>
                <c:pt idx="49">
                  <c:v>2059.5397223532013</c:v>
                </c:pt>
                <c:pt idx="50">
                  <c:v>1900.2208228686466</c:v>
                </c:pt>
                <c:pt idx="51">
                  <c:v>1633.3350222926399</c:v>
                </c:pt>
                <c:pt idx="52">
                  <c:v>1525.2581945280019</c:v>
                </c:pt>
                <c:pt idx="53">
                  <c:v>1579.6777746926202</c:v>
                </c:pt>
                <c:pt idx="54">
                  <c:v>1830.6248379997105</c:v>
                </c:pt>
                <c:pt idx="55">
                  <c:v>1612.0307343640463</c:v>
                </c:pt>
                <c:pt idx="56">
                  <c:v>1549.2897366666105</c:v>
                </c:pt>
                <c:pt idx="57">
                  <c:v>1475.9569999944445</c:v>
                </c:pt>
                <c:pt idx="58">
                  <c:v>1938.7133475740238</c:v>
                </c:pt>
                <c:pt idx="59">
                  <c:v>1846.8585723900962</c:v>
                </c:pt>
                <c:pt idx="60">
                  <c:v>1898.6200153358609</c:v>
                </c:pt>
                <c:pt idx="61">
                  <c:v>1868.9304817931634</c:v>
                </c:pt>
                <c:pt idx="62">
                  <c:v>1659.5709514710634</c:v>
                </c:pt>
                <c:pt idx="63">
                  <c:v>1375.9063479298288</c:v>
                </c:pt>
                <c:pt idx="64">
                  <c:v>1313.1302302186393</c:v>
                </c:pt>
                <c:pt idx="65">
                  <c:v>1500.5581224212392</c:v>
                </c:pt>
                <c:pt idx="66">
                  <c:v>1728.9164047290728</c:v>
                </c:pt>
                <c:pt idx="67">
                  <c:v>1608.0665646375444</c:v>
                </c:pt>
                <c:pt idx="68">
                  <c:v>1421.4703521275401</c:v>
                </c:pt>
                <c:pt idx="69">
                  <c:v>1330.87274503761</c:v>
                </c:pt>
                <c:pt idx="70">
                  <c:v>1428.6454278662177</c:v>
                </c:pt>
                <c:pt idx="71">
                  <c:v>1903.2304400896774</c:v>
                </c:pt>
                <c:pt idx="72">
                  <c:v>1799.4688654966303</c:v>
                </c:pt>
                <c:pt idx="73">
                  <c:v>1708.8497708722855</c:v>
                </c:pt>
                <c:pt idx="74">
                  <c:v>1791.838208411117</c:v>
                </c:pt>
                <c:pt idx="75">
                  <c:v>1464.1864361938706</c:v>
                </c:pt>
                <c:pt idx="76">
                  <c:v>1393.312177198595</c:v>
                </c:pt>
                <c:pt idx="77">
                  <c:v>1568.0785443638613</c:v>
                </c:pt>
                <c:pt idx="78">
                  <c:v>1574.2103621734498</c:v>
                </c:pt>
                <c:pt idx="79">
                  <c:v>1757.0210638941339</c:v>
                </c:pt>
                <c:pt idx="80">
                  <c:v>1370.7075470487223</c:v>
                </c:pt>
                <c:pt idx="81">
                  <c:v>1584.6064600187551</c:v>
                </c:pt>
                <c:pt idx="82">
                  <c:v>1614.0597812172334</c:v>
                </c:pt>
                <c:pt idx="83">
                  <c:v>1835.8506496104903</c:v>
                </c:pt>
                <c:pt idx="84">
                  <c:v>2072.4369807079847</c:v>
                </c:pt>
                <c:pt idx="85">
                  <c:v>2182.894863263934</c:v>
                </c:pt>
                <c:pt idx="86">
                  <c:v>1781.2298303657617</c:v>
                </c:pt>
                <c:pt idx="87">
                  <c:v>1693.1683724328511</c:v>
                </c:pt>
                <c:pt idx="88">
                  <c:v>1536.3214703594001</c:v>
                </c:pt>
                <c:pt idx="89">
                  <c:v>1663.2617473261005</c:v>
                </c:pt>
                <c:pt idx="90">
                  <c:v>1814.8787779931749</c:v>
                </c:pt>
                <c:pt idx="91">
                  <c:v>1678.9465125577331</c:v>
                </c:pt>
                <c:pt idx="92">
                  <c:v>1687.806791755836</c:v>
                </c:pt>
                <c:pt idx="93">
                  <c:v>1588.7741281433644</c:v>
                </c:pt>
                <c:pt idx="94">
                  <c:v>1670.8809267953377</c:v>
                </c:pt>
                <c:pt idx="95">
                  <c:v>1969.4779211299665</c:v>
                </c:pt>
                <c:pt idx="96">
                  <c:v>2001.9191165326388</c:v>
                </c:pt>
                <c:pt idx="97">
                  <c:v>1920.5786979942243</c:v>
                </c:pt>
                <c:pt idx="98">
                  <c:v>1712.8345526823139</c:v>
                </c:pt>
                <c:pt idx="99">
                  <c:v>1565.8543641639333</c:v>
                </c:pt>
                <c:pt idx="100">
                  <c:v>1544.0877773808427</c:v>
                </c:pt>
                <c:pt idx="101">
                  <c:v>1726.4225470964664</c:v>
                </c:pt>
                <c:pt idx="102">
                  <c:v>1880.9426411981067</c:v>
                </c:pt>
                <c:pt idx="103">
                  <c:v>1743.6591980172395</c:v>
                </c:pt>
                <c:pt idx="104">
                  <c:v>1705.0388056368547</c:v>
                </c:pt>
                <c:pt idx="105">
                  <c:v>1615.352627111479</c:v>
                </c:pt>
                <c:pt idx="106">
                  <c:v>1817.6268143948603</c:v>
                </c:pt>
                <c:pt idx="107">
                  <c:v>1837.906758373724</c:v>
                </c:pt>
                <c:pt idx="108">
                  <c:v>2025.724980615352</c:v>
                </c:pt>
                <c:pt idx="109">
                  <c:v>1868.0236471629296</c:v>
                </c:pt>
                <c:pt idx="110">
                  <c:v>1727.1772942567986</c:v>
                </c:pt>
                <c:pt idx="111">
                  <c:v>1521.314379814738</c:v>
                </c:pt>
                <c:pt idx="112">
                  <c:v>1580.2780093678289</c:v>
                </c:pt>
                <c:pt idx="113">
                  <c:v>1724.7414987578841</c:v>
                </c:pt>
                <c:pt idx="114">
                  <c:v>1810.1725219490443</c:v>
                </c:pt>
                <c:pt idx="115">
                  <c:v>1497.2861003903736</c:v>
                </c:pt>
                <c:pt idx="116">
                  <c:v>1506.5392808271597</c:v>
                </c:pt>
                <c:pt idx="117">
                  <c:v>1532.8340876319266</c:v>
                </c:pt>
                <c:pt idx="118">
                  <c:v>1770.87071822754</c:v>
                </c:pt>
                <c:pt idx="119">
                  <c:v>2062.5652878409219</c:v>
                </c:pt>
              </c:numCache>
            </c:numRef>
          </c:yVal>
          <c:smooth val="0"/>
          <c:extLst>
            <c:ext xmlns:c16="http://schemas.microsoft.com/office/drawing/2014/chart" uri="{C3380CC4-5D6E-409C-BE32-E72D297353CC}">
              <c16:uniqueId val="{00000000-DD8D-4301-9ADB-BDBD32FAA9D8}"/>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USL</a:t>
            </a:r>
          </a:p>
        </c:rich>
      </c:tx>
      <c:overlay val="0"/>
    </c:title>
    <c:autoTitleDeleted val="0"/>
    <c:plotArea>
      <c:layout/>
      <c:lineChart>
        <c:grouping val="standard"/>
        <c:varyColors val="0"/>
        <c:ser>
          <c:idx val="0"/>
          <c:order val="0"/>
          <c:tx>
            <c:strRef>
              <c:f>'Normalized Annual Summary'!$BR$3</c:f>
              <c:strCache>
                <c:ptCount val="1"/>
                <c:pt idx="0">
                  <c:v>Actual</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Summary'!$BR$5:$BR$16</c:f>
              <c:numCache>
                <c:formatCode>#,##0</c:formatCode>
                <c:ptCount val="12"/>
                <c:pt idx="0">
                  <c:v>2509347</c:v>
                </c:pt>
                <c:pt idx="1">
                  <c:v>2501224</c:v>
                </c:pt>
                <c:pt idx="2">
                  <c:v>2510071</c:v>
                </c:pt>
                <c:pt idx="3">
                  <c:v>2522886</c:v>
                </c:pt>
                <c:pt idx="4">
                  <c:v>2551978</c:v>
                </c:pt>
                <c:pt idx="5">
                  <c:v>2565642</c:v>
                </c:pt>
                <c:pt idx="6">
                  <c:v>2615361</c:v>
                </c:pt>
                <c:pt idx="7">
                  <c:v>2750057</c:v>
                </c:pt>
                <c:pt idx="8">
                  <c:v>2811443</c:v>
                </c:pt>
                <c:pt idx="9">
                  <c:v>2849870</c:v>
                </c:pt>
              </c:numCache>
            </c:numRef>
          </c:val>
          <c:smooth val="0"/>
          <c:extLst>
            <c:ext xmlns:c16="http://schemas.microsoft.com/office/drawing/2014/chart" uri="{C3380CC4-5D6E-409C-BE32-E72D297353CC}">
              <c16:uniqueId val="{00000000-9168-43A7-9AA7-1FFDC34E62D4}"/>
            </c:ext>
          </c:extLst>
        </c:ser>
        <c:ser>
          <c:idx val="3"/>
          <c:order val="1"/>
          <c:tx>
            <c:strRef>
              <c:f>'Normalized Annual Summary'!$BU$3</c:f>
              <c:strCache>
                <c:ptCount val="1"/>
                <c:pt idx="0">
                  <c:v>Normal Forecast</c:v>
                </c:pt>
              </c:strCache>
            </c:strRef>
          </c:tx>
          <c:spPr>
            <a:ln w="28575" cap="rnd">
              <a:solidFill>
                <a:schemeClr val="accent4"/>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Summary'!$BV$5:$BV$13,'Normalized Annual Summary'!$BU$14:$BU$16)</c:f>
              <c:numCache>
                <c:formatCode>General</c:formatCode>
                <c:ptCount val="12"/>
                <c:pt idx="9" formatCode="#,##0">
                  <c:v>2849870</c:v>
                </c:pt>
                <c:pt idx="10" formatCode="#,##0">
                  <c:v>2848080.5289589334</c:v>
                </c:pt>
                <c:pt idx="11" formatCode="#,##0">
                  <c:v>2866800.061490498</c:v>
                </c:pt>
              </c:numCache>
            </c:numRef>
          </c:val>
          <c:smooth val="0"/>
          <c:extLst>
            <c:ext xmlns:c16="http://schemas.microsoft.com/office/drawing/2014/chart" uri="{C3380CC4-5D6E-409C-BE32-E72D297353CC}">
              <c16:uniqueId val="{00000001-9168-43A7-9AA7-1FFDC34E62D4}"/>
            </c:ext>
          </c:extLst>
        </c:ser>
        <c:dLbls>
          <c:showLegendKey val="0"/>
          <c:showVal val="0"/>
          <c:showCatName val="0"/>
          <c:showSerName val="0"/>
          <c:showPercent val="0"/>
          <c:showBubbleSize val="0"/>
        </c:dLbls>
        <c:smooth val="0"/>
        <c:axId val="177661440"/>
        <c:axId val="177662976"/>
      </c:lineChart>
      <c:catAx>
        <c:axId val="1776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2976"/>
        <c:crosses val="autoZero"/>
        <c:auto val="1"/>
        <c:lblAlgn val="ctr"/>
        <c:lblOffset val="100"/>
        <c:noMultiLvlLbl val="0"/>
      </c:catAx>
      <c:valAx>
        <c:axId val="177662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USL Connection</a:t>
            </a:r>
          </a:p>
        </c:rich>
      </c:tx>
      <c:overlay val="0"/>
      <c:spPr>
        <a:noFill/>
        <a:ln>
          <a:noFill/>
        </a:ln>
        <a:effectLst/>
      </c:spPr>
    </c:title>
    <c:autoTitleDeleted val="0"/>
    <c:plotArea>
      <c:layout/>
      <c:lineChart>
        <c:grouping val="standard"/>
        <c:varyColors val="0"/>
        <c:ser>
          <c:idx val="0"/>
          <c:order val="0"/>
          <c:tx>
            <c:strRef>
              <c:f>'Normalized Annual Summary'!$BT$3</c:f>
              <c:strCache>
                <c:ptCount val="1"/>
                <c:pt idx="0">
                  <c:v>Average per Connection</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Summary'!$BT$5:$BT$14</c:f>
              <c:numCache>
                <c:formatCode>#,##0</c:formatCode>
                <c:ptCount val="10"/>
                <c:pt idx="0">
                  <c:v>9732.4382676147397</c:v>
                </c:pt>
                <c:pt idx="1">
                  <c:v>10157.254822335026</c:v>
                </c:pt>
                <c:pt idx="2">
                  <c:v>10200.085336945478</c:v>
                </c:pt>
                <c:pt idx="3">
                  <c:v>10176.346890756304</c:v>
                </c:pt>
                <c:pt idx="4">
                  <c:v>10342.362715298885</c:v>
                </c:pt>
                <c:pt idx="5">
                  <c:v>10134.201448321264</c:v>
                </c:pt>
                <c:pt idx="6">
                  <c:v>10402.496519721579</c:v>
                </c:pt>
                <c:pt idx="7">
                  <c:v>10884.130606860159</c:v>
                </c:pt>
                <c:pt idx="8">
                  <c:v>10844.524590163934</c:v>
                </c:pt>
                <c:pt idx="9">
                  <c:v>10982.157996146436</c:v>
                </c:pt>
              </c:numCache>
            </c:numRef>
          </c:val>
          <c:smooth val="0"/>
          <c:extLst>
            <c:ext xmlns:c16="http://schemas.microsoft.com/office/drawing/2014/chart" uri="{C3380CC4-5D6E-409C-BE32-E72D297353CC}">
              <c16:uniqueId val="{00000000-AC2D-4DDA-B3EA-029F51E8F94F}"/>
            </c:ext>
          </c:extLst>
        </c:ser>
        <c:ser>
          <c:idx val="1"/>
          <c:order val="1"/>
          <c:tx>
            <c:v>Forecast per Device</c:v>
          </c:tx>
          <c:spPr>
            <a:ln w="28575" cap="rnd">
              <a:solidFill>
                <a:schemeClr val="accent2"/>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Summary'!$BT$14:$BT$16)</c:f>
              <c:numCache>
                <c:formatCode>General</c:formatCode>
                <c:ptCount val="12"/>
                <c:pt idx="9" formatCode="#,##0">
                  <c:v>10982.157996146436</c:v>
                </c:pt>
                <c:pt idx="10" formatCode="#,##0">
                  <c:v>10903.604397723509</c:v>
                </c:pt>
                <c:pt idx="11" formatCode="#,##0">
                  <c:v>10903.604397723509</c:v>
                </c:pt>
              </c:numCache>
            </c:numRef>
          </c:val>
          <c:smooth val="0"/>
          <c:extLst>
            <c:ext xmlns:c16="http://schemas.microsoft.com/office/drawing/2014/chart" uri="{C3380CC4-5D6E-409C-BE32-E72D297353CC}">
              <c16:uniqueId val="{00000001-AC2D-4DDA-B3EA-029F51E8F94F}"/>
            </c:ext>
          </c:extLst>
        </c:ser>
        <c:dLbls>
          <c:showLegendKey val="0"/>
          <c:showVal val="0"/>
          <c:showCatName val="0"/>
          <c:showSerName val="0"/>
          <c:showPercent val="0"/>
          <c:showBubbleSize val="0"/>
        </c:dLbls>
        <c:smooth val="0"/>
        <c:axId val="177702400"/>
        <c:axId val="177703936"/>
      </c:lineChart>
      <c:catAx>
        <c:axId val="1777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3936"/>
        <c:crosses val="autoZero"/>
        <c:auto val="1"/>
        <c:lblAlgn val="ctr"/>
        <c:lblOffset val="100"/>
        <c:noMultiLvlLbl val="0"/>
      </c:catAx>
      <c:valAx>
        <c:axId val="17770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per Connection</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2400"/>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E8EE-4137-99CE-2F19F9AB6A5E}"/>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E8EE-4137-99CE-2F19F9AB6A5E}"/>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E8EE-4137-99CE-2F19F9AB6A5E}"/>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E8EE-4137-99CE-2F19F9AB6A5E}"/>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F832-41D6-B493-115199E61CAA}"/>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F832-41D6-B493-115199E61CAA}"/>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F832-41D6-B493-115199E61CAA}"/>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F832-41D6-B493-115199E61CAA}"/>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9C43-4FC0-AEEC-BAE23406DD23}"/>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9C43-4FC0-AEEC-BAE23406DD23}"/>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9C43-4FC0-AEEC-BAE23406DD23}"/>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9C43-4FC0-AEEC-BAE23406DD23}"/>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Sentinel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0-5A99-4B38-A113-12096AF46510}"/>
            </c:ext>
          </c:extLst>
        </c:ser>
        <c:ser>
          <c:idx val="3"/>
          <c:order val="1"/>
          <c:tx>
            <c:strRef>
              <c:f>'Normalized Annual Summary'!$BO$3</c:f>
              <c:strCache>
                <c:ptCount val="1"/>
                <c:pt idx="0">
                  <c:v>Normal Forecast</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1-5A99-4B38-A113-12096AF46510}"/>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Sentinel Connection</a:t>
            </a:r>
          </a:p>
        </c:rich>
      </c:tx>
      <c:overlay val="0"/>
      <c:spPr>
        <a:noFill/>
        <a:ln>
          <a:noFill/>
        </a:ln>
        <a:effectLst/>
      </c:spPr>
    </c:title>
    <c:autoTitleDeleted val="0"/>
    <c:plotArea>
      <c:layout/>
      <c:lineChart>
        <c:grouping val="standard"/>
        <c:varyColors val="0"/>
        <c:ser>
          <c:idx val="0"/>
          <c:order val="0"/>
          <c:tx>
            <c:strRef>
              <c:f>'Normalized Annual Summary'!$BN$3</c:f>
              <c:strCache>
                <c:ptCount val="1"/>
                <c:pt idx="0">
                  <c:v>Average per Connection</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Summary'!$BN$5:$BN$14</c:f>
              <c:numCache>
                <c:formatCode>#,##0</c:formatCode>
                <c:ptCount val="10"/>
                <c:pt idx="0">
                  <c:v>1095.5338546633609</c:v>
                </c:pt>
                <c:pt idx="1">
                  <c:v>1119.042367048404</c:v>
                </c:pt>
                <c:pt idx="2">
                  <c:v>1115.984874242261</c:v>
                </c:pt>
                <c:pt idx="3">
                  <c:v>1115.1041969002147</c:v>
                </c:pt>
                <c:pt idx="4">
                  <c:v>1358.7277615266471</c:v>
                </c:pt>
                <c:pt idx="5">
                  <c:v>1420.4652631578945</c:v>
                </c:pt>
                <c:pt idx="6">
                  <c:v>1416.5842105263157</c:v>
                </c:pt>
                <c:pt idx="7">
                  <c:v>1416.5842105263157</c:v>
                </c:pt>
                <c:pt idx="8">
                  <c:v>1416.5842105263157</c:v>
                </c:pt>
                <c:pt idx="9">
                  <c:v>1385.4505263157894</c:v>
                </c:pt>
              </c:numCache>
            </c:numRef>
          </c:val>
          <c:smooth val="0"/>
          <c:extLst>
            <c:ext xmlns:c16="http://schemas.microsoft.com/office/drawing/2014/chart" uri="{C3380CC4-5D6E-409C-BE32-E72D297353CC}">
              <c16:uniqueId val="{00000000-0F55-40A2-93F1-2BBC9D4093C5}"/>
            </c:ext>
          </c:extLst>
        </c:ser>
        <c:ser>
          <c:idx val="1"/>
          <c:order val="1"/>
          <c:tx>
            <c:v>Forecast per Device</c:v>
          </c:tx>
          <c:spPr>
            <a:ln w="28575" cap="rnd">
              <a:solidFill>
                <a:schemeClr val="accent2"/>
              </a:solidFill>
              <a:round/>
            </a:ln>
            <a:effectLst/>
          </c:spPr>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Summary'!$BN$14:$BN$16)</c:f>
              <c:numCache>
                <c:formatCode>General</c:formatCode>
                <c:ptCount val="12"/>
                <c:pt idx="9" formatCode="#,##0">
                  <c:v>1385.4505263157894</c:v>
                </c:pt>
                <c:pt idx="10" formatCode="#,##0">
                  <c:v>1406.2063157894736</c:v>
                </c:pt>
                <c:pt idx="11" formatCode="#,##0">
                  <c:v>1406.2063157894736</c:v>
                </c:pt>
              </c:numCache>
            </c:numRef>
          </c:val>
          <c:smooth val="0"/>
          <c:extLst>
            <c:ext xmlns:c16="http://schemas.microsoft.com/office/drawing/2014/chart" uri="{C3380CC4-5D6E-409C-BE32-E72D297353CC}">
              <c16:uniqueId val="{00000001-0F55-40A2-93F1-2BBC9D4093C5}"/>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4DCD-47B0-8F32-B6F5FE0CE02B}"/>
            </c:ext>
          </c:extLst>
        </c:ser>
        <c:ser>
          <c:idx val="1"/>
          <c:order val="1"/>
          <c:tx>
            <c:strRef>
              <c:f>'Normalized Annual Summary'!$AL$3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Summary'!$AL$5:$AL$15</c:f>
              <c:numCache>
                <c:formatCode>#,##0</c:formatCode>
                <c:ptCount val="11"/>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4DCD-47B0-8F32-B6F5FE0CE02B}"/>
            </c:ext>
          </c:extLst>
        </c:ser>
        <c:ser>
          <c:idx val="2"/>
          <c:order val="2"/>
          <c:tx>
            <c:strRef>
              <c:f>'Normalized Annual Summary'!$AN$3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Summary'!$AN$5:$AN$16</c:f>
              <c:numCache>
                <c:formatCode>#,##0</c:formatCode>
                <c:ptCount val="12"/>
                <c:pt idx="0">
                  <c:v>87589347.681368038</c:v>
                </c:pt>
                <c:pt idx="1">
                  <c:v>90087170.517099351</c:v>
                </c:pt>
                <c:pt idx="2">
                  <c:v>89743128.136980996</c:v>
                </c:pt>
                <c:pt idx="3">
                  <c:v>90820621.664634973</c:v>
                </c:pt>
                <c:pt idx="4">
                  <c:v>90837514.060365275</c:v>
                </c:pt>
                <c:pt idx="5">
                  <c:v>81173833.144376099</c:v>
                </c:pt>
                <c:pt idx="6">
                  <c:v>81795070.520274743</c:v>
                </c:pt>
                <c:pt idx="7">
                  <c:v>88286669.592289746</c:v>
                </c:pt>
                <c:pt idx="8">
                  <c:v>92200971.71573928</c:v>
                </c:pt>
                <c:pt idx="9">
                  <c:v>93003521.979965717</c:v>
                </c:pt>
                <c:pt idx="10">
                  <c:v>93445528.020666704</c:v>
                </c:pt>
                <c:pt idx="11">
                  <c:v>93841796.929235339</c:v>
                </c:pt>
              </c:numCache>
            </c:numRef>
          </c:val>
          <c:smooth val="0"/>
          <c:extLst>
            <c:ext xmlns:c16="http://schemas.microsoft.com/office/drawing/2014/chart" uri="{C3380CC4-5D6E-409C-BE32-E72D297353CC}">
              <c16:uniqueId val="{00000002-4DCD-47B0-8F32-B6F5FE0CE02B}"/>
            </c:ext>
          </c:extLst>
        </c:ser>
        <c:ser>
          <c:idx val="3"/>
          <c:order val="3"/>
          <c:tx>
            <c:strRef>
              <c:f>'Normalized Annual Summary'!$AR$3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Summary'!$AR$5:$AR$16</c:f>
              <c:numCache>
                <c:formatCode>#,##0</c:formatCode>
                <c:ptCount val="12"/>
                <c:pt idx="0">
                  <c:v>82763929.271368042</c:v>
                </c:pt>
                <c:pt idx="1">
                  <c:v>80129039.512099355</c:v>
                </c:pt>
                <c:pt idx="2">
                  <c:v>79477718.138554513</c:v>
                </c:pt>
                <c:pt idx="3">
                  <c:v>80553555.646208495</c:v>
                </c:pt>
                <c:pt idx="4">
                  <c:v>80570448.041938782</c:v>
                </c:pt>
                <c:pt idx="5">
                  <c:v>70906898.795949608</c:v>
                </c:pt>
                <c:pt idx="6">
                  <c:v>71410272.649126142</c:v>
                </c:pt>
                <c:pt idx="7">
                  <c:v>77551073.920502976</c:v>
                </c:pt>
                <c:pt idx="8">
                  <c:v>80424534.531425565</c:v>
                </c:pt>
                <c:pt idx="9">
                  <c:v>79390482.944134414</c:v>
                </c:pt>
                <c:pt idx="10">
                  <c:v>80415845.859158918</c:v>
                </c:pt>
                <c:pt idx="11">
                  <c:v>81008539.989905819</c:v>
                </c:pt>
              </c:numCache>
            </c:numRef>
          </c:val>
          <c:smooth val="0"/>
          <c:extLst>
            <c:ext xmlns:c16="http://schemas.microsoft.com/office/drawing/2014/chart" uri="{C3380CC4-5D6E-409C-BE32-E72D297353CC}">
              <c16:uniqueId val="{00000003-4DCD-47B0-8F32-B6F5FE0CE02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Summary'!$AU$5:$AU$15</c:f>
              <c:numCache>
                <c:formatCode>#,##0</c:formatCode>
                <c:ptCount val="11"/>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AB-460C-BBDE-061182CFAFA2}"/>
            </c:ext>
          </c:extLst>
        </c:ser>
        <c:ser>
          <c:idx val="1"/>
          <c:order val="1"/>
          <c:tx>
            <c:strRef>
              <c:f>'Normalized Annual Summary'!$AW$3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Summary'!$AW$5:$AW$15</c:f>
              <c:numCache>
                <c:formatCode>#,##0</c:formatCode>
                <c:ptCount val="11"/>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AB-460C-BBDE-061182CFAFA2}"/>
            </c:ext>
          </c:extLst>
        </c:ser>
        <c:ser>
          <c:idx val="2"/>
          <c:order val="2"/>
          <c:tx>
            <c:strRef>
              <c:f>'Normalized Annual Summary'!$AY$3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Summary'!$AY$5:$AY$16</c:f>
              <c:numCache>
                <c:formatCode>#,##0</c:formatCode>
                <c:ptCount val="12"/>
                <c:pt idx="0">
                  <c:v>39273931.115661256</c:v>
                </c:pt>
                <c:pt idx="1">
                  <c:v>39271689.680394858</c:v>
                </c:pt>
                <c:pt idx="2">
                  <c:v>39316741.286567882</c:v>
                </c:pt>
                <c:pt idx="3">
                  <c:v>39329853.302264415</c:v>
                </c:pt>
                <c:pt idx="4">
                  <c:v>39227659.27299428</c:v>
                </c:pt>
                <c:pt idx="5">
                  <c:v>34992381.728666171</c:v>
                </c:pt>
                <c:pt idx="6">
                  <c:v>35283728.790175959</c:v>
                </c:pt>
                <c:pt idx="7">
                  <c:v>37171583.501645729</c:v>
                </c:pt>
                <c:pt idx="8">
                  <c:v>39263658.168890461</c:v>
                </c:pt>
                <c:pt idx="9">
                  <c:v>39302899.839040816</c:v>
                </c:pt>
                <c:pt idx="10">
                  <c:v>39203600.560869493</c:v>
                </c:pt>
                <c:pt idx="11">
                  <c:v>39204043.275471777</c:v>
                </c:pt>
              </c:numCache>
            </c:numRef>
          </c:val>
          <c:smooth val="0"/>
          <c:extLst>
            <c:ext xmlns:c16="http://schemas.microsoft.com/office/drawing/2014/chart" uri="{C3380CC4-5D6E-409C-BE32-E72D297353CC}">
              <c16:uniqueId val="{00000002-EDAB-460C-BBDE-061182CFAFA2}"/>
            </c:ext>
          </c:extLst>
        </c:ser>
        <c:ser>
          <c:idx val="3"/>
          <c:order val="3"/>
          <c:tx>
            <c:strRef>
              <c:f>'Normalized Annual Summary'!$BC$3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Summary'!$BC$5:$BC$16</c:f>
              <c:numCache>
                <c:formatCode>#,##0</c:formatCode>
                <c:ptCount val="12"/>
                <c:pt idx="0">
                  <c:v>39273931.115661256</c:v>
                </c:pt>
                <c:pt idx="1">
                  <c:v>39271689.680394858</c:v>
                </c:pt>
                <c:pt idx="2">
                  <c:v>39177297.611567885</c:v>
                </c:pt>
                <c:pt idx="3">
                  <c:v>39050939.185597748</c:v>
                </c:pt>
                <c:pt idx="4">
                  <c:v>38948965.039660946</c:v>
                </c:pt>
                <c:pt idx="5">
                  <c:v>34713907.37866617</c:v>
                </c:pt>
                <c:pt idx="6">
                  <c:v>34969257.707107</c:v>
                </c:pt>
                <c:pt idx="7">
                  <c:v>36780670.755650245</c:v>
                </c:pt>
                <c:pt idx="8">
                  <c:v>38728508.770573214</c:v>
                </c:pt>
                <c:pt idx="9">
                  <c:v>38576056.660491265</c:v>
                </c:pt>
                <c:pt idx="10">
                  <c:v>38486029.709961563</c:v>
                </c:pt>
                <c:pt idx="11">
                  <c:v>38511369.103293002</c:v>
                </c:pt>
              </c:numCache>
            </c:numRef>
          </c:val>
          <c:smooth val="0"/>
          <c:extLst>
            <c:ext xmlns:c16="http://schemas.microsoft.com/office/drawing/2014/chart" uri="{C3380CC4-5D6E-409C-BE32-E72D297353CC}">
              <c16:uniqueId val="{00000003-EDAB-460C-BBDE-061182CFAFA2}"/>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BDA3-4524-AB09-C40CAF9C56AB}"/>
            </c:ext>
          </c:extLst>
        </c:ser>
        <c:ser>
          <c:idx val="1"/>
          <c:order val="1"/>
          <c:tx>
            <c:strRef>
              <c:f>'Normalized Annual Summary'!$AL$3</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Summary'!$AL$47:$AL$58</c:f>
              <c:numCache>
                <c:formatCode>#,##0</c:formatCode>
                <c:ptCount val="12"/>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BDA3-4524-AB09-C40CAF9C56AB}"/>
            </c:ext>
          </c:extLst>
        </c:ser>
        <c:ser>
          <c:idx val="2"/>
          <c:order val="2"/>
          <c:tx>
            <c:strRef>
              <c:f>'Normalized Annual Summary'!$AN$45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Summary'!$AN$47:$AN$58</c:f>
              <c:numCache>
                <c:formatCode>#,##0</c:formatCode>
                <c:ptCount val="12"/>
                <c:pt idx="0">
                  <c:v>86902671.626182184</c:v>
                </c:pt>
                <c:pt idx="1">
                  <c:v>93536463.097776875</c:v>
                </c:pt>
                <c:pt idx="2">
                  <c:v>93694023.55178456</c:v>
                </c:pt>
                <c:pt idx="3">
                  <c:v>86016115.682057798</c:v>
                </c:pt>
                <c:pt idx="4">
                  <c:v>87799844.526723817</c:v>
                </c:pt>
                <c:pt idx="5">
                  <c:v>80445754.743632391</c:v>
                </c:pt>
                <c:pt idx="6">
                  <c:v>80158682.147446394</c:v>
                </c:pt>
                <c:pt idx="7">
                  <c:v>92716808.627332389</c:v>
                </c:pt>
                <c:pt idx="8">
                  <c:v>89328056.240921676</c:v>
                </c:pt>
                <c:pt idx="9">
                  <c:v>95132341.85829711</c:v>
                </c:pt>
                <c:pt idx="10">
                  <c:v>93445528.020666704</c:v>
                </c:pt>
                <c:pt idx="11">
                  <c:v>93841796.929235339</c:v>
                </c:pt>
              </c:numCache>
            </c:numRef>
          </c:val>
          <c:smooth val="0"/>
          <c:extLst>
            <c:ext xmlns:c16="http://schemas.microsoft.com/office/drawing/2014/chart" uri="{C3380CC4-5D6E-409C-BE32-E72D297353CC}">
              <c16:uniqueId val="{00000002-BDA3-4524-AB09-C40CAF9C56AB}"/>
            </c:ext>
          </c:extLst>
        </c:ser>
        <c:ser>
          <c:idx val="3"/>
          <c:order val="3"/>
          <c:tx>
            <c:strRef>
              <c:f>'Normalized Annual Summary'!$AR$3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Summary'!$AR$47:$AR$58</c:f>
              <c:numCache>
                <c:formatCode>#,##0</c:formatCode>
                <c:ptCount val="12"/>
                <c:pt idx="0">
                  <c:v>82077253.216182187</c:v>
                </c:pt>
                <c:pt idx="1">
                  <c:v>83578332.09277688</c:v>
                </c:pt>
                <c:pt idx="2">
                  <c:v>83428613.553358078</c:v>
                </c:pt>
                <c:pt idx="3">
                  <c:v>75749049.66363132</c:v>
                </c:pt>
                <c:pt idx="4">
                  <c:v>77532778.508297324</c:v>
                </c:pt>
                <c:pt idx="5">
                  <c:v>70178820.395205915</c:v>
                </c:pt>
                <c:pt idx="6">
                  <c:v>69773884.276297808</c:v>
                </c:pt>
                <c:pt idx="7">
                  <c:v>81981212.955545619</c:v>
                </c:pt>
                <c:pt idx="8">
                  <c:v>77551619.056607962</c:v>
                </c:pt>
                <c:pt idx="9">
                  <c:v>81519302.822465807</c:v>
                </c:pt>
                <c:pt idx="10">
                  <c:v>80415845.859158918</c:v>
                </c:pt>
                <c:pt idx="11">
                  <c:v>81008539.989905819</c:v>
                </c:pt>
              </c:numCache>
            </c:numRef>
          </c:val>
          <c:smooth val="0"/>
          <c:extLst>
            <c:ext xmlns:c16="http://schemas.microsoft.com/office/drawing/2014/chart" uri="{C3380CC4-5D6E-409C-BE32-E72D297353CC}">
              <c16:uniqueId val="{00000003-BDA3-4524-AB09-C40CAF9C56A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Weather!$D$2:$D$120</c:f>
              <c:numCache>
                <c:formatCode>0.0</c:formatCode>
                <c:ptCount val="119"/>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numCache>
            </c:numRef>
          </c:xVal>
          <c:yVal>
            <c:numRef>
              <c:f>Weather!$DP$2:$DP$121</c:f>
              <c:numCache>
                <c:formatCode>_(* #,##0_);_(* \(#,##0\);_(* "-"??_);_(@_)</c:formatCode>
                <c:ptCount val="120"/>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yVal>
          <c:smooth val="0"/>
          <c:extLst>
            <c:ext xmlns:c16="http://schemas.microsoft.com/office/drawing/2014/chart" uri="{C3380CC4-5D6E-409C-BE32-E72D297353CC}">
              <c16:uniqueId val="{00000000-67E3-46FD-8B6A-AB48D1FFCD7F}"/>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Weather!$DU$2:$DU$121</c:f>
              <c:numCache>
                <c:formatCode>_(* #,##0_);_(* \(#,##0\);_(* "-"??_);_(@_)</c:formatCode>
                <c:ptCount val="120"/>
                <c:pt idx="0">
                  <c:v>50723562.852158681</c:v>
                </c:pt>
                <c:pt idx="1">
                  <c:v>53193008.933252774</c:v>
                </c:pt>
                <c:pt idx="2">
                  <c:v>45779518.003270239</c:v>
                </c:pt>
                <c:pt idx="3">
                  <c:v>37022524.646336846</c:v>
                </c:pt>
                <c:pt idx="4">
                  <c:v>38429677.126181826</c:v>
                </c:pt>
                <c:pt idx="5">
                  <c:v>40663878.505782694</c:v>
                </c:pt>
                <c:pt idx="6">
                  <c:v>48726618.233603686</c:v>
                </c:pt>
                <c:pt idx="7">
                  <c:v>46082693.942921996</c:v>
                </c:pt>
                <c:pt idx="8">
                  <c:v>43386093.52777151</c:v>
                </c:pt>
                <c:pt idx="9">
                  <c:v>35748527.076179162</c:v>
                </c:pt>
                <c:pt idx="10">
                  <c:v>37944527.042227276</c:v>
                </c:pt>
                <c:pt idx="11">
                  <c:v>39597631.087954842</c:v>
                </c:pt>
                <c:pt idx="12">
                  <c:v>46955499.855967805</c:v>
                </c:pt>
                <c:pt idx="13">
                  <c:v>44973740.745190352</c:v>
                </c:pt>
                <c:pt idx="14">
                  <c:v>41989591.055261105</c:v>
                </c:pt>
                <c:pt idx="15">
                  <c:v>38996198.234642431</c:v>
                </c:pt>
                <c:pt idx="16">
                  <c:v>39151538.867063969</c:v>
                </c:pt>
                <c:pt idx="17">
                  <c:v>44370850.515978768</c:v>
                </c:pt>
                <c:pt idx="18">
                  <c:v>51939881.42451752</c:v>
                </c:pt>
                <c:pt idx="19">
                  <c:v>52980397.345631421</c:v>
                </c:pt>
                <c:pt idx="20">
                  <c:v>42479932.360903695</c:v>
                </c:pt>
                <c:pt idx="21">
                  <c:v>37362558.799700454</c:v>
                </c:pt>
                <c:pt idx="22">
                  <c:v>37952701.47800497</c:v>
                </c:pt>
                <c:pt idx="23">
                  <c:v>45126995.410532594</c:v>
                </c:pt>
                <c:pt idx="24">
                  <c:v>45236499.793577306</c:v>
                </c:pt>
                <c:pt idx="25">
                  <c:v>42823543.047567382</c:v>
                </c:pt>
                <c:pt idx="26">
                  <c:v>44602249.377563924</c:v>
                </c:pt>
                <c:pt idx="27">
                  <c:v>36159693.032891601</c:v>
                </c:pt>
                <c:pt idx="28">
                  <c:v>36468476.015011474</c:v>
                </c:pt>
                <c:pt idx="29">
                  <c:v>41896730.437385842</c:v>
                </c:pt>
                <c:pt idx="30">
                  <c:v>48208264.90652667</c:v>
                </c:pt>
                <c:pt idx="31">
                  <c:v>45202396.554541409</c:v>
                </c:pt>
                <c:pt idx="32">
                  <c:v>41776209.000308424</c:v>
                </c:pt>
                <c:pt idx="33">
                  <c:v>36625979.062205553</c:v>
                </c:pt>
                <c:pt idx="34">
                  <c:v>39875136.656743273</c:v>
                </c:pt>
                <c:pt idx="35">
                  <c:v>48821835.42786029</c:v>
                </c:pt>
                <c:pt idx="36">
                  <c:v>49261139.733047888</c:v>
                </c:pt>
                <c:pt idx="37">
                  <c:v>44256879.502015151</c:v>
                </c:pt>
                <c:pt idx="38">
                  <c:v>43601654.685959131</c:v>
                </c:pt>
                <c:pt idx="39">
                  <c:v>40181025.99679628</c:v>
                </c:pt>
                <c:pt idx="40">
                  <c:v>39557531.258676767</c:v>
                </c:pt>
                <c:pt idx="41">
                  <c:v>43952593.101550728</c:v>
                </c:pt>
                <c:pt idx="42">
                  <c:v>52303422.456011623</c:v>
                </c:pt>
                <c:pt idx="43">
                  <c:v>52011378.435148835</c:v>
                </c:pt>
                <c:pt idx="44">
                  <c:v>43238477.261475757</c:v>
                </c:pt>
                <c:pt idx="45">
                  <c:v>37692133.908729576</c:v>
                </c:pt>
                <c:pt idx="46">
                  <c:v>41756293.514109284</c:v>
                </c:pt>
                <c:pt idx="47">
                  <c:v>44146345.700563431</c:v>
                </c:pt>
                <c:pt idx="48">
                  <c:v>50168958.090721741</c:v>
                </c:pt>
                <c:pt idx="49">
                  <c:v>46196561.135406442</c:v>
                </c:pt>
                <c:pt idx="50">
                  <c:v>44966020.107137844</c:v>
                </c:pt>
                <c:pt idx="51">
                  <c:v>37588856.026344009</c:v>
                </c:pt>
                <c:pt idx="52">
                  <c:v>34715705.599216796</c:v>
                </c:pt>
                <c:pt idx="53">
                  <c:v>42405710.773998953</c:v>
                </c:pt>
                <c:pt idx="54">
                  <c:v>52528559.680084363</c:v>
                </c:pt>
                <c:pt idx="55">
                  <c:v>47638926.006294541</c:v>
                </c:pt>
                <c:pt idx="56">
                  <c:v>39344455.982231297</c:v>
                </c:pt>
                <c:pt idx="57">
                  <c:v>34954021.631707989</c:v>
                </c:pt>
                <c:pt idx="58">
                  <c:v>42565416.382011928</c:v>
                </c:pt>
                <c:pt idx="59">
                  <c:v>45057767.02266179</c:v>
                </c:pt>
                <c:pt idx="60">
                  <c:v>45502218.419884391</c:v>
                </c:pt>
                <c:pt idx="61">
                  <c:v>45489222.012496009</c:v>
                </c:pt>
                <c:pt idx="62">
                  <c:v>40954762.60695827</c:v>
                </c:pt>
                <c:pt idx="63">
                  <c:v>37931489.422897741</c:v>
                </c:pt>
                <c:pt idx="64">
                  <c:v>39149083.225152761</c:v>
                </c:pt>
                <c:pt idx="65">
                  <c:v>45667937.36732012</c:v>
                </c:pt>
                <c:pt idx="66">
                  <c:v>55994699.593026161</c:v>
                </c:pt>
                <c:pt idx="67">
                  <c:v>49527869.568469286</c:v>
                </c:pt>
                <c:pt idx="68">
                  <c:v>39148330.644853011</c:v>
                </c:pt>
                <c:pt idx="69">
                  <c:v>35814706.421520591</c:v>
                </c:pt>
                <c:pt idx="70">
                  <c:v>37647093.680778973</c:v>
                </c:pt>
                <c:pt idx="71">
                  <c:v>44084194.564240769</c:v>
                </c:pt>
                <c:pt idx="72">
                  <c:v>46264502.750268497</c:v>
                </c:pt>
                <c:pt idx="73">
                  <c:v>46633549.249178298</c:v>
                </c:pt>
                <c:pt idx="74">
                  <c:v>41316063.987081125</c:v>
                </c:pt>
                <c:pt idx="75">
                  <c:v>36974174.210148327</c:v>
                </c:pt>
                <c:pt idx="76">
                  <c:v>38341977.02504015</c:v>
                </c:pt>
                <c:pt idx="77">
                  <c:v>46907839.770535827</c:v>
                </c:pt>
                <c:pt idx="78">
                  <c:v>47836128.826601394</c:v>
                </c:pt>
                <c:pt idx="79">
                  <c:v>52983034.530449785</c:v>
                </c:pt>
                <c:pt idx="80">
                  <c:v>40614522.378538944</c:v>
                </c:pt>
                <c:pt idx="81">
                  <c:v>37642647.670567647</c:v>
                </c:pt>
                <c:pt idx="82">
                  <c:v>39989428.692744821</c:v>
                </c:pt>
                <c:pt idx="83">
                  <c:v>42544441.981969289</c:v>
                </c:pt>
                <c:pt idx="84">
                  <c:v>51575915.698490098</c:v>
                </c:pt>
                <c:pt idx="85">
                  <c:v>46120770.205191009</c:v>
                </c:pt>
                <c:pt idx="86">
                  <c:v>42904995.77902133</c:v>
                </c:pt>
                <c:pt idx="87">
                  <c:v>37307398.188612826</c:v>
                </c:pt>
                <c:pt idx="88">
                  <c:v>38822703.405023031</c:v>
                </c:pt>
                <c:pt idx="89">
                  <c:v>42635424.845186099</c:v>
                </c:pt>
                <c:pt idx="90">
                  <c:v>49874098.719624922</c:v>
                </c:pt>
                <c:pt idx="91">
                  <c:v>50326217.336211629</c:v>
                </c:pt>
                <c:pt idx="92">
                  <c:v>40448053.248360656</c:v>
                </c:pt>
                <c:pt idx="93">
                  <c:v>35276397.502830252</c:v>
                </c:pt>
                <c:pt idx="94">
                  <c:v>39458587.481092498</c:v>
                </c:pt>
                <c:pt idx="95">
                  <c:v>44152650.88830632</c:v>
                </c:pt>
                <c:pt idx="96">
                  <c:v>44737875.252686284</c:v>
                </c:pt>
                <c:pt idx="97">
                  <c:v>44162301.685871951</c:v>
                </c:pt>
                <c:pt idx="98">
                  <c:v>43099941.8898471</c:v>
                </c:pt>
                <c:pt idx="99">
                  <c:v>37473546.177579165</c:v>
                </c:pt>
                <c:pt idx="100">
                  <c:v>36821673.060656354</c:v>
                </c:pt>
                <c:pt idx="101">
                  <c:v>44366765.687770486</c:v>
                </c:pt>
                <c:pt idx="102">
                  <c:v>50009755.158007458</c:v>
                </c:pt>
                <c:pt idx="103">
                  <c:v>45932425.368368119</c:v>
                </c:pt>
                <c:pt idx="104">
                  <c:v>41447271.332824133</c:v>
                </c:pt>
                <c:pt idx="105">
                  <c:v>37187186.993067026</c:v>
                </c:pt>
                <c:pt idx="106">
                  <c:v>40121621.841114029</c:v>
                </c:pt>
                <c:pt idx="107">
                  <c:v>41205168.634461224</c:v>
                </c:pt>
                <c:pt idx="108">
                  <c:v>45754683.284201339</c:v>
                </c:pt>
                <c:pt idx="109">
                  <c:v>43097883.053033099</c:v>
                </c:pt>
                <c:pt idx="110">
                  <c:v>40292074.50745149</c:v>
                </c:pt>
                <c:pt idx="111">
                  <c:v>35894790.666490853</c:v>
                </c:pt>
                <c:pt idx="112">
                  <c:v>38131930.776832335</c:v>
                </c:pt>
                <c:pt idx="113">
                  <c:v>44345109.457007177</c:v>
                </c:pt>
                <c:pt idx="114">
                  <c:v>51230478.708376512</c:v>
                </c:pt>
                <c:pt idx="115">
                  <c:v>48398142.21344918</c:v>
                </c:pt>
                <c:pt idx="116">
                  <c:v>42037859.46810323</c:v>
                </c:pt>
                <c:pt idx="117">
                  <c:v>35869062.503464371</c:v>
                </c:pt>
                <c:pt idx="118">
                  <c:v>38356540.488131545</c:v>
                </c:pt>
                <c:pt idx="119">
                  <c:v>44568149.892832026</c:v>
                </c:pt>
              </c:numCache>
            </c:numRef>
          </c:yVal>
          <c:smooth val="0"/>
          <c:extLst>
            <c:ext xmlns:c16="http://schemas.microsoft.com/office/drawing/2014/chart" uri="{C3380CC4-5D6E-409C-BE32-E72D297353CC}">
              <c16:uniqueId val="{00000001-67E3-46FD-8B6A-AB48D1FFCD7F}"/>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Summary'!$AU$45</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Summary'!$AU$47:$AU$58</c:f>
              <c:numCache>
                <c:formatCode>#,##0</c:formatCode>
                <c:ptCount val="12"/>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8B-4E9E-9FAC-787EF2B8EDDB}"/>
            </c:ext>
          </c:extLst>
        </c:ser>
        <c:ser>
          <c:idx val="1"/>
          <c:order val="1"/>
          <c:tx>
            <c:strRef>
              <c:f>'Normalized Annual Summary'!$AW$45</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Summary'!$AW$47:$AW$58</c:f>
              <c:numCache>
                <c:formatCode>#,##0</c:formatCode>
                <c:ptCount val="12"/>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8B-4E9E-9FAC-787EF2B8EDDB}"/>
            </c:ext>
          </c:extLst>
        </c:ser>
        <c:ser>
          <c:idx val="2"/>
          <c:order val="2"/>
          <c:tx>
            <c:strRef>
              <c:f>'Normalized Annual Summary'!$AY$45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Summary'!$AY$47:$AY$58</c:f>
              <c:numCache>
                <c:formatCode>#,##0</c:formatCode>
                <c:ptCount val="12"/>
                <c:pt idx="0">
                  <c:v>42009045.545392573</c:v>
                </c:pt>
                <c:pt idx="1">
                  <c:v>41251215.956856966</c:v>
                </c:pt>
                <c:pt idx="2">
                  <c:v>37897877.936844178</c:v>
                </c:pt>
                <c:pt idx="3">
                  <c:v>44855902.964958057</c:v>
                </c:pt>
                <c:pt idx="4">
                  <c:v>39225011.52115424</c:v>
                </c:pt>
                <c:pt idx="5">
                  <c:v>31029263.609303031</c:v>
                </c:pt>
                <c:pt idx="6">
                  <c:v>36382123.473760217</c:v>
                </c:pt>
                <c:pt idx="7">
                  <c:v>34224796.754030883</c:v>
                </c:pt>
                <c:pt idx="8">
                  <c:v>34559575.706118673</c:v>
                </c:pt>
                <c:pt idx="9">
                  <c:v>40547566.312512428</c:v>
                </c:pt>
                <c:pt idx="10">
                  <c:v>39203600.560869493</c:v>
                </c:pt>
                <c:pt idx="11">
                  <c:v>39204043.275471777</c:v>
                </c:pt>
              </c:numCache>
            </c:numRef>
          </c:val>
          <c:smooth val="0"/>
          <c:extLst>
            <c:ext xmlns:c16="http://schemas.microsoft.com/office/drawing/2014/chart" uri="{C3380CC4-5D6E-409C-BE32-E72D297353CC}">
              <c16:uniqueId val="{00000002-ED8B-4E9E-9FAC-787EF2B8EDDB}"/>
            </c:ext>
          </c:extLst>
        </c:ser>
        <c:ser>
          <c:idx val="3"/>
          <c:order val="3"/>
          <c:tx>
            <c:strRef>
              <c:f>'Normalized Annual Summary'!$BC$3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Summary'!$BC$47:$BC$58</c:f>
              <c:numCache>
                <c:formatCode>#,##0</c:formatCode>
                <c:ptCount val="12"/>
                <c:pt idx="0">
                  <c:v>42009045.545392573</c:v>
                </c:pt>
                <c:pt idx="1">
                  <c:v>41251215.956856966</c:v>
                </c:pt>
                <c:pt idx="2">
                  <c:v>37758434.261844181</c:v>
                </c:pt>
                <c:pt idx="3">
                  <c:v>44576988.84829139</c:v>
                </c:pt>
                <c:pt idx="4">
                  <c:v>38946317.287820905</c:v>
                </c:pt>
                <c:pt idx="5">
                  <c:v>30750789.25930303</c:v>
                </c:pt>
                <c:pt idx="6">
                  <c:v>36067652.390691258</c:v>
                </c:pt>
                <c:pt idx="7">
                  <c:v>33833884.008035399</c:v>
                </c:pt>
                <c:pt idx="8">
                  <c:v>34024426.307801425</c:v>
                </c:pt>
                <c:pt idx="9">
                  <c:v>39820723.133962877</c:v>
                </c:pt>
                <c:pt idx="10">
                  <c:v>38486029.709961563</c:v>
                </c:pt>
                <c:pt idx="11">
                  <c:v>38511369.103293002</c:v>
                </c:pt>
              </c:numCache>
            </c:numRef>
          </c:val>
          <c:smooth val="0"/>
          <c:extLst>
            <c:ext xmlns:c16="http://schemas.microsoft.com/office/drawing/2014/chart" uri="{C3380CC4-5D6E-409C-BE32-E72D297353CC}">
              <c16:uniqueId val="{00000003-ED8B-4E9E-9FAC-787EF2B8EDD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Forecast'!$E$3</c:f>
              <c:strCache>
                <c:ptCount val="1"/>
                <c:pt idx="0">
                  <c:v>Ratio</c:v>
                </c:pt>
              </c:strCache>
            </c:strRef>
          </c:tx>
          <c:spPr>
            <a:ln w="28575" cap="rnd">
              <a:solidFill>
                <a:schemeClr val="accent1"/>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D4F6-4A91-BE35-5F8396D72999}"/>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Forecast'!$F$19:$F$21)</c:f>
              <c:numCache>
                <c:formatCode>General</c:formatCode>
                <c:ptCount val="12"/>
                <c:pt idx="9" formatCode="_-* #,##0.000000_-;\-* #,##0.000000_-;_-* &quot;-&quot;??_-;_-@_-">
                  <c:v>2.5713977313181514E-3</c:v>
                </c:pt>
                <c:pt idx="10" formatCode="_-* #,##0.000000_-;\-* #,##0.000000_-;_-* &quot;-&quot;??_-;_-@_-">
                  <c:v>2.5805936655355181E-3</c:v>
                </c:pt>
                <c:pt idx="11" formatCode="_-* #,##0.000000_-;\-* #,##0.000000_-;_-* &quot;-&quot;??_-;_-@_-">
                  <c:v>2.5897895997528814E-3</c:v>
                </c:pt>
              </c:numCache>
            </c:numRef>
          </c:val>
          <c:smooth val="0"/>
          <c:extLst>
            <c:ext xmlns:c16="http://schemas.microsoft.com/office/drawing/2014/chart" uri="{C3380CC4-5D6E-409C-BE32-E72D297353CC}">
              <c16:uniqueId val="{00000002-D4F6-4A91-BE35-5F8396D72999}"/>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Forecast'!$E$19:$E$21)</c:f>
              <c:numCache>
                <c:formatCode>General</c:formatCode>
                <c:ptCount val="12"/>
                <c:pt idx="9" formatCode="_-* #,##0.000000_-;\-* #,##0.000000_-;_-* &quot;-&quot;??_-;_-@_-">
                  <c:v>2.5300160273400074E-3</c:v>
                </c:pt>
                <c:pt idx="10" formatCode="_-* #,##0.000000_-;\-* #,##0.000000_-;_-* &quot;-&quot;??_-;_-@_-">
                  <c:v>2.5300160273400074E-3</c:v>
                </c:pt>
                <c:pt idx="11" formatCode="_-* #,##0.000000_-;\-* #,##0.000000_-;_-* &quot;-&quot;??_-;_-@_-">
                  <c:v>2.5300160273400074E-3</c:v>
                </c:pt>
              </c:numCache>
            </c:numRef>
          </c:val>
          <c:smooth val="0"/>
          <c:extLst>
            <c:ext xmlns:c16="http://schemas.microsoft.com/office/drawing/2014/chart" uri="{C3380CC4-5D6E-409C-BE32-E72D297353CC}">
              <c16:uniqueId val="{00000003-D4F6-4A91-BE35-5F8396D72999}"/>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Forecast'!$AD$3</c:f>
              <c:strCache>
                <c:ptCount val="1"/>
                <c:pt idx="0">
                  <c:v>Ratio</c:v>
                </c:pt>
              </c:strCache>
            </c:strRef>
          </c:tx>
          <c:spPr>
            <a:ln w="28575" cap="rnd">
              <a:solidFill>
                <a:schemeClr val="accent1"/>
              </a:solidFill>
              <a:round/>
            </a:ln>
            <a:effectLst/>
          </c:spPr>
          <c:marker>
            <c:symbol val="none"/>
          </c:marker>
          <c:cat>
            <c:numRef>
              <c:f>('kW Forecast'!$Z$5:$Z$13,'kW Forecast'!$Z$19:$Z$21)</c:f>
              <c:numCache>
                <c:formatCode>General</c:formatCode>
                <c:ptCount val="12"/>
              </c:numCache>
            </c:numRef>
          </c:cat>
          <c:val>
            <c:numRef>
              <c:f>'kW Forecast'!$AD$5:$AD$14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28B5-4533-8DD9-03E0BE3E3248}"/>
            </c:ext>
          </c:extLst>
        </c:ser>
        <c:ser>
          <c:idx val="1"/>
          <c:order val="1"/>
          <c:tx>
            <c:strRef>
              <c:f>'kW Forecast'!$AE$3</c:f>
              <c:strCache>
                <c:ptCount val="1"/>
                <c:pt idx="0">
                  <c:v>3-Yr MA</c:v>
                </c:pt>
              </c:strCache>
            </c:strRef>
          </c:tx>
          <c:spPr>
            <a:ln w="28575" cap="rnd">
              <a:solidFill>
                <a:schemeClr val="accent2"/>
              </a:solidFill>
              <a:round/>
            </a:ln>
            <a:effectLst/>
          </c:spPr>
          <c:marker>
            <c:symbol val="none"/>
          </c:marker>
          <c:cat>
            <c:numRef>
              <c:f>('kW Forecast'!$Z$5:$Z$13,'kW Forecast'!$Z$19:$Z$21)</c:f>
              <c:numCache>
                <c:formatCode>General</c:formatCode>
                <c:ptCount val="12"/>
              </c:numCache>
            </c:numRef>
          </c:cat>
          <c:val>
            <c:numRef>
              <c:f>'kW Forecast'!$AE$5:$AE$14</c:f>
              <c:numCache>
                <c:formatCode>0.000000</c:formatCode>
                <c:ptCount val="10"/>
                <c:pt idx="2">
                  <c:v>2.8302986818430978E-3</c:v>
                </c:pt>
                <c:pt idx="3">
                  <c:v>2.8458730012844427E-3</c:v>
                </c:pt>
                <c:pt idx="4">
                  <c:v>2.8577825612229229E-3</c:v>
                </c:pt>
                <c:pt idx="5">
                  <c:v>2.8431114286611996E-3</c:v>
                </c:pt>
                <c:pt idx="6">
                  <c:v>2.8253933573775631E-3</c:v>
                </c:pt>
                <c:pt idx="7">
                  <c:v>2.8284747496426892E-3</c:v>
                </c:pt>
                <c:pt idx="8">
                  <c:v>2.8400347003950319E-3</c:v>
                </c:pt>
                <c:pt idx="9">
                  <c:v>2.8139746753040136E-3</c:v>
                </c:pt>
              </c:numCache>
            </c:numRef>
          </c:val>
          <c:smooth val="0"/>
          <c:extLst>
            <c:ext xmlns:c16="http://schemas.microsoft.com/office/drawing/2014/chart" uri="{C3380CC4-5D6E-409C-BE32-E72D297353CC}">
              <c16:uniqueId val="{00000001-28B5-4533-8DD9-03E0BE3E324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Forecast'!$AE$19:$AE$21)</c:f>
              <c:numCache>
                <c:formatCode>0.000000</c:formatCode>
                <c:ptCount val="12"/>
                <c:pt idx="9" formatCode="_-* #,##0.000000_-;\-* #,##0.000000_-;_-* &quot;-&quot;??_-;_-@_-">
                  <c:v>2.8252386837894971E-3</c:v>
                </c:pt>
                <c:pt idx="10" formatCode="_-* #,##0.000000_-;\-* #,##0.000000_-;_-* &quot;-&quot;??_-;_-@_-">
                  <c:v>2.8222731950246754E-3</c:v>
                </c:pt>
                <c:pt idx="11" formatCode="_-* #,##0.000000_-;\-* #,##0.000000_-;_-* &quot;-&quot;??_-;_-@_-">
                  <c:v>2.8193077062598545E-3</c:v>
                </c:pt>
              </c:numCache>
            </c:numRef>
          </c:val>
          <c:smooth val="0"/>
          <c:extLst>
            <c:ext xmlns:c16="http://schemas.microsoft.com/office/drawing/2014/chart" uri="{C3380CC4-5D6E-409C-BE32-E72D297353CC}">
              <c16:uniqueId val="{00000002-28B5-4533-8DD9-03E0BE3E324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Forecast'!$AD$19:$AD$21)</c:f>
              <c:numCache>
                <c:formatCode>0.000000</c:formatCode>
                <c:ptCount val="12"/>
                <c:pt idx="9" formatCode="_-* #,##0.000000_-;\-* #,##0.000000_-;_-* &quot;-&quot;??_-;_-@_-">
                  <c:v>2.8291064590722226E-3</c:v>
                </c:pt>
                <c:pt idx="10" formatCode="_-* #,##0.000000_-;\-* #,##0.000000_-;_-* &quot;-&quot;??_-;_-@_-">
                  <c:v>2.8291064590722226E-3</c:v>
                </c:pt>
                <c:pt idx="11" formatCode="_-* #,##0.000000_-;\-* #,##0.000000_-;_-* &quot;-&quot;??_-;_-@_-">
                  <c:v>2.8291064590722226E-3</c:v>
                </c:pt>
              </c:numCache>
            </c:numRef>
          </c:val>
          <c:smooth val="0"/>
          <c:extLst>
            <c:ext xmlns:c16="http://schemas.microsoft.com/office/drawing/2014/chart" uri="{C3380CC4-5D6E-409C-BE32-E72D297353CC}">
              <c16:uniqueId val="{00000003-28B5-4533-8DD9-03E0BE3E324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A626-4953-81B3-DD8FA6D0CEDF}"/>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A626-4953-81B3-DD8FA6D0CEDF}"/>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A626-4953-81B3-DD8FA6D0CEDF}"/>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9D85-4C18-B365-ED97547B7975}"/>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9D85-4C18-B365-ED97547B7975}"/>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9D85-4C18-B365-ED97547B7975}"/>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2348-41BC-96A2-52DBAFA8EB98}"/>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2348-41BC-96A2-52DBAFA8EB9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2348-41BC-96A2-52DBAFA8EB9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2348-41BC-96A2-52DBAFA8EB9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F001-4D6E-BEA4-A655F889F03B}"/>
            </c:ext>
          </c:extLst>
        </c:ser>
        <c:ser>
          <c:idx val="1"/>
          <c:order val="1"/>
          <c:spPr>
            <a:ln w="28575" cap="rnd">
              <a:solidFill>
                <a:schemeClr val="accent3"/>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Normal)'!$F$18:$F$29</c:f>
              <c:numCache>
                <c:formatCode>_-* #,##0.000000_-;\-* #,##0.000000_-;_-* "-"??_-;_-@_-</c:formatCode>
                <c:ptCount val="12"/>
                <c:pt idx="0">
                  <c:v>2.4886343233618616E-3</c:v>
                </c:pt>
                <c:pt idx="1">
                  <c:v>2.4978302575792283E-3</c:v>
                </c:pt>
                <c:pt idx="2">
                  <c:v>2.507026191796595E-3</c:v>
                </c:pt>
                <c:pt idx="3">
                  <c:v>2.5162221260139582E-3</c:v>
                </c:pt>
                <c:pt idx="4">
                  <c:v>2.5254180602313249E-3</c:v>
                </c:pt>
                <c:pt idx="5">
                  <c:v>2.5346139944486881E-3</c:v>
                </c:pt>
                <c:pt idx="6">
                  <c:v>2.5438099286660548E-3</c:v>
                </c:pt>
                <c:pt idx="7">
                  <c:v>2.5530058628834215E-3</c:v>
                </c:pt>
                <c:pt idx="8">
                  <c:v>2.5622017971007847E-3</c:v>
                </c:pt>
                <c:pt idx="9">
                  <c:v>2.5713977313181514E-3</c:v>
                </c:pt>
                <c:pt idx="10">
                  <c:v>2.5805936655355181E-3</c:v>
                </c:pt>
                <c:pt idx="11">
                  <c:v>2.5897895997528814E-3</c:v>
                </c:pt>
              </c:numCache>
            </c:numRef>
          </c:val>
          <c:smooth val="0"/>
          <c:extLst>
            <c:ext xmlns:c16="http://schemas.microsoft.com/office/drawing/2014/chart" uri="{C3380CC4-5D6E-409C-BE32-E72D297353CC}">
              <c16:uniqueId val="{00000001-F001-4D6E-BEA4-A655F889F03B}"/>
            </c:ext>
          </c:extLst>
        </c:ser>
        <c:dLbls>
          <c:showLegendKey val="0"/>
          <c:showVal val="0"/>
          <c:showCatName val="0"/>
          <c:showSerName val="0"/>
          <c:showPercent val="0"/>
          <c:showBubbleSize val="0"/>
        </c:dLbls>
        <c:smooth val="0"/>
        <c:axId val="177420544"/>
        <c:axId val="177426432"/>
      </c:lineChart>
      <c:catAx>
        <c:axId val="17742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6432"/>
        <c:crosses val="autoZero"/>
        <c:auto val="1"/>
        <c:lblAlgn val="ctr"/>
        <c:lblOffset val="100"/>
        <c:noMultiLvlLbl val="0"/>
      </c:catAx>
      <c:valAx>
        <c:axId val="1774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b="0"/>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 (Weather Normal)'!$AD$3</c:f>
              <c:strCache>
                <c:ptCount val="1"/>
                <c:pt idx="0">
                  <c:v>Ratio</c:v>
                </c:pt>
              </c:strCache>
            </c:strRef>
          </c:tx>
          <c:spPr>
            <a:ln w="28575" cap="rnd">
              <a:solidFill>
                <a:schemeClr val="accent1"/>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0165-4A83-A7CD-6920A66E18C1}"/>
            </c:ext>
          </c:extLst>
        </c:ser>
        <c:ser>
          <c:idx val="1"/>
          <c:order val="1"/>
          <c:tx>
            <c:strRef>
              <c:f>'kW Forecast (Weather Normal)'!$AE$3</c:f>
              <c:strCache>
                <c:ptCount val="1"/>
                <c:pt idx="0">
                  <c:v>3-Yr MA</c:v>
                </c:pt>
              </c:strCache>
            </c:strRef>
          </c:tx>
          <c:spPr>
            <a:ln w="28575" cap="rnd">
              <a:solidFill>
                <a:schemeClr val="accent2"/>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Normal)'!$AE$5:$AE$14</c:f>
              <c:numCache>
                <c:formatCode>0.000000</c:formatCode>
                <c:ptCount val="10"/>
                <c:pt idx="1">
                  <c:v>2.8302986818430978E-3</c:v>
                </c:pt>
                <c:pt idx="2">
                  <c:v>2.8302986818430978E-3</c:v>
                </c:pt>
                <c:pt idx="3">
                  <c:v>2.8458730012844427E-3</c:v>
                </c:pt>
                <c:pt idx="4">
                  <c:v>2.8577825612229229E-3</c:v>
                </c:pt>
                <c:pt idx="5">
                  <c:v>2.8431114286611996E-3</c:v>
                </c:pt>
                <c:pt idx="6">
                  <c:v>2.8253933573775631E-3</c:v>
                </c:pt>
                <c:pt idx="7">
                  <c:v>2.8284747496426892E-3</c:v>
                </c:pt>
                <c:pt idx="8">
                  <c:v>2.8400347003950319E-3</c:v>
                </c:pt>
                <c:pt idx="9">
                  <c:v>2.8144427982334437E-3</c:v>
                </c:pt>
              </c:numCache>
            </c:numRef>
          </c:val>
          <c:smooth val="0"/>
          <c:extLst>
            <c:ext xmlns:c16="http://schemas.microsoft.com/office/drawing/2014/chart" uri="{C3380CC4-5D6E-409C-BE32-E72D297353CC}">
              <c16:uniqueId val="{00000001-0165-4A83-A7CD-6920A66E18C1}"/>
            </c:ext>
          </c:extLst>
        </c:ser>
        <c:ser>
          <c:idx val="2"/>
          <c:order val="2"/>
          <c:tx>
            <c:v>Forecast Trend</c:v>
          </c:tx>
          <c:spPr>
            <a:ln w="28575" cap="rnd">
              <a:solidFill>
                <a:schemeClr val="accent3"/>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Normal)'!$AF$5:$AF$9,'kW Forecast (Weather Normal)'!$AE$23:$AE$24)</c:f>
              <c:numCache>
                <c:formatCode>0.000000</c:formatCode>
                <c:ptCount val="7"/>
                <c:pt idx="5" formatCode="_-* #,##0.000000_-;\-* #,##0.000000_-;_-* &quot;-&quot;??_-;_-@_-">
                  <c:v>2.8371396490928999E-3</c:v>
                </c:pt>
                <c:pt idx="6" formatCode="_-* #,##0.000000_-;\-* #,##0.000000_-;_-* &quot;-&quot;??_-;_-@_-">
                  <c:v>2.8342131705721982E-3</c:v>
                </c:pt>
              </c:numCache>
            </c:numRef>
          </c:val>
          <c:smooth val="0"/>
          <c:extLst>
            <c:ext xmlns:c16="http://schemas.microsoft.com/office/drawing/2014/chart" uri="{C3380CC4-5D6E-409C-BE32-E72D297353CC}">
              <c16:uniqueId val="{00000002-0165-4A83-A7CD-6920A66E18C1}"/>
            </c:ext>
          </c:extLst>
        </c:ser>
        <c:ser>
          <c:idx val="3"/>
          <c:order val="3"/>
          <c:tx>
            <c:v>Forecast Average</c:v>
          </c:tx>
          <c:spPr>
            <a:ln w="28575" cap="rnd">
              <a:solidFill>
                <a:schemeClr val="accent4"/>
              </a:solidFill>
              <a:round/>
            </a:ln>
            <a:effectLst/>
          </c:spPr>
          <c:marker>
            <c:symbol val="none"/>
          </c:marker>
          <c:val>
            <c:numRef>
              <c:f>('kW Forecast (Weather Normal)'!$AF$5:$AF$9,'kW Forecast (Weather Normal)'!$AD$23:$AD$24)</c:f>
              <c:numCache>
                <c:formatCode>0.000000</c:formatCode>
                <c:ptCount val="7"/>
                <c:pt idx="5" formatCode="_-* #,##0.000000_-;\-* #,##0.000000_-;_-* &quot;-&quot;??_-;_-@_-">
                  <c:v>2.8291064590722226E-3</c:v>
                </c:pt>
                <c:pt idx="6" formatCode="_-* #,##0.000000_-;\-* #,##0.000000_-;_-* &quot;-&quot;??_-;_-@_-">
                  <c:v>2.8291064590722226E-3</c:v>
                </c:pt>
              </c:numCache>
            </c:numRef>
          </c:val>
          <c:smooth val="0"/>
          <c:extLst>
            <c:ext xmlns:c16="http://schemas.microsoft.com/office/drawing/2014/chart" uri="{C3380CC4-5D6E-409C-BE32-E72D297353CC}">
              <c16:uniqueId val="{00000003-0165-4A83-A7CD-6920A66E18C1}"/>
            </c:ext>
          </c:extLst>
        </c:ser>
        <c:dLbls>
          <c:showLegendKey val="0"/>
          <c:showVal val="0"/>
          <c:showCatName val="0"/>
          <c:showSerName val="0"/>
          <c:showPercent val="0"/>
          <c:showBubbleSize val="0"/>
        </c:dLbls>
        <c:smooth val="0"/>
        <c:axId val="178594176"/>
        <c:axId val="178595712"/>
      </c:lineChart>
      <c:catAx>
        <c:axId val="17859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5712"/>
        <c:crosses val="autoZero"/>
        <c:auto val="1"/>
        <c:lblAlgn val="ctr"/>
        <c:lblOffset val="100"/>
        <c:noMultiLvlLbl val="0"/>
      </c:catAx>
      <c:valAx>
        <c:axId val="178595712"/>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4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191C-4C7F-85DA-7CB77B415C92}"/>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191C-4C7F-85DA-7CB77B415C92}"/>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191C-4C7F-85DA-7CB77B415C92}"/>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D9AA-4A7B-882D-3516C06DD043}"/>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D9AA-4A7B-882D-3516C06DD043}"/>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D9AA-4A7B-882D-3516C06DD043}"/>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0973040367518006"/>
          <c:y val="0.15406616862326575"/>
          <c:w val="0.76454487038084917"/>
          <c:h val="0.65210968159396299"/>
        </c:manualLayout>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Weather!$DQ$2:$DQ$121</c:f>
              <c:numCache>
                <c:formatCode>_(* #,##0_);_(* \(#,##0\);_(* "-"??_);_(@_)</c:formatCode>
                <c:ptCount val="12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yVal>
          <c:smooth val="0"/>
          <c:extLst>
            <c:ext xmlns:c16="http://schemas.microsoft.com/office/drawing/2014/chart" uri="{C3380CC4-5D6E-409C-BE32-E72D297353CC}">
              <c16:uniqueId val="{00000000-249A-4CD0-AC49-1E833B7BC0F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Weather!$DV$2:$DV$121</c:f>
              <c:numCache>
                <c:formatCode>_(* #,##0_);_(* \(#,##0\);_(* "-"??_);_(@_)</c:formatCode>
                <c:ptCount val="120"/>
                <c:pt idx="0">
                  <c:v>12760752.530177468</c:v>
                </c:pt>
                <c:pt idx="1">
                  <c:v>13174413.317765638</c:v>
                </c:pt>
                <c:pt idx="2">
                  <c:v>11865383.662735397</c:v>
                </c:pt>
                <c:pt idx="3">
                  <c:v>10248773.975898584</c:v>
                </c:pt>
                <c:pt idx="4">
                  <c:v>9865936.5842065029</c:v>
                </c:pt>
                <c:pt idx="5">
                  <c:v>10028838.266573653</c:v>
                </c:pt>
                <c:pt idx="6">
                  <c:v>11407055.217029551</c:v>
                </c:pt>
                <c:pt idx="7">
                  <c:v>10904588.804162504</c:v>
                </c:pt>
                <c:pt idx="8">
                  <c:v>10562744.910593191</c:v>
                </c:pt>
                <c:pt idx="9">
                  <c:v>9911575.8531355411</c:v>
                </c:pt>
                <c:pt idx="10">
                  <c:v>10392348.97934277</c:v>
                </c:pt>
                <c:pt idx="11">
                  <c:v>10745841.009867806</c:v>
                </c:pt>
                <c:pt idx="12">
                  <c:v>12078354.53410987</c:v>
                </c:pt>
                <c:pt idx="13">
                  <c:v>11697085.63964026</c:v>
                </c:pt>
                <c:pt idx="14">
                  <c:v>11179026.0946219</c:v>
                </c:pt>
                <c:pt idx="15">
                  <c:v>10591253.110112613</c:v>
                </c:pt>
                <c:pt idx="16">
                  <c:v>10164746.144510783</c:v>
                </c:pt>
                <c:pt idx="17">
                  <c:v>10701876.165723311</c:v>
                </c:pt>
                <c:pt idx="18">
                  <c:v>12021063.990057852</c:v>
                </c:pt>
                <c:pt idx="19">
                  <c:v>12219891.744300377</c:v>
                </c:pt>
                <c:pt idx="20">
                  <c:v>10354682.300396537</c:v>
                </c:pt>
                <c:pt idx="21">
                  <c:v>9908825.3329624534</c:v>
                </c:pt>
                <c:pt idx="22">
                  <c:v>10419829.683101879</c:v>
                </c:pt>
                <c:pt idx="23">
                  <c:v>11747211.511653228</c:v>
                </c:pt>
                <c:pt idx="24">
                  <c:v>11767042.807368258</c:v>
                </c:pt>
                <c:pt idx="25">
                  <c:v>11296498.126900662</c:v>
                </c:pt>
                <c:pt idx="26">
                  <c:v>11652179.756158631</c:v>
                </c:pt>
                <c:pt idx="27">
                  <c:v>10011404.545390276</c:v>
                </c:pt>
                <c:pt idx="28">
                  <c:v>9780375.3489389475</c:v>
                </c:pt>
                <c:pt idx="29">
                  <c:v>10273140.461569482</c:v>
                </c:pt>
                <c:pt idx="30">
                  <c:v>11308005.28820527</c:v>
                </c:pt>
                <c:pt idx="31">
                  <c:v>10753993.988021415</c:v>
                </c:pt>
                <c:pt idx="32">
                  <c:v>10368342.277335614</c:v>
                </c:pt>
                <c:pt idx="33">
                  <c:v>9741296.2906173114</c:v>
                </c:pt>
                <c:pt idx="34">
                  <c:v>10784911.710305803</c:v>
                </c:pt>
                <c:pt idx="35">
                  <c:v>12416348.791513892</c:v>
                </c:pt>
                <c:pt idx="36">
                  <c:v>12495907.009576309</c:v>
                </c:pt>
                <c:pt idx="37">
                  <c:v>11556076.038733494</c:v>
                </c:pt>
                <c:pt idx="38">
                  <c:v>11470971.58285653</c:v>
                </c:pt>
                <c:pt idx="39">
                  <c:v>10840308.414894242</c:v>
                </c:pt>
                <c:pt idx="40">
                  <c:v>10027148.466792278</c:v>
                </c:pt>
                <c:pt idx="41">
                  <c:v>10589473.943704931</c:v>
                </c:pt>
                <c:pt idx="42">
                  <c:v>12090531.496897731</c:v>
                </c:pt>
                <c:pt idx="43">
                  <c:v>12034726.049206031</c:v>
                </c:pt>
                <c:pt idx="44">
                  <c:v>10646130.972312057</c:v>
                </c:pt>
                <c:pt idx="45">
                  <c:v>10243791.393804584</c:v>
                </c:pt>
                <c:pt idx="46">
                  <c:v>11125590.109539859</c:v>
                </c:pt>
                <c:pt idx="47">
                  <c:v>11569615.383986648</c:v>
                </c:pt>
                <c:pt idx="48">
                  <c:v>12660313.344793174</c:v>
                </c:pt>
                <c:pt idx="49">
                  <c:v>11907353.302668149</c:v>
                </c:pt>
                <c:pt idx="50">
                  <c:v>11718058.807846522</c:v>
                </c:pt>
                <c:pt idx="51">
                  <c:v>10360092.773531536</c:v>
                </c:pt>
                <c:pt idx="52">
                  <c:v>9611855.3531620856</c:v>
                </c:pt>
                <c:pt idx="53">
                  <c:v>10364315.89354516</c:v>
                </c:pt>
                <c:pt idx="54">
                  <c:v>12133552.009847555</c:v>
                </c:pt>
                <c:pt idx="55">
                  <c:v>11199212.743431062</c:v>
                </c:pt>
                <c:pt idx="56">
                  <c:v>9790510.5995545015</c:v>
                </c:pt>
                <c:pt idx="57">
                  <c:v>9771417.9623861052</c:v>
                </c:pt>
                <c:pt idx="58">
                  <c:v>11272122.644740941</c:v>
                </c:pt>
                <c:pt idx="59">
                  <c:v>11734674.217769928</c:v>
                </c:pt>
                <c:pt idx="60">
                  <c:v>11815164.576641515</c:v>
                </c:pt>
                <c:pt idx="61">
                  <c:v>11790439.541678354</c:v>
                </c:pt>
                <c:pt idx="62">
                  <c:v>10991618.171742305</c:v>
                </c:pt>
                <c:pt idx="63">
                  <c:v>10432916.274247723</c:v>
                </c:pt>
                <c:pt idx="64">
                  <c:v>10249612.687361646</c:v>
                </c:pt>
                <c:pt idx="65">
                  <c:v>10948860.316430124</c:v>
                </c:pt>
                <c:pt idx="66">
                  <c:v>12795881.918305678</c:v>
                </c:pt>
                <c:pt idx="67">
                  <c:v>11560162.920873817</c:v>
                </c:pt>
                <c:pt idx="68">
                  <c:v>9921258.1844255216</c:v>
                </c:pt>
                <c:pt idx="69">
                  <c:v>9962156.5843437035</c:v>
                </c:pt>
                <c:pt idx="70">
                  <c:v>10358116.027098183</c:v>
                </c:pt>
                <c:pt idx="71">
                  <c:v>11558359.783715956</c:v>
                </c:pt>
                <c:pt idx="72">
                  <c:v>11953214.630479176</c:v>
                </c:pt>
                <c:pt idx="73">
                  <c:v>11986492.057366444</c:v>
                </c:pt>
                <c:pt idx="74">
                  <c:v>11053282.32585831</c:v>
                </c:pt>
                <c:pt idx="75">
                  <c:v>10149042.785229301</c:v>
                </c:pt>
                <c:pt idx="76">
                  <c:v>10079980.781979864</c:v>
                </c:pt>
                <c:pt idx="77">
                  <c:v>11104682.034747129</c:v>
                </c:pt>
                <c:pt idx="78">
                  <c:v>11241066.720300948</c:v>
                </c:pt>
                <c:pt idx="79">
                  <c:v>12220395.672711579</c:v>
                </c:pt>
                <c:pt idx="80">
                  <c:v>10037343.497195935</c:v>
                </c:pt>
                <c:pt idx="81">
                  <c:v>9850309.3343152888</c:v>
                </c:pt>
                <c:pt idx="82">
                  <c:v>10805610.052242439</c:v>
                </c:pt>
                <c:pt idx="83">
                  <c:v>11279509.86065359</c:v>
                </c:pt>
                <c:pt idx="84">
                  <c:v>12915114.034979023</c:v>
                </c:pt>
                <c:pt idx="85">
                  <c:v>11893627.529253162</c:v>
                </c:pt>
                <c:pt idx="86">
                  <c:v>11344806.324335754</c:v>
                </c:pt>
                <c:pt idx="87">
                  <c:v>10291184.264213853</c:v>
                </c:pt>
                <c:pt idx="88">
                  <c:v>10012571.941715753</c:v>
                </c:pt>
                <c:pt idx="89">
                  <c:v>10304612.708157621</c:v>
                </c:pt>
                <c:pt idx="90">
                  <c:v>11626322.374257168</c:v>
                </c:pt>
                <c:pt idx="91">
                  <c:v>11712715.794447161</c:v>
                </c:pt>
                <c:pt idx="92">
                  <c:v>10160773.185684757</c:v>
                </c:pt>
                <c:pt idx="93">
                  <c:v>9834466.341119932</c:v>
                </c:pt>
                <c:pt idx="94">
                  <c:v>10643792.436688377</c:v>
                </c:pt>
                <c:pt idx="95">
                  <c:v>11570757.256477877</c:v>
                </c:pt>
                <c:pt idx="96">
                  <c:v>11676741.666480187</c:v>
                </c:pt>
                <c:pt idx="97">
                  <c:v>11538947.951365048</c:v>
                </c:pt>
                <c:pt idx="98">
                  <c:v>11380111.157482959</c:v>
                </c:pt>
                <c:pt idx="99">
                  <c:v>10162420.061237236</c:v>
                </c:pt>
                <c:pt idx="100">
                  <c:v>9778881.0907607805</c:v>
                </c:pt>
                <c:pt idx="101">
                  <c:v>10624711.859384967</c:v>
                </c:pt>
                <c:pt idx="102">
                  <c:v>11652244.385102773</c:v>
                </c:pt>
                <c:pt idx="103">
                  <c:v>10882143.269412646</c:v>
                </c:pt>
                <c:pt idx="104">
                  <c:v>10145830.934308531</c:v>
                </c:pt>
                <c:pt idx="105">
                  <c:v>10000313.047488526</c:v>
                </c:pt>
                <c:pt idx="106">
                  <c:v>10829550.294120613</c:v>
                </c:pt>
                <c:pt idx="107">
                  <c:v>11036966.822108289</c:v>
                </c:pt>
                <c:pt idx="108">
                  <c:v>11860886.083331166</c:v>
                </c:pt>
                <c:pt idx="109">
                  <c:v>11357366.92173928</c:v>
                </c:pt>
                <c:pt idx="110">
                  <c:v>10871605.04256203</c:v>
                </c:pt>
                <c:pt idx="111">
                  <c:v>10033715.32096176</c:v>
                </c:pt>
                <c:pt idx="112">
                  <c:v>9707574.440123044</c:v>
                </c:pt>
                <c:pt idx="113">
                  <c:v>10672891.919459417</c:v>
                </c:pt>
                <c:pt idx="114">
                  <c:v>11885507.247444183</c:v>
                </c:pt>
                <c:pt idx="115">
                  <c:v>11354122.219348619</c:v>
                </c:pt>
                <c:pt idx="116">
                  <c:v>10236196.754295383</c:v>
                </c:pt>
                <c:pt idx="117">
                  <c:v>9786582.3951994833</c:v>
                </c:pt>
                <c:pt idx="118">
                  <c:v>10440443.430429829</c:v>
                </c:pt>
                <c:pt idx="119">
                  <c:v>11646004.323297899</c:v>
                </c:pt>
              </c:numCache>
            </c:numRef>
          </c:yVal>
          <c:smooth val="0"/>
          <c:extLst>
            <c:ext xmlns:c16="http://schemas.microsoft.com/office/drawing/2014/chart" uri="{C3380CC4-5D6E-409C-BE32-E72D297353CC}">
              <c16:uniqueId val="{00000001-249A-4CD0-AC49-1E833B7BC0F3}"/>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3D79-4953-8945-1F5860D9AB5E}"/>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3D79-4953-8945-1F5860D9AB5E}"/>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3D79-4953-8945-1F5860D9AB5E}"/>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3D79-4953-8945-1F5860D9AB5E}"/>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Consumption by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Tables'!$R$4</c:f>
              <c:strCache>
                <c:ptCount val="1"/>
                <c:pt idx="0">
                  <c:v>Residential</c:v>
                </c:pt>
              </c:strCache>
            </c:strRef>
          </c:tx>
          <c:spPr>
            <a:ln w="28575" cap="rnd">
              <a:solidFill>
                <a:schemeClr val="accent1"/>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Tables'!$S$4:$X$4</c:f>
              <c:numCache>
                <c:formatCode>#,##0</c:formatCode>
                <c:ptCount val="6"/>
                <c:pt idx="0">
                  <c:v>512708990.99999994</c:v>
                </c:pt>
                <c:pt idx="1">
                  <c:v>507634502.00000006</c:v>
                </c:pt>
                <c:pt idx="2">
                  <c:v>515036055.76324266</c:v>
                </c:pt>
                <c:pt idx="3">
                  <c:v>521215102.08675742</c:v>
                </c:pt>
                <c:pt idx="4">
                  <c:v>540401649.75877583</c:v>
                </c:pt>
                <c:pt idx="5">
                  <c:v>551504306.33943224</c:v>
                </c:pt>
              </c:numCache>
            </c:numRef>
          </c:val>
          <c:smooth val="0"/>
          <c:extLst>
            <c:ext xmlns:c16="http://schemas.microsoft.com/office/drawing/2014/chart" uri="{C3380CC4-5D6E-409C-BE32-E72D297353CC}">
              <c16:uniqueId val="{00000000-249A-4CC9-A143-46E6A984B3C2}"/>
            </c:ext>
          </c:extLst>
        </c:ser>
        <c:ser>
          <c:idx val="1"/>
          <c:order val="1"/>
          <c:tx>
            <c:strRef>
              <c:f>'Summary Tables'!$R$5</c:f>
              <c:strCache>
                <c:ptCount val="1"/>
                <c:pt idx="0">
                  <c:v>GS &lt; 50</c:v>
                </c:pt>
              </c:strCache>
            </c:strRef>
          </c:tx>
          <c:spPr>
            <a:ln w="28575" cap="rnd">
              <a:solidFill>
                <a:schemeClr val="accent2"/>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Tables'!$S$5:$X$5</c:f>
              <c:numCache>
                <c:formatCode>#,##0</c:formatCode>
                <c:ptCount val="6"/>
                <c:pt idx="0">
                  <c:v>119245755.00000001</c:v>
                </c:pt>
                <c:pt idx="1">
                  <c:v>126198741.00000001</c:v>
                </c:pt>
                <c:pt idx="2">
                  <c:v>126694932.13</c:v>
                </c:pt>
                <c:pt idx="3">
                  <c:v>131296579</c:v>
                </c:pt>
                <c:pt idx="4">
                  <c:v>128297286.09789784</c:v>
                </c:pt>
                <c:pt idx="5">
                  <c:v>128276138.96033406</c:v>
                </c:pt>
              </c:numCache>
            </c:numRef>
          </c:val>
          <c:smooth val="0"/>
          <c:extLst>
            <c:ext xmlns:c16="http://schemas.microsoft.com/office/drawing/2014/chart" uri="{C3380CC4-5D6E-409C-BE32-E72D297353CC}">
              <c16:uniqueId val="{00000001-249A-4CC9-A143-46E6A984B3C2}"/>
            </c:ext>
          </c:extLst>
        </c:ser>
        <c:ser>
          <c:idx val="6"/>
          <c:order val="2"/>
          <c:tx>
            <c:strRef>
              <c:f>'Summary Tables'!$R$6</c:f>
              <c:strCache>
                <c:ptCount val="1"/>
                <c:pt idx="0">
                  <c:v>GS 50-999</c:v>
                </c:pt>
              </c:strCache>
            </c:strRef>
          </c:tx>
          <c:spPr>
            <a:ln w="28575" cap="rnd">
              <a:solidFill>
                <a:schemeClr val="accent1">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Tables'!$S$6:$X$6</c:f>
              <c:numCache>
                <c:formatCode>#,##0</c:formatCode>
                <c:ptCount val="6"/>
                <c:pt idx="0">
                  <c:v>310470030.40933514</c:v>
                </c:pt>
                <c:pt idx="1">
                  <c:v>342060680.01827008</c:v>
                </c:pt>
                <c:pt idx="2">
                  <c:v>321367374.95395875</c:v>
                </c:pt>
                <c:pt idx="3">
                  <c:v>310385722.80520695</c:v>
                </c:pt>
                <c:pt idx="4">
                  <c:v>327896542.21226645</c:v>
                </c:pt>
                <c:pt idx="5">
                  <c:v>326060503.67292589</c:v>
                </c:pt>
              </c:numCache>
            </c:numRef>
          </c:val>
          <c:smooth val="0"/>
          <c:extLst>
            <c:ext xmlns:c16="http://schemas.microsoft.com/office/drawing/2014/chart" uri="{C3380CC4-5D6E-409C-BE32-E72D297353CC}">
              <c16:uniqueId val="{00000000-4295-4A2E-9F74-D04481FFEFFF}"/>
            </c:ext>
          </c:extLst>
        </c:ser>
        <c:ser>
          <c:idx val="7"/>
          <c:order val="3"/>
          <c:tx>
            <c:strRef>
              <c:f>'Summary Tables'!$R$7</c:f>
              <c:strCache>
                <c:ptCount val="1"/>
                <c:pt idx="0">
                  <c:v>GS 1,000-4,999</c:v>
                </c:pt>
              </c:strCache>
            </c:strRef>
          </c:tx>
          <c:spPr>
            <a:ln w="28575" cap="rnd">
              <a:solidFill>
                <a:schemeClr val="accent2">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Tables'!$S$7:$X$7</c:f>
              <c:numCache>
                <c:formatCode>#,##0</c:formatCode>
                <c:ptCount val="6"/>
                <c:pt idx="0">
                  <c:v>70260671.590664953</c:v>
                </c:pt>
                <c:pt idx="1">
                  <c:v>81816679.460561812</c:v>
                </c:pt>
                <c:pt idx="2">
                  <c:v>77073500.362002477</c:v>
                </c:pt>
                <c:pt idx="3">
                  <c:v>81507757</c:v>
                </c:pt>
                <c:pt idx="4">
                  <c:v>78301197.51655072</c:v>
                </c:pt>
                <c:pt idx="5">
                  <c:v>74664594.962081224</c:v>
                </c:pt>
              </c:numCache>
            </c:numRef>
          </c:val>
          <c:smooth val="0"/>
          <c:extLst>
            <c:ext xmlns:c16="http://schemas.microsoft.com/office/drawing/2014/chart" uri="{C3380CC4-5D6E-409C-BE32-E72D297353CC}">
              <c16:uniqueId val="{00000001-4295-4A2E-9F74-D04481FFEFFF}"/>
            </c:ext>
          </c:extLst>
        </c:ser>
        <c:ser>
          <c:idx val="2"/>
          <c:order val="4"/>
          <c:tx>
            <c:strRef>
              <c:f>'Summary Tables'!$R$8</c:f>
              <c:strCache>
                <c:ptCount val="1"/>
                <c:pt idx="0">
                  <c:v>Large Use</c:v>
                </c:pt>
              </c:strCache>
            </c:strRef>
          </c:tx>
          <c:spPr>
            <a:ln w="28575" cap="rnd">
              <a:solidFill>
                <a:schemeClr val="accent3"/>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Tables'!$S$8:$X$8</c:f>
              <c:numCache>
                <c:formatCode>#,##0</c:formatCode>
                <c:ptCount val="6"/>
                <c:pt idx="0">
                  <c:v>36146632</c:v>
                </c:pt>
                <c:pt idx="1">
                  <c:v>33850160</c:v>
                </c:pt>
                <c:pt idx="2">
                  <c:v>33850160.000000007</c:v>
                </c:pt>
                <c:pt idx="3">
                  <c:v>39718186</c:v>
                </c:pt>
                <c:pt idx="4">
                  <c:v>38261773.1726835</c:v>
                </c:pt>
                <c:pt idx="5">
                  <c:v>37614342.954180762</c:v>
                </c:pt>
              </c:numCache>
            </c:numRef>
          </c:val>
          <c:smooth val="0"/>
          <c:extLst>
            <c:ext xmlns:c16="http://schemas.microsoft.com/office/drawing/2014/chart" uri="{C3380CC4-5D6E-409C-BE32-E72D297353CC}">
              <c16:uniqueId val="{00000002-249A-4CC9-A143-46E6A984B3C2}"/>
            </c:ext>
          </c:extLst>
        </c:ser>
        <c:ser>
          <c:idx val="3"/>
          <c:order val="5"/>
          <c:tx>
            <c:strRef>
              <c:f>'Summary Tables'!$R$10</c:f>
              <c:strCache>
                <c:ptCount val="1"/>
                <c:pt idx="0">
                  <c:v>Sentinel Lights</c:v>
                </c:pt>
              </c:strCache>
            </c:strRef>
          </c:tx>
          <c:spPr>
            <a:ln w="28575" cap="rnd">
              <a:solidFill>
                <a:schemeClr val="accent4"/>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Tables'!$S$10:$X$10</c:f>
              <c:numCache>
                <c:formatCode>#,##0</c:formatCode>
                <c:ptCount val="6"/>
                <c:pt idx="0">
                  <c:v>26915.1</c:v>
                </c:pt>
                <c:pt idx="1">
                  <c:v>26915.1</c:v>
                </c:pt>
                <c:pt idx="2">
                  <c:v>26915.1</c:v>
                </c:pt>
                <c:pt idx="3">
                  <c:v>26323.559999999998</c:v>
                </c:pt>
                <c:pt idx="4">
                  <c:v>26717.919999999998</c:v>
                </c:pt>
                <c:pt idx="5">
                  <c:v>26717.919999999998</c:v>
                </c:pt>
              </c:numCache>
            </c:numRef>
          </c:val>
          <c:smooth val="0"/>
          <c:extLst>
            <c:ext xmlns:c16="http://schemas.microsoft.com/office/drawing/2014/chart" uri="{C3380CC4-5D6E-409C-BE32-E72D297353CC}">
              <c16:uniqueId val="{00000003-249A-4CC9-A143-46E6A984B3C2}"/>
            </c:ext>
          </c:extLst>
        </c:ser>
        <c:ser>
          <c:idx val="8"/>
          <c:order val="6"/>
          <c:tx>
            <c:strRef>
              <c:f>'Summary Tables'!$R$9</c:f>
              <c:strCache>
                <c:ptCount val="1"/>
                <c:pt idx="0">
                  <c:v>Street Light</c:v>
                </c:pt>
              </c:strCache>
            </c:strRef>
          </c:tx>
          <c:spPr>
            <a:ln w="28575" cap="rnd">
              <a:solidFill>
                <a:schemeClr val="accent3">
                  <a:lumMod val="60000"/>
                </a:schemeClr>
              </a:solidFill>
              <a:round/>
            </a:ln>
            <a:effectLst/>
          </c:spPr>
          <c:marker>
            <c:symbol val="none"/>
          </c:marker>
          <c:val>
            <c:numRef>
              <c:f>'Summary Tables'!$S$9:$X$9</c:f>
              <c:numCache>
                <c:formatCode>#,##0</c:formatCode>
                <c:ptCount val="6"/>
                <c:pt idx="0">
                  <c:v>4352366.9999999981</c:v>
                </c:pt>
                <c:pt idx="1">
                  <c:v>4432743</c:v>
                </c:pt>
                <c:pt idx="2">
                  <c:v>4495190.04</c:v>
                </c:pt>
                <c:pt idx="3">
                  <c:v>4596499.4919100879</c:v>
                </c:pt>
                <c:pt idx="4">
                  <c:v>4601999.7364925863</c:v>
                </c:pt>
                <c:pt idx="5">
                  <c:v>4665081.9792804932</c:v>
                </c:pt>
              </c:numCache>
            </c:numRef>
          </c:val>
          <c:smooth val="0"/>
          <c:extLst>
            <c:ext xmlns:c16="http://schemas.microsoft.com/office/drawing/2014/chart" uri="{C3380CC4-5D6E-409C-BE32-E72D297353CC}">
              <c16:uniqueId val="{00000002-4295-4A2E-9F74-D04481FFEFFF}"/>
            </c:ext>
          </c:extLst>
        </c:ser>
        <c:ser>
          <c:idx val="4"/>
          <c:order val="7"/>
          <c:tx>
            <c:strRef>
              <c:f>'Summary Tables'!$R$11</c:f>
              <c:strCache>
                <c:ptCount val="1"/>
                <c:pt idx="0">
                  <c:v>USL</c:v>
                </c:pt>
              </c:strCache>
            </c:strRef>
          </c:tx>
          <c:spPr>
            <a:ln w="28575" cap="rnd">
              <a:solidFill>
                <a:schemeClr val="accent5"/>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Tables'!$S$11:$X$11</c:f>
              <c:numCache>
                <c:formatCode>#,##0</c:formatCode>
                <c:ptCount val="6"/>
                <c:pt idx="0">
                  <c:v>2615361</c:v>
                </c:pt>
                <c:pt idx="1">
                  <c:v>2750057</c:v>
                </c:pt>
                <c:pt idx="2">
                  <c:v>2811443</c:v>
                </c:pt>
                <c:pt idx="3">
                  <c:v>2849870</c:v>
                </c:pt>
                <c:pt idx="4">
                  <c:v>2848080.5289589334</c:v>
                </c:pt>
                <c:pt idx="5">
                  <c:v>2866800.061490498</c:v>
                </c:pt>
              </c:numCache>
            </c:numRef>
          </c:val>
          <c:smooth val="0"/>
          <c:extLst>
            <c:ext xmlns:c16="http://schemas.microsoft.com/office/drawing/2014/chart" uri="{C3380CC4-5D6E-409C-BE32-E72D297353CC}">
              <c16:uniqueId val="{00000004-249A-4CC9-A143-46E6A984B3C2}"/>
            </c:ext>
          </c:extLst>
        </c:ser>
        <c:ser>
          <c:idx val="5"/>
          <c:order val="8"/>
          <c:tx>
            <c:strRef>
              <c:f>'Summary Tables'!$R$12</c:f>
              <c:strCache>
                <c:ptCount val="1"/>
                <c:pt idx="0">
                  <c:v>Total</c:v>
                </c:pt>
              </c:strCache>
            </c:strRef>
          </c:tx>
          <c:spPr>
            <a:ln w="28575" cap="rnd">
              <a:solidFill>
                <a:schemeClr val="accent6"/>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Tables'!$S$12:$X$12</c:f>
              <c:numCache>
                <c:formatCode>#,##0</c:formatCode>
                <c:ptCount val="6"/>
                <c:pt idx="0">
                  <c:v>1055826723.1000001</c:v>
                </c:pt>
                <c:pt idx="1">
                  <c:v>1098770477.5788319</c:v>
                </c:pt>
                <c:pt idx="2">
                  <c:v>1081355571.3492038</c:v>
                </c:pt>
                <c:pt idx="3">
                  <c:v>1091596039.9438744</c:v>
                </c:pt>
                <c:pt idx="4">
                  <c:v>1120635246.9436262</c:v>
                </c:pt>
                <c:pt idx="5">
                  <c:v>1125678486.8497252</c:v>
                </c:pt>
              </c:numCache>
            </c:numRef>
          </c:val>
          <c:smooth val="0"/>
          <c:extLst>
            <c:ext xmlns:c16="http://schemas.microsoft.com/office/drawing/2014/chart" uri="{C3380CC4-5D6E-409C-BE32-E72D297353CC}">
              <c16:uniqueId val="{00000005-249A-4CC9-A143-46E6A984B3C2}"/>
            </c:ext>
          </c:extLst>
        </c:ser>
        <c:dLbls>
          <c:showLegendKey val="0"/>
          <c:showVal val="0"/>
          <c:showCatName val="0"/>
          <c:showSerName val="0"/>
          <c:showPercent val="0"/>
          <c:showBubbleSize val="0"/>
        </c:dLbls>
        <c:smooth val="0"/>
        <c:axId val="406510624"/>
        <c:axId val="406503424"/>
      </c:lineChart>
      <c:catAx>
        <c:axId val="40651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03424"/>
        <c:crosses val="autoZero"/>
        <c:auto val="1"/>
        <c:lblAlgn val="ctr"/>
        <c:lblOffset val="100"/>
        <c:noMultiLvlLbl val="0"/>
      </c:catAx>
      <c:valAx>
        <c:axId val="406503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1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 WN'!$D$1</c:f>
              <c:strCache>
                <c:ptCount val="1"/>
                <c:pt idx="0">
                  <c:v> Res_NoCDM </c:v>
                </c:pt>
              </c:strCache>
            </c:strRef>
          </c:tx>
          <c:spPr>
            <a:ln w="28575" cap="rnd">
              <a:solidFill>
                <a:schemeClr val="accent1"/>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11F5-44EE-B2D3-2F4AF3DC20A0}"/>
            </c:ext>
          </c:extLst>
        </c:ser>
        <c:ser>
          <c:idx val="1"/>
          <c:order val="1"/>
          <c:tx>
            <c:strRef>
              <c:f>'Res Normalized Monthly WN'!$R$1</c:f>
              <c:strCache>
                <c:ptCount val="1"/>
                <c:pt idx="0">
                  <c:v>Normalized</c:v>
                </c:pt>
              </c:strCache>
            </c:strRef>
          </c:tx>
          <c:spPr>
            <a:ln w="28575" cap="rnd">
              <a:solidFill>
                <a:schemeClr val="accent2"/>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WN'!$R$2:$R$145</c:f>
              <c:numCache>
                <c:formatCode>_(* #,##0.00_);_(* \(#,##0.00\);_(* "-"??_);_(@_)</c:formatCode>
                <c:ptCount val="144"/>
                <c:pt idx="0">
                  <c:v>45851186.608225822</c:v>
                </c:pt>
                <c:pt idx="1">
                  <c:v>41606708.817692764</c:v>
                </c:pt>
                <c:pt idx="2">
                  <c:v>38618137.666887723</c:v>
                </c:pt>
                <c:pt idx="3">
                  <c:v>37551590.799806617</c:v>
                </c:pt>
                <c:pt idx="4">
                  <c:v>31306587.112637438</c:v>
                </c:pt>
                <c:pt idx="5">
                  <c:v>37420268.187958986</c:v>
                </c:pt>
                <c:pt idx="6">
                  <c:v>42623855.10409113</c:v>
                </c:pt>
                <c:pt idx="7">
                  <c:v>47906506.832445472</c:v>
                </c:pt>
                <c:pt idx="8">
                  <c:v>38895237.363046095</c:v>
                </c:pt>
                <c:pt idx="9">
                  <c:v>33417933.019326478</c:v>
                </c:pt>
                <c:pt idx="10">
                  <c:v>37645542.504642688</c:v>
                </c:pt>
                <c:pt idx="11">
                  <c:v>45088525.855851151</c:v>
                </c:pt>
                <c:pt idx="12">
                  <c:v>45607198.985812642</c:v>
                </c:pt>
                <c:pt idx="13">
                  <c:v>45063830.501527227</c:v>
                </c:pt>
                <c:pt idx="14">
                  <c:v>39475008.437159233</c:v>
                </c:pt>
                <c:pt idx="15">
                  <c:v>34854220.864201829</c:v>
                </c:pt>
                <c:pt idx="16">
                  <c:v>31331202.199055091</c:v>
                </c:pt>
                <c:pt idx="17">
                  <c:v>38240894.824517101</c:v>
                </c:pt>
                <c:pt idx="18">
                  <c:v>46323196.080256596</c:v>
                </c:pt>
                <c:pt idx="19">
                  <c:v>48969949.355956078</c:v>
                </c:pt>
                <c:pt idx="20">
                  <c:v>41177141.915232882</c:v>
                </c:pt>
                <c:pt idx="21">
                  <c:v>30815011.125305817</c:v>
                </c:pt>
                <c:pt idx="22">
                  <c:v>37045283.377473526</c:v>
                </c:pt>
                <c:pt idx="23">
                  <c:v>41072665.614665389</c:v>
                </c:pt>
                <c:pt idx="24">
                  <c:v>49206364.233635947</c:v>
                </c:pt>
                <c:pt idx="25">
                  <c:v>46116014.761415936</c:v>
                </c:pt>
                <c:pt idx="26">
                  <c:v>38950533.824981302</c:v>
                </c:pt>
                <c:pt idx="27">
                  <c:v>38407649.02196575</c:v>
                </c:pt>
                <c:pt idx="28">
                  <c:v>34718349.516026035</c:v>
                </c:pt>
                <c:pt idx="29">
                  <c:v>38757707.026519217</c:v>
                </c:pt>
                <c:pt idx="30">
                  <c:v>45220601.253704756</c:v>
                </c:pt>
                <c:pt idx="31">
                  <c:v>46500722.471552536</c:v>
                </c:pt>
                <c:pt idx="32">
                  <c:v>39905203.672281243</c:v>
                </c:pt>
                <c:pt idx="33">
                  <c:v>36443476.166194208</c:v>
                </c:pt>
                <c:pt idx="34">
                  <c:v>38888431.508749641</c:v>
                </c:pt>
                <c:pt idx="35">
                  <c:v>40077822.79134614</c:v>
                </c:pt>
                <c:pt idx="36">
                  <c:v>47276990.571718715</c:v>
                </c:pt>
                <c:pt idx="37">
                  <c:v>43922074.933099866</c:v>
                </c:pt>
                <c:pt idx="38">
                  <c:v>42705579.203667082</c:v>
                </c:pt>
                <c:pt idx="39">
                  <c:v>37979178.513215877</c:v>
                </c:pt>
                <c:pt idx="40">
                  <c:v>30940537.307001762</c:v>
                </c:pt>
                <c:pt idx="41">
                  <c:v>39209120.104152679</c:v>
                </c:pt>
                <c:pt idx="42">
                  <c:v>47684666.249505535</c:v>
                </c:pt>
                <c:pt idx="43">
                  <c:v>48933116.88016735</c:v>
                </c:pt>
                <c:pt idx="44">
                  <c:v>43524624.182677642</c:v>
                </c:pt>
                <c:pt idx="45">
                  <c:v>33796207.82046888</c:v>
                </c:pt>
                <c:pt idx="46">
                  <c:v>37281372.371494278</c:v>
                </c:pt>
                <c:pt idx="47">
                  <c:v>43227539.26141943</c:v>
                </c:pt>
                <c:pt idx="48">
                  <c:v>46828138.070299134</c:v>
                </c:pt>
                <c:pt idx="49">
                  <c:v>46380951.430442668</c:v>
                </c:pt>
                <c:pt idx="50">
                  <c:v>38219932.309038237</c:v>
                </c:pt>
                <c:pt idx="51">
                  <c:v>38538363.274711832</c:v>
                </c:pt>
                <c:pt idx="52">
                  <c:v>37307233.468240082</c:v>
                </c:pt>
                <c:pt idx="53">
                  <c:v>37835271.292875327</c:v>
                </c:pt>
                <c:pt idx="54">
                  <c:v>50012970.504319035</c:v>
                </c:pt>
                <c:pt idx="55">
                  <c:v>51629403.344049364</c:v>
                </c:pt>
                <c:pt idx="56">
                  <c:v>42378105.088679023</c:v>
                </c:pt>
                <c:pt idx="57">
                  <c:v>36887425.182359613</c:v>
                </c:pt>
                <c:pt idx="58">
                  <c:v>37567653.023534499</c:v>
                </c:pt>
                <c:pt idx="59">
                  <c:v>45044394.64260947</c:v>
                </c:pt>
                <c:pt idx="60">
                  <c:v>50792873.000906236</c:v>
                </c:pt>
                <c:pt idx="61">
                  <c:v>46063226.226921134</c:v>
                </c:pt>
                <c:pt idx="62">
                  <c:v>42659434.070319131</c:v>
                </c:pt>
                <c:pt idx="63">
                  <c:v>41419313.462797455</c:v>
                </c:pt>
                <c:pt idx="64">
                  <c:v>38372841.699651867</c:v>
                </c:pt>
                <c:pt idx="65">
                  <c:v>45505374.193444051</c:v>
                </c:pt>
                <c:pt idx="66">
                  <c:v>55920853.416033074</c:v>
                </c:pt>
                <c:pt idx="67">
                  <c:v>55313146.312408328</c:v>
                </c:pt>
                <c:pt idx="68">
                  <c:v>46337174.73106271</c:v>
                </c:pt>
                <c:pt idx="69">
                  <c:v>36910217.776165605</c:v>
                </c:pt>
                <c:pt idx="70">
                  <c:v>41539755.7171086</c:v>
                </c:pt>
                <c:pt idx="71">
                  <c:v>45924625.496630087</c:v>
                </c:pt>
                <c:pt idx="72">
                  <c:v>53154751.359392971</c:v>
                </c:pt>
                <c:pt idx="73">
                  <c:v>49274518.298110537</c:v>
                </c:pt>
                <c:pt idx="74">
                  <c:v>43231730.305614121</c:v>
                </c:pt>
                <c:pt idx="75">
                  <c:v>39821117.858675361</c:v>
                </c:pt>
                <c:pt idx="76">
                  <c:v>38322665.689887546</c:v>
                </c:pt>
                <c:pt idx="77">
                  <c:v>43508344.749071687</c:v>
                </c:pt>
                <c:pt idx="78">
                  <c:v>52013425.31375882</c:v>
                </c:pt>
                <c:pt idx="79">
                  <c:v>52066556.171280809</c:v>
                </c:pt>
                <c:pt idx="80">
                  <c:v>48428857.859983422</c:v>
                </c:pt>
                <c:pt idx="81">
                  <c:v>35611838.601739801</c:v>
                </c:pt>
                <c:pt idx="82">
                  <c:v>39151693.096066803</c:v>
                </c:pt>
                <c:pt idx="83">
                  <c:v>47261256.678647779</c:v>
                </c:pt>
                <c:pt idx="84">
                  <c:v>46803400.146037549</c:v>
                </c:pt>
                <c:pt idx="85">
                  <c:v>45433036.198968567</c:v>
                </c:pt>
                <c:pt idx="86">
                  <c:v>48891837.596235231</c:v>
                </c:pt>
                <c:pt idx="87">
                  <c:v>41255881.448009335</c:v>
                </c:pt>
                <c:pt idx="88">
                  <c:v>36357163.235134549</c:v>
                </c:pt>
                <c:pt idx="89">
                  <c:v>42515187.20661521</c:v>
                </c:pt>
                <c:pt idx="90">
                  <c:v>50959152.027381651</c:v>
                </c:pt>
                <c:pt idx="91">
                  <c:v>53564237.927768782</c:v>
                </c:pt>
                <c:pt idx="92">
                  <c:v>46445831.153484911</c:v>
                </c:pt>
                <c:pt idx="93">
                  <c:v>37015285.854640044</c:v>
                </c:pt>
                <c:pt idx="94">
                  <c:v>39276373.413466372</c:v>
                </c:pt>
                <c:pt idx="95">
                  <c:v>45696392.314876139</c:v>
                </c:pt>
                <c:pt idx="96">
                  <c:v>53151013.566943444</c:v>
                </c:pt>
                <c:pt idx="97">
                  <c:v>49919434.422700837</c:v>
                </c:pt>
                <c:pt idx="98">
                  <c:v>43938517.225896195</c:v>
                </c:pt>
                <c:pt idx="99">
                  <c:v>41566414.799320474</c:v>
                </c:pt>
                <c:pt idx="100">
                  <c:v>38573859.154348135</c:v>
                </c:pt>
                <c:pt idx="101">
                  <c:v>43714011.019036256</c:v>
                </c:pt>
                <c:pt idx="102">
                  <c:v>53902241.778765067</c:v>
                </c:pt>
                <c:pt idx="103">
                  <c:v>55046156.056656577</c:v>
                </c:pt>
                <c:pt idx="104">
                  <c:v>46526172.490015469</c:v>
                </c:pt>
                <c:pt idx="105">
                  <c:v>38516656.241454862</c:v>
                </c:pt>
                <c:pt idx="106">
                  <c:v>41322739.362099268</c:v>
                </c:pt>
                <c:pt idx="107">
                  <c:v>49562275.233225994</c:v>
                </c:pt>
                <c:pt idx="108">
                  <c:v>51623849.050567076</c:v>
                </c:pt>
                <c:pt idx="109">
                  <c:v>46235751.253841139</c:v>
                </c:pt>
                <c:pt idx="110">
                  <c:v>48088247.436029986</c:v>
                </c:pt>
                <c:pt idx="111">
                  <c:v>42765677.333815344</c:v>
                </c:pt>
                <c:pt idx="112">
                  <c:v>40465446.050300315</c:v>
                </c:pt>
                <c:pt idx="113">
                  <c:v>45409658.304412574</c:v>
                </c:pt>
                <c:pt idx="114">
                  <c:v>55328651.291498758</c:v>
                </c:pt>
                <c:pt idx="115">
                  <c:v>55998729.773854814</c:v>
                </c:pt>
                <c:pt idx="116">
                  <c:v>46742885.29707928</c:v>
                </c:pt>
                <c:pt idx="117">
                  <c:v>40315310.21885433</c:v>
                </c:pt>
                <c:pt idx="118">
                  <c:v>42389067.417070411</c:v>
                </c:pt>
                <c:pt idx="119">
                  <c:v>47252213.873932064</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11F5-44EE-B2D3-2F4AF3DC20A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 WN'!$D$1</c:f>
              <c:strCache>
                <c:ptCount val="1"/>
                <c:pt idx="0">
                  <c:v> GS_lt_50_NoCDM </c:v>
                </c:pt>
              </c:strCache>
            </c:strRef>
          </c:tx>
          <c:spPr>
            <a:ln w="28575" cap="rnd">
              <a:solidFill>
                <a:schemeClr val="accent1"/>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AC6C-43ED-9461-070103A744F8}"/>
            </c:ext>
          </c:extLst>
        </c:ser>
        <c:ser>
          <c:idx val="1"/>
          <c:order val="1"/>
          <c:tx>
            <c:strRef>
              <c:f>'GS&lt;50 Normalized Monthly WN'!$S$1</c:f>
              <c:strCache>
                <c:ptCount val="1"/>
                <c:pt idx="0">
                  <c:v>Normalized</c:v>
                </c:pt>
              </c:strCache>
            </c:strRef>
          </c:tx>
          <c:spPr>
            <a:ln w="28575" cap="rnd">
              <a:solidFill>
                <a:schemeClr val="accent2"/>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WN'!$S$2:$S$145</c:f>
              <c:numCache>
                <c:formatCode>_(* #,##0.0_);_(* \(#,##0.0\);_(* "-"??_);_(@_)</c:formatCode>
                <c:ptCount val="144"/>
                <c:pt idx="0">
                  <c:v>13279290.271207862</c:v>
                </c:pt>
                <c:pt idx="1">
                  <c:v>11460823.370905833</c:v>
                </c:pt>
                <c:pt idx="2">
                  <c:v>11834044.825175561</c:v>
                </c:pt>
                <c:pt idx="3">
                  <c:v>10684294.068539653</c:v>
                </c:pt>
                <c:pt idx="4">
                  <c:v>10252363.899349354</c:v>
                </c:pt>
                <c:pt idx="5">
                  <c:v>10683769.102444788</c:v>
                </c:pt>
                <c:pt idx="6">
                  <c:v>11700081.104851479</c:v>
                </c:pt>
                <c:pt idx="7">
                  <c:v>11575869.369100256</c:v>
                </c:pt>
                <c:pt idx="8">
                  <c:v>10479886.569700608</c:v>
                </c:pt>
                <c:pt idx="9">
                  <c:v>9991425.0219105501</c:v>
                </c:pt>
                <c:pt idx="10">
                  <c:v>10951555.629833231</c:v>
                </c:pt>
                <c:pt idx="11">
                  <c:v>11938257.386927145</c:v>
                </c:pt>
                <c:pt idx="12">
                  <c:v>12697127.074337257</c:v>
                </c:pt>
                <c:pt idx="13">
                  <c:v>11708460.388993988</c:v>
                </c:pt>
                <c:pt idx="14">
                  <c:v>11846959.117089637</c:v>
                </c:pt>
                <c:pt idx="15">
                  <c:v>10141374.375820618</c:v>
                </c:pt>
                <c:pt idx="16">
                  <c:v>10004789.382251194</c:v>
                </c:pt>
                <c:pt idx="17">
                  <c:v>10332909.554910956</c:v>
                </c:pt>
                <c:pt idx="18">
                  <c:v>11666995.614963328</c:v>
                </c:pt>
                <c:pt idx="19">
                  <c:v>11616222.640191393</c:v>
                </c:pt>
                <c:pt idx="20">
                  <c:v>10539480.864040866</c:v>
                </c:pt>
                <c:pt idx="21">
                  <c:v>10045124.029080482</c:v>
                </c:pt>
                <c:pt idx="22">
                  <c:v>10744891.477566192</c:v>
                </c:pt>
                <c:pt idx="23">
                  <c:v>11681328.13102738</c:v>
                </c:pt>
                <c:pt idx="24">
                  <c:v>12772036.536034346</c:v>
                </c:pt>
                <c:pt idx="25">
                  <c:v>11564407.688929511</c:v>
                </c:pt>
                <c:pt idx="26">
                  <c:v>11894210.301757939</c:v>
                </c:pt>
                <c:pt idx="27">
                  <c:v>10599462.18330745</c:v>
                </c:pt>
                <c:pt idx="28">
                  <c:v>10388977.970009051</c:v>
                </c:pt>
                <c:pt idx="29">
                  <c:v>10541083.246871861</c:v>
                </c:pt>
                <c:pt idx="30">
                  <c:v>11845207.127927709</c:v>
                </c:pt>
                <c:pt idx="31">
                  <c:v>11694456.446879873</c:v>
                </c:pt>
                <c:pt idx="32">
                  <c:v>10475706.65443836</c:v>
                </c:pt>
                <c:pt idx="33">
                  <c:v>10245118.160305949</c:v>
                </c:pt>
                <c:pt idx="34">
                  <c:v>11027686.84462053</c:v>
                </c:pt>
                <c:pt idx="35">
                  <c:v>11882604.990707068</c:v>
                </c:pt>
                <c:pt idx="36">
                  <c:v>13456503.227073783</c:v>
                </c:pt>
                <c:pt idx="37">
                  <c:v>12046018.494091112</c:v>
                </c:pt>
                <c:pt idx="38">
                  <c:v>12008183.819918547</c:v>
                </c:pt>
                <c:pt idx="39">
                  <c:v>10707035.342162868</c:v>
                </c:pt>
                <c:pt idx="40">
                  <c:v>10450518.505274452</c:v>
                </c:pt>
                <c:pt idx="41">
                  <c:v>10708858.992494814</c:v>
                </c:pt>
                <c:pt idx="42">
                  <c:v>12009601.505427066</c:v>
                </c:pt>
                <c:pt idx="43">
                  <c:v>12187820.901446078</c:v>
                </c:pt>
                <c:pt idx="44">
                  <c:v>10780363.849408126</c:v>
                </c:pt>
                <c:pt idx="45">
                  <c:v>10686115.670792043</c:v>
                </c:pt>
                <c:pt idx="46">
                  <c:v>11006818.297330985</c:v>
                </c:pt>
                <c:pt idx="47">
                  <c:v>11841838.865570879</c:v>
                </c:pt>
                <c:pt idx="48">
                  <c:v>11980912.373612585</c:v>
                </c:pt>
                <c:pt idx="49">
                  <c:v>10733415.049979866</c:v>
                </c:pt>
                <c:pt idx="50">
                  <c:v>10825312.753900189</c:v>
                </c:pt>
                <c:pt idx="51">
                  <c:v>9558103.2099793684</c:v>
                </c:pt>
                <c:pt idx="52">
                  <c:v>9511648.4322076868</c:v>
                </c:pt>
                <c:pt idx="53">
                  <c:v>9600741.008717984</c:v>
                </c:pt>
                <c:pt idx="54">
                  <c:v>10924887.687177567</c:v>
                </c:pt>
                <c:pt idx="55">
                  <c:v>10711882.740099153</c:v>
                </c:pt>
                <c:pt idx="56">
                  <c:v>9521764.5235271901</c:v>
                </c:pt>
                <c:pt idx="57">
                  <c:v>9177963.4200566318</c:v>
                </c:pt>
                <c:pt idx="58">
                  <c:v>9804639.1626250558</c:v>
                </c:pt>
                <c:pt idx="59">
                  <c:v>10811314.241636125</c:v>
                </c:pt>
                <c:pt idx="60">
                  <c:v>12541736.771676278</c:v>
                </c:pt>
                <c:pt idx="61">
                  <c:v>11348399.040022183</c:v>
                </c:pt>
                <c:pt idx="62">
                  <c:v>10915711.8673703</c:v>
                </c:pt>
                <c:pt idx="63">
                  <c:v>8395173.3282136861</c:v>
                </c:pt>
                <c:pt idx="64">
                  <c:v>8111062.0786693636</c:v>
                </c:pt>
                <c:pt idx="65">
                  <c:v>9056530.9084449038</c:v>
                </c:pt>
                <c:pt idx="66">
                  <c:v>10755862.449302338</c:v>
                </c:pt>
                <c:pt idx="67">
                  <c:v>10717747.878412496</c:v>
                </c:pt>
                <c:pt idx="68">
                  <c:v>9424873.1508789584</c:v>
                </c:pt>
                <c:pt idx="69">
                  <c:v>9053127.2648666874</c:v>
                </c:pt>
                <c:pt idx="70">
                  <c:v>9946162.9000876136</c:v>
                </c:pt>
                <c:pt idx="71">
                  <c:v>10862895.10204538</c:v>
                </c:pt>
                <c:pt idx="72">
                  <c:v>10993075.685476365</c:v>
                </c:pt>
                <c:pt idx="73">
                  <c:v>9963302.1455840431</c:v>
                </c:pt>
                <c:pt idx="74">
                  <c:v>11973108.269247971</c:v>
                </c:pt>
                <c:pt idx="75">
                  <c:v>9475180.430015862</c:v>
                </c:pt>
                <c:pt idx="76">
                  <c:v>8855396.9583733138</c:v>
                </c:pt>
                <c:pt idx="77">
                  <c:v>9638873.4862194024</c:v>
                </c:pt>
                <c:pt idx="78">
                  <c:v>11458913.358374245</c:v>
                </c:pt>
                <c:pt idx="79">
                  <c:v>11401245.521460777</c:v>
                </c:pt>
                <c:pt idx="80">
                  <c:v>10106792.137498474</c:v>
                </c:pt>
                <c:pt idx="81">
                  <c:v>9677091.3158193491</c:v>
                </c:pt>
                <c:pt idx="82">
                  <c:v>10213971.979531432</c:v>
                </c:pt>
                <c:pt idx="83">
                  <c:v>12308690.629645677</c:v>
                </c:pt>
                <c:pt idx="84">
                  <c:v>11946293.444241399</c:v>
                </c:pt>
                <c:pt idx="85">
                  <c:v>11540605.680081846</c:v>
                </c:pt>
                <c:pt idx="86">
                  <c:v>11892510.216611506</c:v>
                </c:pt>
                <c:pt idx="87">
                  <c:v>10234748.393911643</c:v>
                </c:pt>
                <c:pt idx="88">
                  <c:v>10060338.509363508</c:v>
                </c:pt>
                <c:pt idx="89">
                  <c:v>10696325.365167461</c:v>
                </c:pt>
                <c:pt idx="90">
                  <c:v>11867790.736239184</c:v>
                </c:pt>
                <c:pt idx="91">
                  <c:v>11937230.670382893</c:v>
                </c:pt>
                <c:pt idx="92">
                  <c:v>10466718.894006671</c:v>
                </c:pt>
                <c:pt idx="93">
                  <c:v>9886788.3533999361</c:v>
                </c:pt>
                <c:pt idx="94">
                  <c:v>10735994.595862392</c:v>
                </c:pt>
                <c:pt idx="95">
                  <c:v>12098602.596356113</c:v>
                </c:pt>
                <c:pt idx="96">
                  <c:v>12404623.678541843</c:v>
                </c:pt>
                <c:pt idx="97">
                  <c:v>11539629.582624199</c:v>
                </c:pt>
                <c:pt idx="98">
                  <c:v>11790304.088470308</c:v>
                </c:pt>
                <c:pt idx="99">
                  <c:v>10146555.56523283</c:v>
                </c:pt>
                <c:pt idx="100">
                  <c:v>10506547.291022884</c:v>
                </c:pt>
                <c:pt idx="101">
                  <c:v>11063065.41124188</c:v>
                </c:pt>
                <c:pt idx="102">
                  <c:v>12696982.557319317</c:v>
                </c:pt>
                <c:pt idx="103">
                  <c:v>12303797.334271753</c:v>
                </c:pt>
                <c:pt idx="104">
                  <c:v>10944539.272249928</c:v>
                </c:pt>
                <c:pt idx="105">
                  <c:v>10500524.00521818</c:v>
                </c:pt>
                <c:pt idx="106">
                  <c:v>11013483.400866047</c:v>
                </c:pt>
                <c:pt idx="107">
                  <c:v>12686133.38786133</c:v>
                </c:pt>
                <c:pt idx="108">
                  <c:v>13347087.668041369</c:v>
                </c:pt>
                <c:pt idx="109">
                  <c:v>12265110.310622253</c:v>
                </c:pt>
                <c:pt idx="110">
                  <c:v>12323112.015445771</c:v>
                </c:pt>
                <c:pt idx="111">
                  <c:v>11092940.617291393</c:v>
                </c:pt>
                <c:pt idx="112">
                  <c:v>11051903.849831805</c:v>
                </c:pt>
                <c:pt idx="113">
                  <c:v>11463731.680091934</c:v>
                </c:pt>
                <c:pt idx="114">
                  <c:v>13142936.014013968</c:v>
                </c:pt>
                <c:pt idx="115">
                  <c:v>12666650.029056359</c:v>
                </c:pt>
                <c:pt idx="116">
                  <c:v>11171129.095356388</c:v>
                </c:pt>
                <c:pt idx="117">
                  <c:v>10659863.372823235</c:v>
                </c:pt>
                <c:pt idx="118">
                  <c:v>11409758.408729158</c:v>
                </c:pt>
                <c:pt idx="119">
                  <c:v>12895157.636105604</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AC6C-43ED-9461-070103A744F8}"/>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'GS50-999 Normalized Monthly WN'!$D$1</c:f>
              <c:strCache>
                <c:ptCount val="1"/>
                <c:pt idx="0">
                  <c:v> GS_50_999_NoCDM </c:v>
                </c:pt>
              </c:strCache>
            </c:strRef>
          </c:tx>
          <c:spPr>
            <a:ln w="28575" cap="rnd">
              <a:solidFill>
                <a:schemeClr val="accent1"/>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B561-4D82-AE55-0896A5AB78B0}"/>
            </c:ext>
          </c:extLst>
        </c:ser>
        <c:ser>
          <c:idx val="1"/>
          <c:order val="1"/>
          <c:tx>
            <c:strRef>
              <c:f>'GS50-999 Normalized Monthly WN'!$S$1</c:f>
              <c:strCache>
                <c:ptCount val="1"/>
                <c:pt idx="0">
                  <c:v>Normalized</c:v>
                </c:pt>
              </c:strCache>
            </c:strRef>
          </c:tx>
          <c:spPr>
            <a:ln w="28575" cap="rnd">
              <a:solidFill>
                <a:schemeClr val="accent2"/>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WN'!$S$2:$S$145</c:f>
              <c:numCache>
                <c:formatCode>_(* #,##0_);_(* \(#,##0\);_(* "-"??_);_(@_)</c:formatCode>
                <c:ptCount val="144"/>
                <c:pt idx="0">
                  <c:v>30848516.107816484</c:v>
                </c:pt>
                <c:pt idx="1">
                  <c:v>29647180.051488385</c:v>
                </c:pt>
                <c:pt idx="2">
                  <c:v>27791339.885333285</c:v>
                </c:pt>
                <c:pt idx="3">
                  <c:v>25107609.0599983</c:v>
                </c:pt>
                <c:pt idx="4">
                  <c:v>24412679.911737956</c:v>
                </c:pt>
                <c:pt idx="5">
                  <c:v>23716889.052888099</c:v>
                </c:pt>
                <c:pt idx="6">
                  <c:v>26435027.183597259</c:v>
                </c:pt>
                <c:pt idx="7">
                  <c:v>26061362.503261086</c:v>
                </c:pt>
                <c:pt idx="8">
                  <c:v>23216437.566857342</c:v>
                </c:pt>
                <c:pt idx="9">
                  <c:v>25081140.497960888</c:v>
                </c:pt>
                <c:pt idx="10">
                  <c:v>28031422.606933158</c:v>
                </c:pt>
                <c:pt idx="11">
                  <c:v>31545449.83001684</c:v>
                </c:pt>
                <c:pt idx="12">
                  <c:v>32820629.892745838</c:v>
                </c:pt>
                <c:pt idx="13">
                  <c:v>29261600.968810976</c:v>
                </c:pt>
                <c:pt idx="14">
                  <c:v>31644130.123085082</c:v>
                </c:pt>
                <c:pt idx="15">
                  <c:v>24675485.458496083</c:v>
                </c:pt>
                <c:pt idx="16">
                  <c:v>24160999.805020232</c:v>
                </c:pt>
                <c:pt idx="17">
                  <c:v>23122888.327887613</c:v>
                </c:pt>
                <c:pt idx="18">
                  <c:v>27949370.210067566</c:v>
                </c:pt>
                <c:pt idx="19">
                  <c:v>26812770.344182871</c:v>
                </c:pt>
                <c:pt idx="20">
                  <c:v>23576480.107391946</c:v>
                </c:pt>
                <c:pt idx="21">
                  <c:v>25730865.852963932</c:v>
                </c:pt>
                <c:pt idx="22">
                  <c:v>27379683.224935733</c:v>
                </c:pt>
                <c:pt idx="23">
                  <c:v>30506248.797964282</c:v>
                </c:pt>
                <c:pt idx="24">
                  <c:v>36229929.931844905</c:v>
                </c:pt>
                <c:pt idx="25">
                  <c:v>30576095.936407361</c:v>
                </c:pt>
                <c:pt idx="26">
                  <c:v>29958830.010081634</c:v>
                </c:pt>
                <c:pt idx="27">
                  <c:v>26682573.305946875</c:v>
                </c:pt>
                <c:pt idx="28">
                  <c:v>26877763.593047056</c:v>
                </c:pt>
                <c:pt idx="29">
                  <c:v>23336907.127912011</c:v>
                </c:pt>
                <c:pt idx="30">
                  <c:v>30767942.194214638</c:v>
                </c:pt>
                <c:pt idx="31">
                  <c:v>26627971.961083874</c:v>
                </c:pt>
                <c:pt idx="32">
                  <c:v>25920913.554857887</c:v>
                </c:pt>
                <c:pt idx="33">
                  <c:v>28423179.573722616</c:v>
                </c:pt>
                <c:pt idx="34">
                  <c:v>28687004.129930861</c:v>
                </c:pt>
                <c:pt idx="35">
                  <c:v>29680729.268530786</c:v>
                </c:pt>
                <c:pt idx="36">
                  <c:v>32890842.996533334</c:v>
                </c:pt>
                <c:pt idx="37">
                  <c:v>27921128.561961807</c:v>
                </c:pt>
                <c:pt idx="38">
                  <c:v>28599087.423453305</c:v>
                </c:pt>
                <c:pt idx="39">
                  <c:v>25508408.941052884</c:v>
                </c:pt>
                <c:pt idx="40">
                  <c:v>21957465.775955074</c:v>
                </c:pt>
                <c:pt idx="41">
                  <c:v>25428248.341788337</c:v>
                </c:pt>
                <c:pt idx="42">
                  <c:v>26990982.530910932</c:v>
                </c:pt>
                <c:pt idx="43">
                  <c:v>23479703.510565832</c:v>
                </c:pt>
                <c:pt idx="44">
                  <c:v>22918811.309562854</c:v>
                </c:pt>
                <c:pt idx="45">
                  <c:v>23914593.16218118</c:v>
                </c:pt>
                <c:pt idx="46">
                  <c:v>27057579.139169428</c:v>
                </c:pt>
                <c:pt idx="47">
                  <c:v>29677880.921019334</c:v>
                </c:pt>
                <c:pt idx="48">
                  <c:v>33068433.302430306</c:v>
                </c:pt>
                <c:pt idx="49">
                  <c:v>29824502.550545499</c:v>
                </c:pt>
                <c:pt idx="50">
                  <c:v>29484895.986775883</c:v>
                </c:pt>
                <c:pt idx="51">
                  <c:v>25353998.238623679</c:v>
                </c:pt>
                <c:pt idx="52">
                  <c:v>24471965.219017204</c:v>
                </c:pt>
                <c:pt idx="53">
                  <c:v>23543309.829243172</c:v>
                </c:pt>
                <c:pt idx="54">
                  <c:v>27354174.46660988</c:v>
                </c:pt>
                <c:pt idx="55">
                  <c:v>25119366.363676254</c:v>
                </c:pt>
                <c:pt idx="56">
                  <c:v>23581153.353024334</c:v>
                </c:pt>
                <c:pt idx="57">
                  <c:v>24179358.894116115</c:v>
                </c:pt>
                <c:pt idx="58">
                  <c:v>28946237.927240938</c:v>
                </c:pt>
                <c:pt idx="59">
                  <c:v>29842020.157881066</c:v>
                </c:pt>
                <c:pt idx="60">
                  <c:v>32929589.388111852</c:v>
                </c:pt>
                <c:pt idx="61">
                  <c:v>29067600.270711567</c:v>
                </c:pt>
                <c:pt idx="62">
                  <c:v>28715470.213180758</c:v>
                </c:pt>
                <c:pt idx="63">
                  <c:v>21684630.908971485</c:v>
                </c:pt>
                <c:pt idx="64">
                  <c:v>19976144.485465497</c:v>
                </c:pt>
                <c:pt idx="65">
                  <c:v>21823572.392660327</c:v>
                </c:pt>
                <c:pt idx="66">
                  <c:v>25028411.497158632</c:v>
                </c:pt>
                <c:pt idx="67">
                  <c:v>24999706.156382807</c:v>
                </c:pt>
                <c:pt idx="68">
                  <c:v>21929720.926910803</c:v>
                </c:pt>
                <c:pt idx="69">
                  <c:v>21662428.127943885</c:v>
                </c:pt>
                <c:pt idx="70">
                  <c:v>24185136.214059256</c:v>
                </c:pt>
                <c:pt idx="71">
                  <c:v>31650242.920733102</c:v>
                </c:pt>
                <c:pt idx="72">
                  <c:v>30597284.743889574</c:v>
                </c:pt>
                <c:pt idx="73">
                  <c:v>25155398.758799791</c:v>
                </c:pt>
                <c:pt idx="74">
                  <c:v>30752666.747589741</c:v>
                </c:pt>
                <c:pt idx="75">
                  <c:v>23934504.534992501</c:v>
                </c:pt>
                <c:pt idx="76">
                  <c:v>21873673.922136266</c:v>
                </c:pt>
                <c:pt idx="77">
                  <c:v>22600263.433332548</c:v>
                </c:pt>
                <c:pt idx="78">
                  <c:v>25640102.966751166</c:v>
                </c:pt>
                <c:pt idx="79">
                  <c:v>26074024.365132172</c:v>
                </c:pt>
                <c:pt idx="80">
                  <c:v>21050824.80842644</c:v>
                </c:pt>
                <c:pt idx="81">
                  <c:v>26354917.077551436</c:v>
                </c:pt>
                <c:pt idx="82">
                  <c:v>25856250.613223076</c:v>
                </c:pt>
                <c:pt idx="83">
                  <c:v>31958814.004950676</c:v>
                </c:pt>
                <c:pt idx="84">
                  <c:v>32777184.629280187</c:v>
                </c:pt>
                <c:pt idx="85">
                  <c:v>33139657.957052551</c:v>
                </c:pt>
                <c:pt idx="86">
                  <c:v>30285593.505334731</c:v>
                </c:pt>
                <c:pt idx="87">
                  <c:v>27442875.86737382</c:v>
                </c:pt>
                <c:pt idx="88">
                  <c:v>24826119.901006076</c:v>
                </c:pt>
                <c:pt idx="89">
                  <c:v>25680175.563369047</c:v>
                </c:pt>
                <c:pt idx="90">
                  <c:v>29074721.844150912</c:v>
                </c:pt>
                <c:pt idx="91">
                  <c:v>26013369.365006719</c:v>
                </c:pt>
                <c:pt idx="92">
                  <c:v>26177981.335259836</c:v>
                </c:pt>
                <c:pt idx="93">
                  <c:v>26307242.26466627</c:v>
                </c:pt>
                <c:pt idx="94">
                  <c:v>27325363.738445938</c:v>
                </c:pt>
                <c:pt idx="95">
                  <c:v>33080533.014866516</c:v>
                </c:pt>
                <c:pt idx="96">
                  <c:v>35357407.720654488</c:v>
                </c:pt>
                <c:pt idx="97">
                  <c:v>30138385.945532627</c:v>
                </c:pt>
                <c:pt idx="98">
                  <c:v>28794806.697087411</c:v>
                </c:pt>
                <c:pt idx="99">
                  <c:v>25904502.705114774</c:v>
                </c:pt>
                <c:pt idx="100">
                  <c:v>25438810.095727369</c:v>
                </c:pt>
                <c:pt idx="101">
                  <c:v>24247410.817104623</c:v>
                </c:pt>
                <c:pt idx="102">
                  <c:v>27803853.527461987</c:v>
                </c:pt>
                <c:pt idx="103">
                  <c:v>26690606.784995411</c:v>
                </c:pt>
                <c:pt idx="104">
                  <c:v>24336406.04169954</c:v>
                </c:pt>
                <c:pt idx="105">
                  <c:v>24949765.463892091</c:v>
                </c:pt>
                <c:pt idx="106">
                  <c:v>27227167.924590085</c:v>
                </c:pt>
                <c:pt idx="107">
                  <c:v>30571976.225573491</c:v>
                </c:pt>
                <c:pt idx="108">
                  <c:v>33265843.128896721</c:v>
                </c:pt>
                <c:pt idx="109">
                  <c:v>29290753.494053993</c:v>
                </c:pt>
                <c:pt idx="110">
                  <c:v>29054797.176177084</c:v>
                </c:pt>
                <c:pt idx="111">
                  <c:v>24267274.920301698</c:v>
                </c:pt>
                <c:pt idx="112">
                  <c:v>24688293.263179597</c:v>
                </c:pt>
                <c:pt idx="113">
                  <c:v>24851292.865310628</c:v>
                </c:pt>
                <c:pt idx="114">
                  <c:v>27154528.175721396</c:v>
                </c:pt>
                <c:pt idx="115">
                  <c:v>22546011.575067099</c:v>
                </c:pt>
                <c:pt idx="116">
                  <c:v>22103917.015108489</c:v>
                </c:pt>
                <c:pt idx="117">
                  <c:v>24404151.755830217</c:v>
                </c:pt>
                <c:pt idx="118">
                  <c:v>28488443.228347186</c:v>
                </c:pt>
                <c:pt idx="119">
                  <c:v>32803575.415790834</c:v>
                </c:pt>
                <c:pt idx="120">
                  <c:v>33804057.507817194</c:v>
                </c:pt>
                <c:pt idx="121">
                  <c:v>30139605.620516092</c:v>
                </c:pt>
                <c:pt idx="122">
                  <c:v>31013659.587964755</c:v>
                </c:pt>
                <c:pt idx="123">
                  <c:v>26749617.393728416</c:v>
                </c:pt>
                <c:pt idx="124">
                  <c:v>25238446.284745149</c:v>
                </c:pt>
                <c:pt idx="125">
                  <c:v>24751037.22584815</c:v>
                </c:pt>
                <c:pt idx="126">
                  <c:v>27791423.445998896</c:v>
                </c:pt>
                <c:pt idx="127">
                  <c:v>27145686.35964236</c:v>
                </c:pt>
                <c:pt idx="128">
                  <c:v>24269912.352426492</c:v>
                </c:pt>
                <c:pt idx="129">
                  <c:v>25900069.864118926</c:v>
                </c:pt>
                <c:pt idx="130">
                  <c:v>28115974.744218625</c:v>
                </c:pt>
                <c:pt idx="131">
                  <c:v>31656787.654101744</c:v>
                </c:pt>
                <c:pt idx="132">
                  <c:v>33861041.019241855</c:v>
                </c:pt>
                <c:pt idx="133">
                  <c:v>30196589.131940749</c:v>
                </c:pt>
                <c:pt idx="134">
                  <c:v>31070643.099389412</c:v>
                </c:pt>
                <c:pt idx="135">
                  <c:v>26806779.010803249</c:v>
                </c:pt>
                <c:pt idx="136">
                  <c:v>25295607.901819982</c:v>
                </c:pt>
                <c:pt idx="137">
                  <c:v>24808198.842922986</c:v>
                </c:pt>
                <c:pt idx="138">
                  <c:v>27848632.636116035</c:v>
                </c:pt>
                <c:pt idx="139">
                  <c:v>27202895.5497595</c:v>
                </c:pt>
                <c:pt idx="140">
                  <c:v>24327121.542543631</c:v>
                </c:pt>
                <c:pt idx="141">
                  <c:v>25957560.572731897</c:v>
                </c:pt>
                <c:pt idx="142">
                  <c:v>28173465.4528316</c:v>
                </c:pt>
                <c:pt idx="143">
                  <c:v>31714278.362714719</c:v>
                </c:pt>
              </c:numCache>
            </c:numRef>
          </c:val>
          <c:smooth val="0"/>
          <c:extLst>
            <c:ext xmlns:c16="http://schemas.microsoft.com/office/drawing/2014/chart" uri="{C3380CC4-5D6E-409C-BE32-E72D297353CC}">
              <c16:uniqueId val="{00000001-B561-4D82-AE55-0896A5AB78B0}"/>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 WN'!$D$1</c:f>
              <c:strCache>
                <c:ptCount val="1"/>
                <c:pt idx="0">
                  <c:v> GS_1000_4999_NoCDM </c:v>
                </c:pt>
              </c:strCache>
            </c:strRef>
          </c:tx>
          <c:spPr>
            <a:ln w="28575" cap="rnd">
              <a:solidFill>
                <a:schemeClr val="accent1"/>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A180-4B74-8754-0EF6F0A179FF}"/>
            </c:ext>
          </c:extLst>
        </c:ser>
        <c:ser>
          <c:idx val="1"/>
          <c:order val="1"/>
          <c:tx>
            <c:strRef>
              <c:f>'GS 1k-4,999 Normalized Mont WN'!$P$1</c:f>
              <c:strCache>
                <c:ptCount val="1"/>
                <c:pt idx="0">
                  <c:v>WN Predicted</c:v>
                </c:pt>
              </c:strCache>
            </c:strRef>
          </c:tx>
          <c:spPr>
            <a:ln w="28575" cap="rnd">
              <a:solidFill>
                <a:schemeClr val="accent2"/>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WN'!$P$2:$P$145</c:f>
              <c:numCache>
                <c:formatCode>_(* #,##0_);_(* \(#,##0\);_(* "-"??_);_(@_)</c:formatCode>
                <c:ptCount val="144"/>
                <c:pt idx="0">
                  <c:v>6697602.8367803404</c:v>
                </c:pt>
                <c:pt idx="1">
                  <c:v>6292256.0165867163</c:v>
                </c:pt>
                <c:pt idx="2">
                  <c:v>6879107.4130763644</c:v>
                </c:pt>
                <c:pt idx="3">
                  <c:v>6560677.4510741197</c:v>
                </c:pt>
                <c:pt idx="4">
                  <c:v>7203354.523705529</c:v>
                </c:pt>
                <c:pt idx="5">
                  <c:v>7958220.4410383292</c:v>
                </c:pt>
                <c:pt idx="6">
                  <c:v>8214797.8196620112</c:v>
                </c:pt>
                <c:pt idx="7">
                  <c:v>8408891.7922434416</c:v>
                </c:pt>
                <c:pt idx="8">
                  <c:v>7852229.1131807854</c:v>
                </c:pt>
                <c:pt idx="9">
                  <c:v>7338144.2298819823</c:v>
                </c:pt>
                <c:pt idx="10">
                  <c:v>7063459.031076639</c:v>
                </c:pt>
                <c:pt idx="11">
                  <c:v>6433930.9578759233</c:v>
                </c:pt>
                <c:pt idx="12">
                  <c:v>7305107.8312721383</c:v>
                </c:pt>
                <c:pt idx="13">
                  <c:v>7115237.8781808047</c:v>
                </c:pt>
                <c:pt idx="14">
                  <c:v>7251476.8371827444</c:v>
                </c:pt>
                <c:pt idx="15">
                  <c:v>7167445.5490348376</c:v>
                </c:pt>
                <c:pt idx="16">
                  <c:v>7484778.5927539943</c:v>
                </c:pt>
                <c:pt idx="17">
                  <c:v>8168173.3261610847</c:v>
                </c:pt>
                <c:pt idx="18">
                  <c:v>9121636.1021001246</c:v>
                </c:pt>
                <c:pt idx="19">
                  <c:v>9095718.6422108002</c:v>
                </c:pt>
                <c:pt idx="20">
                  <c:v>8660475.5148901492</c:v>
                </c:pt>
                <c:pt idx="21">
                  <c:v>7673484.132040929</c:v>
                </c:pt>
                <c:pt idx="22">
                  <c:v>7233728.1172173368</c:v>
                </c:pt>
                <c:pt idx="23">
                  <c:v>7259200.5747319283</c:v>
                </c:pt>
                <c:pt idx="24">
                  <c:v>7748576.2980715707</c:v>
                </c:pt>
                <c:pt idx="25">
                  <c:v>7030359.4291701298</c:v>
                </c:pt>
                <c:pt idx="26">
                  <c:v>7867386.6453418816</c:v>
                </c:pt>
                <c:pt idx="27">
                  <c:v>7641180.6385410372</c:v>
                </c:pt>
                <c:pt idx="28">
                  <c:v>7652926.3019962292</c:v>
                </c:pt>
                <c:pt idx="29">
                  <c:v>8185994.348560337</c:v>
                </c:pt>
                <c:pt idx="30">
                  <c:v>9161231.3221133538</c:v>
                </c:pt>
                <c:pt idx="31">
                  <c:v>9576884.3242042121</c:v>
                </c:pt>
                <c:pt idx="32">
                  <c:v>7481161.1279416019</c:v>
                </c:pt>
                <c:pt idx="33">
                  <c:v>7173288.7509835251</c:v>
                </c:pt>
                <c:pt idx="34">
                  <c:v>7274032.076805315</c:v>
                </c:pt>
                <c:pt idx="35">
                  <c:v>6901002.2880553724</c:v>
                </c:pt>
                <c:pt idx="36">
                  <c:v>7124030.899678275</c:v>
                </c:pt>
                <c:pt idx="37">
                  <c:v>6399514.7034799419</c:v>
                </c:pt>
                <c:pt idx="38">
                  <c:v>6880257.4649304906</c:v>
                </c:pt>
                <c:pt idx="39">
                  <c:v>7049526.1496915696</c:v>
                </c:pt>
                <c:pt idx="40">
                  <c:v>7314746.6900991043</c:v>
                </c:pt>
                <c:pt idx="41">
                  <c:v>7223108.020395047</c:v>
                </c:pt>
                <c:pt idx="42">
                  <c:v>7492580.5218376573</c:v>
                </c:pt>
                <c:pt idx="43">
                  <c:v>8196813.0005044071</c:v>
                </c:pt>
                <c:pt idx="44">
                  <c:v>7574714.9233106356</c:v>
                </c:pt>
                <c:pt idx="45">
                  <c:v>7231082.6615443984</c:v>
                </c:pt>
                <c:pt idx="46">
                  <c:v>6897155.3088768311</c:v>
                </c:pt>
                <c:pt idx="47">
                  <c:v>6632585.3377094418</c:v>
                </c:pt>
                <c:pt idx="48">
                  <c:v>7362866.2549784202</c:v>
                </c:pt>
                <c:pt idx="49">
                  <c:v>6700295.0580196613</c:v>
                </c:pt>
                <c:pt idx="50">
                  <c:v>7200226.2824770492</c:v>
                </c:pt>
                <c:pt idx="51">
                  <c:v>6760990.5835585045</c:v>
                </c:pt>
                <c:pt idx="52">
                  <c:v>7432244.9884062447</c:v>
                </c:pt>
                <c:pt idx="53">
                  <c:v>7335071.3167163758</c:v>
                </c:pt>
                <c:pt idx="54">
                  <c:v>8539315.1697197668</c:v>
                </c:pt>
                <c:pt idx="55">
                  <c:v>8508201.3439317998</c:v>
                </c:pt>
                <c:pt idx="56">
                  <c:v>7630924.947827314</c:v>
                </c:pt>
                <c:pt idx="57">
                  <c:v>6907200.6919858297</c:v>
                </c:pt>
                <c:pt idx="58">
                  <c:v>6505759.8098919848</c:v>
                </c:pt>
                <c:pt idx="59">
                  <c:v>6916748.0792108662</c:v>
                </c:pt>
                <c:pt idx="60">
                  <c:v>7135430.5825945279</c:v>
                </c:pt>
                <c:pt idx="61">
                  <c:v>6643831.0976723712</c:v>
                </c:pt>
                <c:pt idx="62">
                  <c:v>6564881.6992580527</c:v>
                </c:pt>
                <c:pt idx="63">
                  <c:v>5202749.3024665723</c:v>
                </c:pt>
                <c:pt idx="64">
                  <c:v>5957881.8140460188</c:v>
                </c:pt>
                <c:pt idx="65">
                  <c:v>6789776.5702200867</c:v>
                </c:pt>
                <c:pt idx="66">
                  <c:v>7992374.465749423</c:v>
                </c:pt>
                <c:pt idx="67">
                  <c:v>8069238.7339382796</c:v>
                </c:pt>
                <c:pt idx="68">
                  <c:v>7059717.6154427305</c:v>
                </c:pt>
                <c:pt idx="69">
                  <c:v>6158474.3056634627</c:v>
                </c:pt>
                <c:pt idx="70">
                  <c:v>6276508.1219947059</c:v>
                </c:pt>
                <c:pt idx="71">
                  <c:v>6594890.4345861645</c:v>
                </c:pt>
                <c:pt idx="72">
                  <c:v>6462981.7309892355</c:v>
                </c:pt>
                <c:pt idx="73">
                  <c:v>5458159.4994783401</c:v>
                </c:pt>
                <c:pt idx="74">
                  <c:v>6087613.54559239</c:v>
                </c:pt>
                <c:pt idx="75">
                  <c:v>6927909.1766159469</c:v>
                </c:pt>
                <c:pt idx="76">
                  <c:v>6624753.5676822346</c:v>
                </c:pt>
                <c:pt idx="77">
                  <c:v>6901600.4605995491</c:v>
                </c:pt>
                <c:pt idx="78">
                  <c:v>7626452.0928269159</c:v>
                </c:pt>
                <c:pt idx="79">
                  <c:v>7879879.0777285285</c:v>
                </c:pt>
                <c:pt idx="80">
                  <c:v>6525409.4534248002</c:v>
                </c:pt>
                <c:pt idx="81">
                  <c:v>6789891.135529804</c:v>
                </c:pt>
                <c:pt idx="82">
                  <c:v>6745681.1220492255</c:v>
                </c:pt>
                <c:pt idx="83">
                  <c:v>6128351.284929418</c:v>
                </c:pt>
                <c:pt idx="84">
                  <c:v>6906301.0009142747</c:v>
                </c:pt>
                <c:pt idx="85">
                  <c:v>7158851.9016371276</c:v>
                </c:pt>
                <c:pt idx="86">
                  <c:v>7057935.0318071265</c:v>
                </c:pt>
                <c:pt idx="87">
                  <c:v>6938485.8646137537</c:v>
                </c:pt>
                <c:pt idx="88">
                  <c:v>7764429.0525923036</c:v>
                </c:pt>
                <c:pt idx="89">
                  <c:v>8491196.3154381141</c:v>
                </c:pt>
                <c:pt idx="90">
                  <c:v>8951341.8719230201</c:v>
                </c:pt>
                <c:pt idx="91">
                  <c:v>8176783.1555679608</c:v>
                </c:pt>
                <c:pt idx="92">
                  <c:v>8170784.5164508652</c:v>
                </c:pt>
                <c:pt idx="93">
                  <c:v>8472445.1891317703</c:v>
                </c:pt>
                <c:pt idx="94">
                  <c:v>7441399.6980512431</c:v>
                </c:pt>
                <c:pt idx="95">
                  <c:v>7186855.0292048287</c:v>
                </c:pt>
                <c:pt idx="96">
                  <c:v>7297519.824448091</c:v>
                </c:pt>
                <c:pt idx="97">
                  <c:v>7161447.3370062616</c:v>
                </c:pt>
                <c:pt idx="98">
                  <c:v>6776150.5893926928</c:v>
                </c:pt>
                <c:pt idx="99">
                  <c:v>6935206.887062992</c:v>
                </c:pt>
                <c:pt idx="100">
                  <c:v>7288385.5620057974</c:v>
                </c:pt>
                <c:pt idx="101">
                  <c:v>7932716.8839005595</c:v>
                </c:pt>
                <c:pt idx="102">
                  <c:v>8269313.8980099643</c:v>
                </c:pt>
                <c:pt idx="103">
                  <c:v>8613916.1717983764</c:v>
                </c:pt>
                <c:pt idx="104">
                  <c:v>8036186.884115194</c:v>
                </c:pt>
                <c:pt idx="105">
                  <c:v>6605880.007489332</c:v>
                </c:pt>
                <c:pt idx="106">
                  <c:v>7540820.2296312423</c:v>
                </c:pt>
                <c:pt idx="107">
                  <c:v>6870511.9660611674</c:v>
                </c:pt>
                <c:pt idx="108">
                  <c:v>7590328.9312978219</c:v>
                </c:pt>
                <c:pt idx="109">
                  <c:v>6811755.0200896021</c:v>
                </c:pt>
                <c:pt idx="110">
                  <c:v>7114173.1088813813</c:v>
                </c:pt>
                <c:pt idx="111">
                  <c:v>7477612.3384237327</c:v>
                </c:pt>
                <c:pt idx="112">
                  <c:v>8006905.3139388775</c:v>
                </c:pt>
                <c:pt idx="113">
                  <c:v>8695043.6020825375</c:v>
                </c:pt>
                <c:pt idx="114">
                  <c:v>9568040.099664202</c:v>
                </c:pt>
                <c:pt idx="115">
                  <c:v>9442584.1127671767</c:v>
                </c:pt>
                <c:pt idx="116">
                  <c:v>8189693.8759161094</c:v>
                </c:pt>
                <c:pt idx="117">
                  <c:v>7577222.6530113248</c:v>
                </c:pt>
                <c:pt idx="118">
                  <c:v>7112179.8942169603</c:v>
                </c:pt>
                <c:pt idx="119">
                  <c:v>7546802.9080073964</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A180-4B74-8754-0EF6F0A179FF}"/>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 WN'!$D$1</c:f>
              <c:strCache>
                <c:ptCount val="1"/>
                <c:pt idx="0">
                  <c:v> GS_LU_NoCDM </c:v>
                </c:pt>
              </c:strCache>
            </c:strRef>
          </c:tx>
          <c:spPr>
            <a:ln w="28575" cap="rnd">
              <a:solidFill>
                <a:schemeClr val="accent1"/>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CDAF-4F50-BF4B-57D6B1C47A79}"/>
            </c:ext>
          </c:extLst>
        </c:ser>
        <c:ser>
          <c:idx val="1"/>
          <c:order val="1"/>
          <c:tx>
            <c:strRef>
              <c:f>'Large Use Normalized Monthl WN'!$W$1</c:f>
              <c:strCache>
                <c:ptCount val="1"/>
                <c:pt idx="0">
                  <c:v>WN Predicted</c:v>
                </c:pt>
              </c:strCache>
            </c:strRef>
          </c:tx>
          <c:spPr>
            <a:ln w="28575" cap="rnd">
              <a:solidFill>
                <a:schemeClr val="accent2"/>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WN'!$W$2:$W$145</c:f>
              <c:numCache>
                <c:formatCode>_(* #,##0_);_(* \(#,##0\);_(* "-"??_);_(@_)</c:formatCode>
                <c:ptCount val="144"/>
                <c:pt idx="0">
                  <c:v>3267602.6918136864</c:v>
                </c:pt>
                <c:pt idx="1">
                  <c:v>3076650.6770628463</c:v>
                </c:pt>
                <c:pt idx="2">
                  <c:v>3484719.6594605139</c:v>
                </c:pt>
                <c:pt idx="3">
                  <c:v>3282729.061265674</c:v>
                </c:pt>
                <c:pt idx="4">
                  <c:v>3613563.003810985</c:v>
                </c:pt>
                <c:pt idx="5">
                  <c:v>3591368.8508344553</c:v>
                </c:pt>
                <c:pt idx="6">
                  <c:v>3958258.9426310831</c:v>
                </c:pt>
                <c:pt idx="7">
                  <c:v>4012194.9962159032</c:v>
                </c:pt>
                <c:pt idx="8">
                  <c:v>3781993.6785239344</c:v>
                </c:pt>
                <c:pt idx="9">
                  <c:v>3450540.5607552282</c:v>
                </c:pt>
                <c:pt idx="10">
                  <c:v>3438315.0696045035</c:v>
                </c:pt>
                <c:pt idx="11">
                  <c:v>3051108.3534137611</c:v>
                </c:pt>
                <c:pt idx="12">
                  <c:v>3224813.3659777152</c:v>
                </c:pt>
                <c:pt idx="13">
                  <c:v>3442024.2004002891</c:v>
                </c:pt>
                <c:pt idx="14">
                  <c:v>3635407.8700104062</c:v>
                </c:pt>
                <c:pt idx="15">
                  <c:v>3435381.9282819377</c:v>
                </c:pt>
                <c:pt idx="16">
                  <c:v>3373387.6788340602</c:v>
                </c:pt>
                <c:pt idx="17">
                  <c:v>3355397.0828793752</c:v>
                </c:pt>
                <c:pt idx="18">
                  <c:v>3693708.5250149071</c:v>
                </c:pt>
                <c:pt idx="19">
                  <c:v>3556920.2591536259</c:v>
                </c:pt>
                <c:pt idx="20">
                  <c:v>3749596.3220583508</c:v>
                </c:pt>
                <c:pt idx="21">
                  <c:v>3469003.409930211</c:v>
                </c:pt>
                <c:pt idx="22">
                  <c:v>3287610.3908749996</c:v>
                </c:pt>
                <c:pt idx="23">
                  <c:v>3027964.9234410911</c:v>
                </c:pt>
                <c:pt idx="24">
                  <c:v>3174289.4353096089</c:v>
                </c:pt>
                <c:pt idx="25">
                  <c:v>2718319.9960920052</c:v>
                </c:pt>
                <c:pt idx="26">
                  <c:v>3154053.6526230108</c:v>
                </c:pt>
                <c:pt idx="27">
                  <c:v>2873950.3245224557</c:v>
                </c:pt>
                <c:pt idx="28">
                  <c:v>3156647.9040080472</c:v>
                </c:pt>
                <c:pt idx="29">
                  <c:v>3220557.2005444253</c:v>
                </c:pt>
                <c:pt idx="30">
                  <c:v>3411141.9080760274</c:v>
                </c:pt>
                <c:pt idx="31">
                  <c:v>3539350.5600397382</c:v>
                </c:pt>
                <c:pt idx="32">
                  <c:v>3366052.504384683</c:v>
                </c:pt>
                <c:pt idx="33">
                  <c:v>3362750.5161497239</c:v>
                </c:pt>
                <c:pt idx="34">
                  <c:v>2931901.7975742482</c:v>
                </c:pt>
                <c:pt idx="35">
                  <c:v>2988862.1375202048</c:v>
                </c:pt>
                <c:pt idx="36">
                  <c:v>3597629.6151024178</c:v>
                </c:pt>
                <c:pt idx="37">
                  <c:v>3406316.302422429</c:v>
                </c:pt>
                <c:pt idx="38">
                  <c:v>3729077.4897736972</c:v>
                </c:pt>
                <c:pt idx="39">
                  <c:v>3389673.5591247915</c:v>
                </c:pt>
                <c:pt idx="40">
                  <c:v>3739114.4663645811</c:v>
                </c:pt>
                <c:pt idx="41">
                  <c:v>3558092.0743688187</c:v>
                </c:pt>
                <c:pt idx="42">
                  <c:v>3931584.9583446542</c:v>
                </c:pt>
                <c:pt idx="43">
                  <c:v>4414906.2823772505</c:v>
                </c:pt>
                <c:pt idx="44">
                  <c:v>4243536.6028875401</c:v>
                </c:pt>
                <c:pt idx="45">
                  <c:v>3900462.6857680809</c:v>
                </c:pt>
                <c:pt idx="46">
                  <c:v>3616213.3324149153</c:v>
                </c:pt>
                <c:pt idx="47">
                  <c:v>3329295.5960088717</c:v>
                </c:pt>
                <c:pt idx="48">
                  <c:v>3360289.6038038954</c:v>
                </c:pt>
                <c:pt idx="49">
                  <c:v>2879721.2357240324</c:v>
                </c:pt>
                <c:pt idx="50">
                  <c:v>3267787.7654787484</c:v>
                </c:pt>
                <c:pt idx="51">
                  <c:v>3142581.8389258818</c:v>
                </c:pt>
                <c:pt idx="52">
                  <c:v>3260780.9376097731</c:v>
                </c:pt>
                <c:pt idx="53">
                  <c:v>3229724.0842823223</c:v>
                </c:pt>
                <c:pt idx="54">
                  <c:v>3447823.1442979006</c:v>
                </c:pt>
                <c:pt idx="55">
                  <c:v>3611965.4345634659</c:v>
                </c:pt>
                <c:pt idx="56">
                  <c:v>3379135.1776382779</c:v>
                </c:pt>
                <c:pt idx="57">
                  <c:v>3285127.3674904001</c:v>
                </c:pt>
                <c:pt idx="58">
                  <c:v>3222285.3555268375</c:v>
                </c:pt>
                <c:pt idx="59">
                  <c:v>3137789.5758127063</c:v>
                </c:pt>
                <c:pt idx="60">
                  <c:v>3103959.2688962626</c:v>
                </c:pt>
                <c:pt idx="61">
                  <c:v>2766685.9378673057</c:v>
                </c:pt>
                <c:pt idx="62">
                  <c:v>2634202.7650343967</c:v>
                </c:pt>
                <c:pt idx="63">
                  <c:v>2049486.9196225104</c:v>
                </c:pt>
                <c:pt idx="64">
                  <c:v>1963729.9327174099</c:v>
                </c:pt>
                <c:pt idx="65">
                  <c:v>2186891.0975257615</c:v>
                </c:pt>
                <c:pt idx="66">
                  <c:v>2663166.0699946037</c:v>
                </c:pt>
                <c:pt idx="67">
                  <c:v>2836196.9067145716</c:v>
                </c:pt>
                <c:pt idx="68">
                  <c:v>2851757.6477714507</c:v>
                </c:pt>
                <c:pt idx="69">
                  <c:v>2592237.9970247881</c:v>
                </c:pt>
                <c:pt idx="70">
                  <c:v>2657572.0074163163</c:v>
                </c:pt>
                <c:pt idx="71">
                  <c:v>2723377.0587176532</c:v>
                </c:pt>
                <c:pt idx="72">
                  <c:v>2881172.3205625433</c:v>
                </c:pt>
                <c:pt idx="73">
                  <c:v>2483071.931400843</c:v>
                </c:pt>
                <c:pt idx="74">
                  <c:v>3047750.2530438551</c:v>
                </c:pt>
                <c:pt idx="75">
                  <c:v>2758314.9358465141</c:v>
                </c:pt>
                <c:pt idx="76">
                  <c:v>2869548.382067841</c:v>
                </c:pt>
                <c:pt idx="77">
                  <c:v>3015147.4501866591</c:v>
                </c:pt>
                <c:pt idx="78">
                  <c:v>3309863.9037019471</c:v>
                </c:pt>
                <c:pt idx="79">
                  <c:v>3472133.3715484403</c:v>
                </c:pt>
                <c:pt idx="80">
                  <c:v>3278832.1238271873</c:v>
                </c:pt>
                <c:pt idx="81">
                  <c:v>3087224.1488314592</c:v>
                </c:pt>
                <c:pt idx="82">
                  <c:v>3067820.8864970859</c:v>
                </c:pt>
                <c:pt idx="83">
                  <c:v>3111243.7662458397</c:v>
                </c:pt>
                <c:pt idx="84">
                  <c:v>2995164.7722632303</c:v>
                </c:pt>
                <c:pt idx="85">
                  <c:v>2720933.0644354057</c:v>
                </c:pt>
                <c:pt idx="86">
                  <c:v>3179886.3049340569</c:v>
                </c:pt>
                <c:pt idx="87">
                  <c:v>3008122.5196157973</c:v>
                </c:pt>
                <c:pt idx="88">
                  <c:v>3077913.0094520743</c:v>
                </c:pt>
                <c:pt idx="89">
                  <c:v>3129508.914992929</c:v>
                </c:pt>
                <c:pt idx="90">
                  <c:v>2841438.3343014712</c:v>
                </c:pt>
                <c:pt idx="91">
                  <c:v>2722979.25349933</c:v>
                </c:pt>
                <c:pt idx="92">
                  <c:v>2795905.4198312401</c:v>
                </c:pt>
                <c:pt idx="93">
                  <c:v>2704927.8415308893</c:v>
                </c:pt>
                <c:pt idx="94">
                  <c:v>2616708.9734020578</c:v>
                </c:pt>
                <c:pt idx="95">
                  <c:v>2431308.3457724061</c:v>
                </c:pt>
                <c:pt idx="96">
                  <c:v>2797978.2297473568</c:v>
                </c:pt>
                <c:pt idx="97">
                  <c:v>2636798.0431261002</c:v>
                </c:pt>
                <c:pt idx="98">
                  <c:v>2780109.3268490415</c:v>
                </c:pt>
                <c:pt idx="99">
                  <c:v>2551808.5745341969</c:v>
                </c:pt>
                <c:pt idx="100">
                  <c:v>2683435.0092004836</c:v>
                </c:pt>
                <c:pt idx="101">
                  <c:v>2582325.3149640076</c:v>
                </c:pt>
                <c:pt idx="102">
                  <c:v>2739021.346986704</c:v>
                </c:pt>
                <c:pt idx="103">
                  <c:v>3065333.7980682524</c:v>
                </c:pt>
                <c:pt idx="104">
                  <c:v>2994098.673762524</c:v>
                </c:pt>
                <c:pt idx="105">
                  <c:v>2968089.2377977665</c:v>
                </c:pt>
                <c:pt idx="106">
                  <c:v>3410405.6460163523</c:v>
                </c:pt>
                <c:pt idx="107">
                  <c:v>3350172.5050658896</c:v>
                </c:pt>
                <c:pt idx="108">
                  <c:v>3570271.4336852222</c:v>
                </c:pt>
                <c:pt idx="109">
                  <c:v>3415825.0931774653</c:v>
                </c:pt>
                <c:pt idx="110">
                  <c:v>3559381.5197432484</c:v>
                </c:pt>
                <c:pt idx="111">
                  <c:v>3269048.1492059785</c:v>
                </c:pt>
                <c:pt idx="112">
                  <c:v>3414135.2235752516</c:v>
                </c:pt>
                <c:pt idx="113">
                  <c:v>3318963.6884982558</c:v>
                </c:pt>
                <c:pt idx="114">
                  <c:v>3405207.5910418928</c:v>
                </c:pt>
                <c:pt idx="115">
                  <c:v>3396661.4450374795</c:v>
                </c:pt>
                <c:pt idx="116">
                  <c:v>3363059.2132322616</c:v>
                </c:pt>
                <c:pt idx="117">
                  <c:v>3357125.1036802721</c:v>
                </c:pt>
                <c:pt idx="118">
                  <c:v>3285942.6132876799</c:v>
                </c:pt>
                <c:pt idx="119">
                  <c:v>3191945.2383474186</c:v>
                </c:pt>
                <c:pt idx="120">
                  <c:v>3220204.9905179543</c:v>
                </c:pt>
                <c:pt idx="121">
                  <c:v>2990791.1776072732</c:v>
                </c:pt>
                <c:pt idx="122">
                  <c:v>3335008.0902076466</c:v>
                </c:pt>
                <c:pt idx="123">
                  <c:v>3193030.6678041155</c:v>
                </c:pt>
                <c:pt idx="124">
                  <c:v>3323042.007192343</c:v>
                </c:pt>
                <c:pt idx="125">
                  <c:v>3226037.2255639071</c:v>
                </c:pt>
                <c:pt idx="126">
                  <c:v>3479106.3119364521</c:v>
                </c:pt>
                <c:pt idx="127">
                  <c:v>3433983.4617401962</c:v>
                </c:pt>
                <c:pt idx="128">
                  <c:v>3352955.6760157933</c:v>
                </c:pt>
                <c:pt idx="129">
                  <c:v>3269511.2900441471</c:v>
                </c:pt>
                <c:pt idx="130">
                  <c:v>3217308.0591398804</c:v>
                </c:pt>
                <c:pt idx="131">
                  <c:v>3162621.6030997885</c:v>
                </c:pt>
                <c:pt idx="132">
                  <c:v>3220285.6770809614</c:v>
                </c:pt>
                <c:pt idx="133">
                  <c:v>2990871.8641702803</c:v>
                </c:pt>
                <c:pt idx="134">
                  <c:v>3335088.7767706537</c:v>
                </c:pt>
                <c:pt idx="135">
                  <c:v>3193032.2884268416</c:v>
                </c:pt>
                <c:pt idx="136">
                  <c:v>3323043.6278150692</c:v>
                </c:pt>
                <c:pt idx="137">
                  <c:v>3226038.8461866332</c:v>
                </c:pt>
                <c:pt idx="138">
                  <c:v>3479157.8185677179</c:v>
                </c:pt>
                <c:pt idx="139">
                  <c:v>3434034.9683714621</c:v>
                </c:pt>
                <c:pt idx="140">
                  <c:v>3353007.1826470592</c:v>
                </c:pt>
                <c:pt idx="141">
                  <c:v>3269525.0477612433</c:v>
                </c:pt>
                <c:pt idx="142">
                  <c:v>3217321.8168569766</c:v>
                </c:pt>
                <c:pt idx="143">
                  <c:v>3162635.3608168848</c:v>
                </c:pt>
              </c:numCache>
            </c:numRef>
          </c:val>
          <c:smooth val="0"/>
          <c:extLst>
            <c:ext xmlns:c16="http://schemas.microsoft.com/office/drawing/2014/chart" uri="{C3380CC4-5D6E-409C-BE32-E72D297353CC}">
              <c16:uniqueId val="{00000001-CDAF-4F50-BF4B-57D6B1C47A79}"/>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50-999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Weather!$DR$2:$DR$121</c:f>
              <c:numCache>
                <c:formatCode>_(* #,##0_);_(* \(#,##0\);_(* "-"??_);_(@_)</c:formatCode>
                <c:ptCount val="12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yVal>
          <c:smooth val="0"/>
          <c:extLst>
            <c:ext xmlns:c16="http://schemas.microsoft.com/office/drawing/2014/chart" uri="{C3380CC4-5D6E-409C-BE32-E72D297353CC}">
              <c16:uniqueId val="{00000000-5FDF-44A9-B151-4EB8849D4CED}"/>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Weather!$DW$2:$DW$121</c:f>
              <c:numCache>
                <c:formatCode>_(* #,##0_);_(* \(#,##0\);_(* "-"??_);_(@_)</c:formatCode>
                <c:ptCount val="120"/>
                <c:pt idx="0">
                  <c:v>33844576.620209962</c:v>
                </c:pt>
                <c:pt idx="1">
                  <c:v>35687457.658336587</c:v>
                </c:pt>
                <c:pt idx="2">
                  <c:v>30636418.61322505</c:v>
                </c:pt>
                <c:pt idx="3">
                  <c:v>25185256.504574329</c:v>
                </c:pt>
                <c:pt idx="4">
                  <c:v>24560894.668235175</c:v>
                </c:pt>
                <c:pt idx="5">
                  <c:v>25172124.375524301</c:v>
                </c:pt>
                <c:pt idx="6">
                  <c:v>27004072.898000091</c:v>
                </c:pt>
                <c:pt idx="7">
                  <c:v>26416810.613625236</c:v>
                </c:pt>
                <c:pt idx="8">
                  <c:v>25776662.08815977</c:v>
                </c:pt>
                <c:pt idx="9">
                  <c:v>24269755.268266249</c:v>
                </c:pt>
                <c:pt idx="10">
                  <c:v>25759541.332251538</c:v>
                </c:pt>
                <c:pt idx="11">
                  <c:v>26642400.628021087</c:v>
                </c:pt>
                <c:pt idx="12">
                  <c:v>31399505.460555904</c:v>
                </c:pt>
                <c:pt idx="13">
                  <c:v>30273870.950339552</c:v>
                </c:pt>
                <c:pt idx="14">
                  <c:v>28177160.079824608</c:v>
                </c:pt>
                <c:pt idx="15">
                  <c:v>26389011.530602071</c:v>
                </c:pt>
                <c:pt idx="16">
                  <c:v>24737775.667545468</c:v>
                </c:pt>
                <c:pt idx="17">
                  <c:v>26009313.200074203</c:v>
                </c:pt>
                <c:pt idx="18">
                  <c:v>27717795.408302061</c:v>
                </c:pt>
                <c:pt idx="19">
                  <c:v>27948912.372927472</c:v>
                </c:pt>
                <c:pt idx="20">
                  <c:v>25582876.040900532</c:v>
                </c:pt>
                <c:pt idx="21">
                  <c:v>24825522.920280278</c:v>
                </c:pt>
                <c:pt idx="22">
                  <c:v>25671392.930415846</c:v>
                </c:pt>
                <c:pt idx="23">
                  <c:v>30213001.017994195</c:v>
                </c:pt>
                <c:pt idx="24">
                  <c:v>30284057.687988568</c:v>
                </c:pt>
                <c:pt idx="25">
                  <c:v>28958779.819421403</c:v>
                </c:pt>
                <c:pt idx="26">
                  <c:v>29872496.787398372</c:v>
                </c:pt>
                <c:pt idx="27">
                  <c:v>24484720.862279017</c:v>
                </c:pt>
                <c:pt idx="28">
                  <c:v>24212684.860464726</c:v>
                </c:pt>
                <c:pt idx="29">
                  <c:v>25458967.148404371</c:v>
                </c:pt>
                <c:pt idx="30">
                  <c:v>26888937.468424659</c:v>
                </c:pt>
                <c:pt idx="31">
                  <c:v>26221281.015046485</c:v>
                </c:pt>
                <c:pt idx="32">
                  <c:v>25372516.263430454</c:v>
                </c:pt>
                <c:pt idx="33">
                  <c:v>24289103.259536136</c:v>
                </c:pt>
                <c:pt idx="34">
                  <c:v>26911230.370541837</c:v>
                </c:pt>
                <c:pt idx="35">
                  <c:v>32610558.270894751</c:v>
                </c:pt>
                <c:pt idx="36">
                  <c:v>32895619.929368053</c:v>
                </c:pt>
                <c:pt idx="37">
                  <c:v>29888862.365916468</c:v>
                </c:pt>
                <c:pt idx="38">
                  <c:v>29223217.509047929</c:v>
                </c:pt>
                <c:pt idx="39">
                  <c:v>27085004.576949392</c:v>
                </c:pt>
                <c:pt idx="40">
                  <c:v>24871977.739820443</c:v>
                </c:pt>
                <c:pt idx="41">
                  <c:v>25920898.136394382</c:v>
                </c:pt>
                <c:pt idx="42">
                  <c:v>27798544.292591847</c:v>
                </c:pt>
                <c:pt idx="43">
                  <c:v>27733676.157209016</c:v>
                </c:pt>
                <c:pt idx="44">
                  <c:v>25691112.456606548</c:v>
                </c:pt>
                <c:pt idx="45">
                  <c:v>25151271.612222776</c:v>
                </c:pt>
                <c:pt idx="46">
                  <c:v>28112779.607455518</c:v>
                </c:pt>
                <c:pt idx="47">
                  <c:v>29576663.906328976</c:v>
                </c:pt>
                <c:pt idx="48">
                  <c:v>33484697.2581698</c:v>
                </c:pt>
                <c:pt idx="49">
                  <c:v>31147508.950517111</c:v>
                </c:pt>
                <c:pt idx="50">
                  <c:v>30108545.208166979</c:v>
                </c:pt>
                <c:pt idx="51">
                  <c:v>25434021.19933876</c:v>
                </c:pt>
                <c:pt idx="52">
                  <c:v>23683418.133449394</c:v>
                </c:pt>
                <c:pt idx="53">
                  <c:v>25557459.190291613</c:v>
                </c:pt>
                <c:pt idx="54">
                  <c:v>27848551.246638432</c:v>
                </c:pt>
                <c:pt idx="55">
                  <c:v>26762477.242497548</c:v>
                </c:pt>
                <c:pt idx="56">
                  <c:v>24885945.470016573</c:v>
                </c:pt>
                <c:pt idx="57">
                  <c:v>23710581.419993397</c:v>
                </c:pt>
                <c:pt idx="58">
                  <c:v>28630967.26196206</c:v>
                </c:pt>
                <c:pt idx="59">
                  <c:v>30168079.17491902</c:v>
                </c:pt>
                <c:pt idx="60">
                  <c:v>30456480.747375615</c:v>
                </c:pt>
                <c:pt idx="61">
                  <c:v>30608363.335765462</c:v>
                </c:pt>
                <c:pt idx="62">
                  <c:v>27506418.223790277</c:v>
                </c:pt>
                <c:pt idx="63">
                  <c:v>25667211.091045257</c:v>
                </c:pt>
                <c:pt idx="64">
                  <c:v>25222437.903175149</c:v>
                </c:pt>
                <c:pt idx="65">
                  <c:v>26301134.6952684</c:v>
                </c:pt>
                <c:pt idx="66">
                  <c:v>28618442.143443283</c:v>
                </c:pt>
                <c:pt idx="67">
                  <c:v>27182044.971909307</c:v>
                </c:pt>
                <c:pt idx="68">
                  <c:v>24756917.610358726</c:v>
                </c:pt>
                <c:pt idx="69">
                  <c:v>24414147.436078124</c:v>
                </c:pt>
                <c:pt idx="70">
                  <c:v>25584244.81639393</c:v>
                </c:pt>
                <c:pt idx="71">
                  <c:v>29536334.444980819</c:v>
                </c:pt>
                <c:pt idx="72">
                  <c:v>30951122.008299999</c:v>
                </c:pt>
                <c:pt idx="73">
                  <c:v>31431067.64769794</c:v>
                </c:pt>
                <c:pt idx="74">
                  <c:v>27834437.323837403</c:v>
                </c:pt>
                <c:pt idx="75">
                  <c:v>25044898.667018935</c:v>
                </c:pt>
                <c:pt idx="76">
                  <c:v>24646227.883523133</c:v>
                </c:pt>
                <c:pt idx="77">
                  <c:v>26600090.07642027</c:v>
                </c:pt>
                <c:pt idx="78">
                  <c:v>26806279.472064681</c:v>
                </c:pt>
                <c:pt idx="79">
                  <c:v>27949498.138256006</c:v>
                </c:pt>
                <c:pt idx="80">
                  <c:v>25161190.089391645</c:v>
                </c:pt>
                <c:pt idx="81">
                  <c:v>24489306.755457599</c:v>
                </c:pt>
                <c:pt idx="82">
                  <c:v>26959425.885658644</c:v>
                </c:pt>
                <c:pt idx="83">
                  <c:v>28545465.463989984</c:v>
                </c:pt>
                <c:pt idx="84">
                  <c:v>34397662.745500527</c:v>
                </c:pt>
                <c:pt idx="85">
                  <c:v>31098328.717113249</c:v>
                </c:pt>
                <c:pt idx="86">
                  <c:v>28771160.151410416</c:v>
                </c:pt>
                <c:pt idx="87">
                  <c:v>25325930.292028166</c:v>
                </c:pt>
                <c:pt idx="88">
                  <c:v>24553189.791201808</c:v>
                </c:pt>
                <c:pt idx="89">
                  <c:v>25651111.258191254</c:v>
                </c:pt>
                <c:pt idx="90">
                  <c:v>27258948.581797622</c:v>
                </c:pt>
                <c:pt idx="91">
                  <c:v>27359372.112274982</c:v>
                </c:pt>
                <c:pt idx="92">
                  <c:v>25050713.68001584</c:v>
                </c:pt>
                <c:pt idx="93">
                  <c:v>24065488.880462699</c:v>
                </c:pt>
                <c:pt idx="94">
                  <c:v>26648294.243439104</c:v>
                </c:pt>
                <c:pt idx="95">
                  <c:v>29580755.300958499</c:v>
                </c:pt>
                <c:pt idx="96">
                  <c:v>29960503.520857908</c:v>
                </c:pt>
                <c:pt idx="97">
                  <c:v>29827491.446473617</c:v>
                </c:pt>
                <c:pt idx="98">
                  <c:v>28897659.393527303</c:v>
                </c:pt>
                <c:pt idx="99">
                  <c:v>25155263.533552792</c:v>
                </c:pt>
                <c:pt idx="100">
                  <c:v>24294497.536207512</c:v>
                </c:pt>
                <c:pt idx="101">
                  <c:v>26035672.639858291</c:v>
                </c:pt>
                <c:pt idx="102">
                  <c:v>27289080.272850752</c:v>
                </c:pt>
                <c:pt idx="103">
                  <c:v>26383433.30903551</c:v>
                </c:pt>
                <c:pt idx="104">
                  <c:v>25371024.247080278</c:v>
                </c:pt>
                <c:pt idx="105">
                  <c:v>24435367.619847313</c:v>
                </c:pt>
                <c:pt idx="106">
                  <c:v>27052469.458342664</c:v>
                </c:pt>
                <c:pt idx="107">
                  <c:v>27668153.55843081</c:v>
                </c:pt>
                <c:pt idx="108">
                  <c:v>30620303.528255697</c:v>
                </c:pt>
                <c:pt idx="109">
                  <c:v>29056639.299131632</c:v>
                </c:pt>
                <c:pt idx="110">
                  <c:v>27075652.817796201</c:v>
                </c:pt>
                <c:pt idx="111">
                  <c:v>24443830.947859675</c:v>
                </c:pt>
                <c:pt idx="112">
                  <c:v>24544053.773261491</c:v>
                </c:pt>
                <c:pt idx="113">
                  <c:v>26013999.322702486</c:v>
                </c:pt>
                <c:pt idx="114">
                  <c:v>27560224.534926072</c:v>
                </c:pt>
                <c:pt idx="115">
                  <c:v>26931112.5720792</c:v>
                </c:pt>
                <c:pt idx="116">
                  <c:v>25500803.809869088</c:v>
                </c:pt>
                <c:pt idx="117">
                  <c:v>24233288.33095526</c:v>
                </c:pt>
                <c:pt idx="118">
                  <c:v>25805483.321661677</c:v>
                </c:pt>
                <c:pt idx="119">
                  <c:v>29850369.857259113</c:v>
                </c:pt>
              </c:numCache>
            </c:numRef>
          </c:yVal>
          <c:smooth val="0"/>
          <c:extLst>
            <c:ext xmlns:c16="http://schemas.microsoft.com/office/drawing/2014/chart" uri="{C3380CC4-5D6E-409C-BE32-E72D297353CC}">
              <c16:uniqueId val="{00000001-5FDF-44A9-B151-4EB8849D4CED}"/>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to 4,999 kW</a:t>
            </a:r>
          </a:p>
        </c:rich>
      </c:tx>
      <c:overlay val="0"/>
      <c:spPr>
        <a:noFill/>
        <a:ln>
          <a:noFill/>
        </a:ln>
        <a:effectLst/>
      </c:spPr>
    </c:title>
    <c:autoTitleDeleted val="0"/>
    <c:plotArea>
      <c:layout/>
      <c:scatterChart>
        <c:scatterStyle val="lineMarker"/>
        <c:varyColors val="0"/>
        <c:ser>
          <c:idx val="0"/>
          <c:order val="0"/>
          <c:tx>
            <c:strRef>
              <c:f>Weather!$EU$1</c:f>
              <c:strCache>
                <c:ptCount val="1"/>
                <c:pt idx="0">
                  <c:v> GS_1000_4999_kWh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Weather!$EU$2:$EU$121</c:f>
              <c:numCache>
                <c:formatCode>_(* #,##0_);_(* \(#,##0\);_(* "-"??_);_(@_)</c:formatCode>
                <c:ptCount val="120"/>
                <c:pt idx="0">
                  <c:v>17380.676255561295</c:v>
                </c:pt>
                <c:pt idx="1">
                  <c:v>17944.442195179483</c:v>
                </c:pt>
                <c:pt idx="2">
                  <c:v>17702.28979778248</c:v>
                </c:pt>
                <c:pt idx="3">
                  <c:v>17311.190368687203</c:v>
                </c:pt>
                <c:pt idx="4">
                  <c:v>18481.2662582265</c:v>
                </c:pt>
                <c:pt idx="5">
                  <c:v>20063.779277290858</c:v>
                </c:pt>
                <c:pt idx="6">
                  <c:v>18671.310982729767</c:v>
                </c:pt>
                <c:pt idx="7">
                  <c:v>18792.118195436862</c:v>
                </c:pt>
                <c:pt idx="8">
                  <c:v>19484.212920734059</c:v>
                </c:pt>
                <c:pt idx="9">
                  <c:v>16805.747126630507</c:v>
                </c:pt>
                <c:pt idx="10">
                  <c:v>16720.001621295949</c:v>
                </c:pt>
                <c:pt idx="11">
                  <c:v>14545.126118910161</c:v>
                </c:pt>
                <c:pt idx="12">
                  <c:v>16516.686356905797</c:v>
                </c:pt>
                <c:pt idx="13">
                  <c:v>17064.861127128912</c:v>
                </c:pt>
                <c:pt idx="14">
                  <c:v>16220.321588375775</c:v>
                </c:pt>
                <c:pt idx="15">
                  <c:v>16451.269660007321</c:v>
                </c:pt>
                <c:pt idx="16">
                  <c:v>16891.243005509696</c:v>
                </c:pt>
                <c:pt idx="17">
                  <c:v>19111.304289740652</c:v>
                </c:pt>
                <c:pt idx="18">
                  <c:v>20871.873831020795</c:v>
                </c:pt>
                <c:pt idx="19">
                  <c:v>21593.797906852906</c:v>
                </c:pt>
                <c:pt idx="20">
                  <c:v>20078.268017437622</c:v>
                </c:pt>
                <c:pt idx="21">
                  <c:v>16698.206801577304</c:v>
                </c:pt>
                <c:pt idx="22">
                  <c:v>17373.553926461795</c:v>
                </c:pt>
                <c:pt idx="23">
                  <c:v>16796.761568112091</c:v>
                </c:pt>
                <c:pt idx="24">
                  <c:v>18559.029621303183</c:v>
                </c:pt>
                <c:pt idx="25">
                  <c:v>18404.084562755936</c:v>
                </c:pt>
                <c:pt idx="26">
                  <c:v>18867.822290646229</c:v>
                </c:pt>
                <c:pt idx="27">
                  <c:v>18910.488465585822</c:v>
                </c:pt>
                <c:pt idx="28">
                  <c:v>17886.941144904522</c:v>
                </c:pt>
                <c:pt idx="29">
                  <c:v>19932.981336867357</c:v>
                </c:pt>
                <c:pt idx="30">
                  <c:v>21414.490096221405</c:v>
                </c:pt>
                <c:pt idx="31">
                  <c:v>22170.797840207775</c:v>
                </c:pt>
                <c:pt idx="32">
                  <c:v>18661.707778022093</c:v>
                </c:pt>
                <c:pt idx="33">
                  <c:v>17040.043310682904</c:v>
                </c:pt>
                <c:pt idx="34">
                  <c:v>19419.309061739619</c:v>
                </c:pt>
                <c:pt idx="35">
                  <c:v>17697.11994310189</c:v>
                </c:pt>
                <c:pt idx="36">
                  <c:v>18382.699267243152</c:v>
                </c:pt>
                <c:pt idx="37">
                  <c:v>17999.914410450521</c:v>
                </c:pt>
                <c:pt idx="38">
                  <c:v>17667.758898406126</c:v>
                </c:pt>
                <c:pt idx="39">
                  <c:v>18757.887008649013</c:v>
                </c:pt>
                <c:pt idx="40">
                  <c:v>19480.864272819603</c:v>
                </c:pt>
                <c:pt idx="41">
                  <c:v>17675.858472416872</c:v>
                </c:pt>
                <c:pt idx="42">
                  <c:v>18331.31716084481</c:v>
                </c:pt>
                <c:pt idx="43">
                  <c:v>19115.971514301076</c:v>
                </c:pt>
                <c:pt idx="44">
                  <c:v>17969.282328330555</c:v>
                </c:pt>
                <c:pt idx="45">
                  <c:v>15840.89236776936</c:v>
                </c:pt>
                <c:pt idx="46">
                  <c:v>15487.623764331545</c:v>
                </c:pt>
                <c:pt idx="47">
                  <c:v>14334.834038511302</c:v>
                </c:pt>
                <c:pt idx="48">
                  <c:v>14993.72677444596</c:v>
                </c:pt>
                <c:pt idx="49">
                  <c:v>14909.964854976499</c:v>
                </c:pt>
                <c:pt idx="50">
                  <c:v>14618.980294028055</c:v>
                </c:pt>
                <c:pt idx="51">
                  <c:v>14051.287161759663</c:v>
                </c:pt>
                <c:pt idx="52">
                  <c:v>14596.130155368865</c:v>
                </c:pt>
                <c:pt idx="53">
                  <c:v>15115.45825135865</c:v>
                </c:pt>
                <c:pt idx="54">
                  <c:v>18190.381251129806</c:v>
                </c:pt>
                <c:pt idx="55">
                  <c:v>17186.641354754633</c:v>
                </c:pt>
                <c:pt idx="56">
                  <c:v>15496.584449360887</c:v>
                </c:pt>
                <c:pt idx="57">
                  <c:v>13874.934467807725</c:v>
                </c:pt>
                <c:pt idx="58">
                  <c:v>13449.584616457498</c:v>
                </c:pt>
                <c:pt idx="59">
                  <c:v>13965.804710465422</c:v>
                </c:pt>
                <c:pt idx="60">
                  <c:v>14469.696032290589</c:v>
                </c:pt>
                <c:pt idx="61">
                  <c:v>14256.772012636504</c:v>
                </c:pt>
                <c:pt idx="62">
                  <c:v>13155.071158420653</c:v>
                </c:pt>
                <c:pt idx="63">
                  <c:v>10341.209974407078</c:v>
                </c:pt>
                <c:pt idx="64">
                  <c:v>11797.648412567665</c:v>
                </c:pt>
                <c:pt idx="65">
                  <c:v>14754.557190778554</c:v>
                </c:pt>
                <c:pt idx="66">
                  <c:v>16749.590140847282</c:v>
                </c:pt>
                <c:pt idx="67">
                  <c:v>15613.568587006086</c:v>
                </c:pt>
                <c:pt idx="68">
                  <c:v>13300.66678008891</c:v>
                </c:pt>
                <c:pt idx="69">
                  <c:v>11270.875610209143</c:v>
                </c:pt>
                <c:pt idx="70">
                  <c:v>12043.530270417659</c:v>
                </c:pt>
                <c:pt idx="71">
                  <c:v>12342.617665438342</c:v>
                </c:pt>
                <c:pt idx="72">
                  <c:v>10629.482643462763</c:v>
                </c:pt>
                <c:pt idx="73">
                  <c:v>9655.7974499830161</c:v>
                </c:pt>
                <c:pt idx="74">
                  <c:v>9914.3417398555994</c:v>
                </c:pt>
                <c:pt idx="75">
                  <c:v>11887.132953708659</c:v>
                </c:pt>
                <c:pt idx="76">
                  <c:v>11034.640324028183</c:v>
                </c:pt>
                <c:pt idx="77">
                  <c:v>12514.031416502043</c:v>
                </c:pt>
                <c:pt idx="78">
                  <c:v>12108.933504869616</c:v>
                </c:pt>
                <c:pt idx="79">
                  <c:v>14230.4754263828</c:v>
                </c:pt>
                <c:pt idx="80">
                  <c:v>10866.290039990028</c:v>
                </c:pt>
                <c:pt idx="81">
                  <c:v>11425.159157634547</c:v>
                </c:pt>
                <c:pt idx="82">
                  <c:v>11520.658733398541</c:v>
                </c:pt>
                <c:pt idx="83">
                  <c:v>9978.7400713896495</c:v>
                </c:pt>
                <c:pt idx="84">
                  <c:v>10795.763260648249</c:v>
                </c:pt>
                <c:pt idx="85">
                  <c:v>12449.083524433197</c:v>
                </c:pt>
                <c:pt idx="86">
                  <c:v>11059.448965294059</c:v>
                </c:pt>
                <c:pt idx="87">
                  <c:v>11195.580575629438</c:v>
                </c:pt>
                <c:pt idx="88">
                  <c:v>12513.64191002306</c:v>
                </c:pt>
                <c:pt idx="89">
                  <c:v>13751.786670846872</c:v>
                </c:pt>
                <c:pt idx="90">
                  <c:v>14209.424754731031</c:v>
                </c:pt>
                <c:pt idx="91">
                  <c:v>13309.977365136125</c:v>
                </c:pt>
                <c:pt idx="92">
                  <c:v>13362.981615066377</c:v>
                </c:pt>
                <c:pt idx="93">
                  <c:v>13451.522725654142</c:v>
                </c:pt>
                <c:pt idx="94">
                  <c:v>12102.411336972746</c:v>
                </c:pt>
                <c:pt idx="95">
                  <c:v>11254.218970214311</c:v>
                </c:pt>
                <c:pt idx="96">
                  <c:v>11385.029380763741</c:v>
                </c:pt>
                <c:pt idx="97">
                  <c:v>12321.630646917858</c:v>
                </c:pt>
                <c:pt idx="98">
                  <c:v>10426.761715869705</c:v>
                </c:pt>
                <c:pt idx="99">
                  <c:v>11078.488789087303</c:v>
                </c:pt>
                <c:pt idx="100">
                  <c:v>11162.436163562297</c:v>
                </c:pt>
                <c:pt idx="101">
                  <c:v>12937.041979872005</c:v>
                </c:pt>
                <c:pt idx="102">
                  <c:v>12858.668285231226</c:v>
                </c:pt>
                <c:pt idx="103">
                  <c:v>12950.357142564982</c:v>
                </c:pt>
                <c:pt idx="104">
                  <c:v>12965.062986115221</c:v>
                </c:pt>
                <c:pt idx="105">
                  <c:v>10237.090088227582</c:v>
                </c:pt>
                <c:pt idx="106">
                  <c:v>12089.038432890717</c:v>
                </c:pt>
                <c:pt idx="107">
                  <c:v>10488.254238932146</c:v>
                </c:pt>
                <c:pt idx="108">
                  <c:v>12373.170777988615</c:v>
                </c:pt>
                <c:pt idx="109">
                  <c:v>11623.354969574037</c:v>
                </c:pt>
                <c:pt idx="110">
                  <c:v>11424.969639468691</c:v>
                </c:pt>
                <c:pt idx="111">
                  <c:v>12487.772549019608</c:v>
                </c:pt>
                <c:pt idx="112">
                  <c:v>13037.540796963947</c:v>
                </c:pt>
                <c:pt idx="113">
                  <c:v>14979.333333333334</c:v>
                </c:pt>
                <c:pt idx="114">
                  <c:v>16078.800759013282</c:v>
                </c:pt>
                <c:pt idx="115">
                  <c:v>15577.206831119545</c:v>
                </c:pt>
                <c:pt idx="116">
                  <c:v>13773.978431372549</c:v>
                </c:pt>
                <c:pt idx="117">
                  <c:v>12077.512333965846</c:v>
                </c:pt>
                <c:pt idx="118">
                  <c:v>11640.960784313726</c:v>
                </c:pt>
                <c:pt idx="119">
                  <c:v>12044.840607210626</c:v>
                </c:pt>
              </c:numCache>
            </c:numRef>
          </c:yVal>
          <c:smooth val="0"/>
          <c:extLst>
            <c:ext xmlns:c16="http://schemas.microsoft.com/office/drawing/2014/chart" uri="{C3380CC4-5D6E-409C-BE32-E72D297353CC}">
              <c16:uniqueId val="{00000000-B808-43FE-A7A2-C816704CB562}"/>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a:t>
            </a:r>
          </a:p>
        </c:rich>
      </c:tx>
      <c:overlay val="0"/>
      <c:spPr>
        <a:noFill/>
        <a:ln>
          <a:noFill/>
        </a:ln>
        <a:effectLst/>
      </c:spPr>
    </c:title>
    <c:autoTitleDeleted val="0"/>
    <c:plotArea>
      <c:layout/>
      <c:scatterChart>
        <c:scatterStyle val="lineMarker"/>
        <c:varyColors val="0"/>
        <c:ser>
          <c:idx val="0"/>
          <c:order val="0"/>
          <c:tx>
            <c:strRef>
              <c:f>Weather!$EV$1</c:f>
              <c:strCache>
                <c:ptCount val="1"/>
                <c:pt idx="0">
                  <c:v> GS_LU_kWh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Weather!$EV$2:$EV$121</c:f>
              <c:numCache>
                <c:formatCode>_(* #,##0_);_(* \(#,##0\);_(* "-"??_);_(@_)</c:formatCode>
                <c:ptCount val="120"/>
                <c:pt idx="0">
                  <c:v>106780.24886221433</c:v>
                </c:pt>
                <c:pt idx="1">
                  <c:v>113577.69125505591</c:v>
                </c:pt>
                <c:pt idx="2">
                  <c:v>113629.16085704519</c:v>
                </c:pt>
                <c:pt idx="3">
                  <c:v>109191.86749264134</c:v>
                </c:pt>
                <c:pt idx="4">
                  <c:v>117073.78269445142</c:v>
                </c:pt>
                <c:pt idx="5">
                  <c:v>117180.29118768079</c:v>
                </c:pt>
                <c:pt idx="6">
                  <c:v>125913.92642626527</c:v>
                </c:pt>
                <c:pt idx="7">
                  <c:v>126918.83597660558</c:v>
                </c:pt>
                <c:pt idx="8">
                  <c:v>127783.02275471613</c:v>
                </c:pt>
                <c:pt idx="9">
                  <c:v>110638.91469547003</c:v>
                </c:pt>
                <c:pt idx="10">
                  <c:v>114012.74348181589</c:v>
                </c:pt>
                <c:pt idx="11">
                  <c:v>96585.869112232322</c:v>
                </c:pt>
                <c:pt idx="12">
                  <c:v>103733.14227780179</c:v>
                </c:pt>
                <c:pt idx="13">
                  <c:v>118286.14298566348</c:v>
                </c:pt>
                <c:pt idx="14">
                  <c:v>116849.05506414843</c:v>
                </c:pt>
                <c:pt idx="15">
                  <c:v>115108.0950140833</c:v>
                </c:pt>
                <c:pt idx="16">
                  <c:v>109600.58143497162</c:v>
                </c:pt>
                <c:pt idx="17">
                  <c:v>112420.02620786517</c:v>
                </c:pt>
                <c:pt idx="18">
                  <c:v>120042.28849278537</c:v>
                </c:pt>
                <c:pt idx="19">
                  <c:v>117947.42580699697</c:v>
                </c:pt>
                <c:pt idx="20">
                  <c:v>125843.78996367657</c:v>
                </c:pt>
                <c:pt idx="21">
                  <c:v>112414.55637096938</c:v>
                </c:pt>
                <c:pt idx="22">
                  <c:v>108821.34071658087</c:v>
                </c:pt>
                <c:pt idx="23">
                  <c:v>98191.992370054853</c:v>
                </c:pt>
                <c:pt idx="24">
                  <c:v>101126.67817670874</c:v>
                </c:pt>
                <c:pt idx="25">
                  <c:v>95450.706025966647</c:v>
                </c:pt>
                <c:pt idx="26">
                  <c:v>102181.48284229301</c:v>
                </c:pt>
                <c:pt idx="27">
                  <c:v>95054.451505220553</c:v>
                </c:pt>
                <c:pt idx="28">
                  <c:v>100129.44140373006</c:v>
                </c:pt>
                <c:pt idx="29">
                  <c:v>105477.81078313191</c:v>
                </c:pt>
                <c:pt idx="30">
                  <c:v>107446.25890546633</c:v>
                </c:pt>
                <c:pt idx="31">
                  <c:v>110518.3470367196</c:v>
                </c:pt>
                <c:pt idx="32">
                  <c:v>112117.00731652162</c:v>
                </c:pt>
                <c:pt idx="33">
                  <c:v>108500.32966114995</c:v>
                </c:pt>
                <c:pt idx="34">
                  <c:v>97272.906524478531</c:v>
                </c:pt>
                <c:pt idx="35">
                  <c:v>98031.589309169663</c:v>
                </c:pt>
                <c:pt idx="36">
                  <c:v>116188.22568033943</c:v>
                </c:pt>
                <c:pt idx="37">
                  <c:v>120288.61764344128</c:v>
                </c:pt>
                <c:pt idx="38">
                  <c:v>119899.46290617371</c:v>
                </c:pt>
                <c:pt idx="39">
                  <c:v>113267.65693140501</c:v>
                </c:pt>
                <c:pt idx="40">
                  <c:v>121456.61369959594</c:v>
                </c:pt>
                <c:pt idx="41">
                  <c:v>118075.6253069587</c:v>
                </c:pt>
                <c:pt idx="42">
                  <c:v>127252.73297548277</c:v>
                </c:pt>
                <c:pt idx="43">
                  <c:v>144028.51546084994</c:v>
                </c:pt>
                <c:pt idx="44">
                  <c:v>142326.69306267618</c:v>
                </c:pt>
                <c:pt idx="45">
                  <c:v>125240.03015680518</c:v>
                </c:pt>
                <c:pt idx="46">
                  <c:v>120517.72003611868</c:v>
                </c:pt>
                <c:pt idx="47">
                  <c:v>106570.15608426544</c:v>
                </c:pt>
                <c:pt idx="48">
                  <c:v>108775.39125806848</c:v>
                </c:pt>
                <c:pt idx="49">
                  <c:v>102288.34410120556</c:v>
                </c:pt>
                <c:pt idx="50">
                  <c:v>105522.16918041505</c:v>
                </c:pt>
                <c:pt idx="51">
                  <c:v>103864.36149407907</c:v>
                </c:pt>
                <c:pt idx="52">
                  <c:v>102007.53149627228</c:v>
                </c:pt>
                <c:pt idx="53">
                  <c:v>105749.11252897099</c:v>
                </c:pt>
                <c:pt idx="54">
                  <c:v>111849.07725716737</c:v>
                </c:pt>
                <c:pt idx="55">
                  <c:v>114548.46144256525</c:v>
                </c:pt>
                <c:pt idx="56">
                  <c:v>110062.63317260593</c:v>
                </c:pt>
                <c:pt idx="57">
                  <c:v>104374.02050301601</c:v>
                </c:pt>
                <c:pt idx="58">
                  <c:v>107853.1545197832</c:v>
                </c:pt>
                <c:pt idx="59">
                  <c:v>100955.17188517521</c:v>
                </c:pt>
                <c:pt idx="60">
                  <c:v>98442.925747703703</c:v>
                </c:pt>
                <c:pt idx="61">
                  <c:v>94441.933648530685</c:v>
                </c:pt>
                <c:pt idx="62">
                  <c:v>83349.824999978591</c:v>
                </c:pt>
                <c:pt idx="63">
                  <c:v>67540.522993719263</c:v>
                </c:pt>
                <c:pt idx="64">
                  <c:v>62905.595226618061</c:v>
                </c:pt>
                <c:pt idx="65">
                  <c:v>73827.589157043461</c:v>
                </c:pt>
                <c:pt idx="66">
                  <c:v>89409.909246136463</c:v>
                </c:pt>
                <c:pt idx="67">
                  <c:v>91089.285114737562</c:v>
                </c:pt>
                <c:pt idx="68">
                  <c:v>92442.600201978217</c:v>
                </c:pt>
                <c:pt idx="69">
                  <c:v>82240.117470956829</c:v>
                </c:pt>
                <c:pt idx="70">
                  <c:v>87098.183481899425</c:v>
                </c:pt>
                <c:pt idx="71">
                  <c:v>87156.956682688033</c:v>
                </c:pt>
                <c:pt idx="72">
                  <c:v>91537.870967741939</c:v>
                </c:pt>
                <c:pt idx="73">
                  <c:v>88267.142857142855</c:v>
                </c:pt>
                <c:pt idx="74">
                  <c:v>96895.129032258061</c:v>
                </c:pt>
                <c:pt idx="75">
                  <c:v>90905.2</c:v>
                </c:pt>
                <c:pt idx="76">
                  <c:v>91827.290322580651</c:v>
                </c:pt>
                <c:pt idx="77">
                  <c:v>102285.6</c:v>
                </c:pt>
                <c:pt idx="78">
                  <c:v>103411.09677419355</c:v>
                </c:pt>
                <c:pt idx="79">
                  <c:v>114358.03225806452</c:v>
                </c:pt>
                <c:pt idx="80">
                  <c:v>107729.86666666667</c:v>
                </c:pt>
                <c:pt idx="81">
                  <c:v>100017.70967741935</c:v>
                </c:pt>
                <c:pt idx="82">
                  <c:v>101423.6</c:v>
                </c:pt>
                <c:pt idx="83">
                  <c:v>98882.677419354834</c:v>
                </c:pt>
                <c:pt idx="84">
                  <c:v>97405.06451612903</c:v>
                </c:pt>
                <c:pt idx="85">
                  <c:v>96325.21428571429</c:v>
                </c:pt>
                <c:pt idx="86">
                  <c:v>101546.80645161291</c:v>
                </c:pt>
                <c:pt idx="87">
                  <c:v>99031.566666666666</c:v>
                </c:pt>
                <c:pt idx="88">
                  <c:v>99320.032258064515</c:v>
                </c:pt>
                <c:pt idx="89">
                  <c:v>102231.86666666667</c:v>
                </c:pt>
                <c:pt idx="90">
                  <c:v>89779.419354838712</c:v>
                </c:pt>
                <c:pt idx="91">
                  <c:v>87772.516129032258</c:v>
                </c:pt>
                <c:pt idx="92">
                  <c:v>91325.866666666669</c:v>
                </c:pt>
                <c:pt idx="93">
                  <c:v>85227.548387096773</c:v>
                </c:pt>
                <c:pt idx="94">
                  <c:v>86137.3</c:v>
                </c:pt>
                <c:pt idx="95">
                  <c:v>77376.225806451606</c:v>
                </c:pt>
                <c:pt idx="96">
                  <c:v>87708.76606316409</c:v>
                </c:pt>
                <c:pt idx="97">
                  <c:v>92003.069226352847</c:v>
                </c:pt>
                <c:pt idx="98">
                  <c:v>88380.29858691238</c:v>
                </c:pt>
                <c:pt idx="99">
                  <c:v>83915.645915390531</c:v>
                </c:pt>
                <c:pt idx="100">
                  <c:v>84286.406494244191</c:v>
                </c:pt>
                <c:pt idx="101">
                  <c:v>85081.261036293843</c:v>
                </c:pt>
                <c:pt idx="102">
                  <c:v>86193.297032437709</c:v>
                </c:pt>
                <c:pt idx="103">
                  <c:v>94767.114067663744</c:v>
                </c:pt>
                <c:pt idx="104">
                  <c:v>98175.531449330054</c:v>
                </c:pt>
                <c:pt idx="105">
                  <c:v>95117.211513954026</c:v>
                </c:pt>
                <c:pt idx="106">
                  <c:v>112195.50270777637</c:v>
                </c:pt>
                <c:pt idx="107">
                  <c:v>105257.73941576573</c:v>
                </c:pt>
                <c:pt idx="108">
                  <c:v>112609.90322580645</c:v>
                </c:pt>
                <c:pt idx="109">
                  <c:v>114597.75862068965</c:v>
                </c:pt>
                <c:pt idx="110">
                  <c:v>111857.64516129032</c:v>
                </c:pt>
                <c:pt idx="111">
                  <c:v>106370.76666666666</c:v>
                </c:pt>
                <c:pt idx="112">
                  <c:v>108618.6129032258</c:v>
                </c:pt>
                <c:pt idx="113">
                  <c:v>109172.93333333333</c:v>
                </c:pt>
                <c:pt idx="114">
                  <c:v>108174.35483870968</c:v>
                </c:pt>
                <c:pt idx="115">
                  <c:v>106967.96774193548</c:v>
                </c:pt>
                <c:pt idx="116">
                  <c:v>110428.9</c:v>
                </c:pt>
                <c:pt idx="117">
                  <c:v>105776</c:v>
                </c:pt>
                <c:pt idx="118">
                  <c:v>106953.13333333333</c:v>
                </c:pt>
                <c:pt idx="119">
                  <c:v>101062.58064516129</c:v>
                </c:pt>
              </c:numCache>
            </c:numRef>
          </c:yVal>
          <c:smooth val="0"/>
          <c:extLst>
            <c:ext xmlns:c16="http://schemas.microsoft.com/office/drawing/2014/chart" uri="{C3380CC4-5D6E-409C-BE32-E72D297353CC}">
              <c16:uniqueId val="{00000000-D907-49C4-B36E-14F371B5334F}"/>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1,000-4,999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Weather!$DS$2:$DS$121</c:f>
              <c:numCache>
                <c:formatCode>#,##0</c:formatCode>
                <c:ptCount val="12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yVal>
          <c:smooth val="0"/>
          <c:extLst>
            <c:ext xmlns:c16="http://schemas.microsoft.com/office/drawing/2014/chart" uri="{C3380CC4-5D6E-409C-BE32-E72D297353CC}">
              <c16:uniqueId val="{00000000-2A47-47E8-ABBA-BF9F64AC0AE5}"/>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Weather!$DX$2:$DX$121</c:f>
              <c:numCache>
                <c:formatCode>_(* #,##0_);_(* \(#,##0\);_(* "-"??_);_(@_)</c:formatCode>
                <c:ptCount val="120"/>
                <c:pt idx="0">
                  <c:v>6894957.8328533489</c:v>
                </c:pt>
                <c:pt idx="1">
                  <c:v>6909803.7643912965</c:v>
                </c:pt>
                <c:pt idx="2">
                  <c:v>6867309.5837608995</c:v>
                </c:pt>
                <c:pt idx="3">
                  <c:v>6818345.6355306637</c:v>
                </c:pt>
                <c:pt idx="4">
                  <c:v>7241537.5711178398</c:v>
                </c:pt>
                <c:pt idx="5">
                  <c:v>7472714.7245308757</c:v>
                </c:pt>
                <c:pt idx="6">
                  <c:v>8258403.9575536773</c:v>
                </c:pt>
                <c:pt idx="7">
                  <c:v>7989680.0482220426</c:v>
                </c:pt>
                <c:pt idx="8">
                  <c:v>7753705.9094508458</c:v>
                </c:pt>
                <c:pt idx="9">
                  <c:v>6838548.3159011621</c:v>
                </c:pt>
                <c:pt idx="10">
                  <c:v>6824948.6895892285</c:v>
                </c:pt>
                <c:pt idx="11">
                  <c:v>6832739.0338326525</c:v>
                </c:pt>
                <c:pt idx="12">
                  <c:v>6873885.9478889257</c:v>
                </c:pt>
                <c:pt idx="13">
                  <c:v>6863494.2995277457</c:v>
                </c:pt>
                <c:pt idx="14">
                  <c:v>6846115.4304909706</c:v>
                </c:pt>
                <c:pt idx="15">
                  <c:v>6834823.1657533348</c:v>
                </c:pt>
                <c:pt idx="16">
                  <c:v>7273127.3826822899</c:v>
                </c:pt>
                <c:pt idx="17">
                  <c:v>7841388.0888783857</c:v>
                </c:pt>
                <c:pt idx="18">
                  <c:v>8584994.4917142317</c:v>
                </c:pt>
                <c:pt idx="19">
                  <c:v>8690750.7370912284</c:v>
                </c:pt>
                <c:pt idx="20">
                  <c:v>7651823.2895827238</c:v>
                </c:pt>
                <c:pt idx="21">
                  <c:v>6981462.3638093574</c:v>
                </c:pt>
                <c:pt idx="22">
                  <c:v>6823592.4340258958</c:v>
                </c:pt>
                <c:pt idx="23">
                  <c:v>6863660.5256042937</c:v>
                </c:pt>
                <c:pt idx="24">
                  <c:v>6864272.8995919237</c:v>
                </c:pt>
                <c:pt idx="25">
                  <c:v>6851815.2985650729</c:v>
                </c:pt>
                <c:pt idx="26">
                  <c:v>6860726.0236988235</c:v>
                </c:pt>
                <c:pt idx="27">
                  <c:v>6850529.6144307256</c:v>
                </c:pt>
                <c:pt idx="28">
                  <c:v>7001099.144083146</c:v>
                </c:pt>
                <c:pt idx="29">
                  <c:v>7594924.2382465424</c:v>
                </c:pt>
                <c:pt idx="30">
                  <c:v>8205719.4185303301</c:v>
                </c:pt>
                <c:pt idx="31">
                  <c:v>7900208.1384499734</c:v>
                </c:pt>
                <c:pt idx="32">
                  <c:v>7595624.1315547498</c:v>
                </c:pt>
                <c:pt idx="33">
                  <c:v>7009856.8262063926</c:v>
                </c:pt>
                <c:pt idx="34">
                  <c:v>6834636.3143730462</c:v>
                </c:pt>
                <c:pt idx="35">
                  <c:v>6884322.9306346187</c:v>
                </c:pt>
                <c:pt idx="36">
                  <c:v>6886779.6225191886</c:v>
                </c:pt>
                <c:pt idx="37">
                  <c:v>6859830.8495030403</c:v>
                </c:pt>
                <c:pt idx="38">
                  <c:v>6855130.4653817723</c:v>
                </c:pt>
                <c:pt idx="39">
                  <c:v>6836346.9187318254</c:v>
                </c:pt>
                <c:pt idx="40">
                  <c:v>7366588.1707998589</c:v>
                </c:pt>
                <c:pt idx="41">
                  <c:v>7800788.4179202877</c:v>
                </c:pt>
                <c:pt idx="42">
                  <c:v>8621944.1757614873</c:v>
                </c:pt>
                <c:pt idx="43">
                  <c:v>8592261.3246829715</c:v>
                </c:pt>
                <c:pt idx="44">
                  <c:v>7755035.0321787037</c:v>
                </c:pt>
                <c:pt idx="45">
                  <c:v>6923817.5841850881</c:v>
                </c:pt>
                <c:pt idx="46">
                  <c:v>6845156.1811954752</c:v>
                </c:pt>
                <c:pt idx="47">
                  <c:v>6858176.5042650132</c:v>
                </c:pt>
                <c:pt idx="48">
                  <c:v>6891856.3539912561</c:v>
                </c:pt>
                <c:pt idx="49">
                  <c:v>6870678.0004895665</c:v>
                </c:pt>
                <c:pt idx="50">
                  <c:v>6862760.314254676</c:v>
                </c:pt>
                <c:pt idx="51">
                  <c:v>6821664.3348968057</c:v>
                </c:pt>
                <c:pt idx="52">
                  <c:v>6877533.1568132527</c:v>
                </c:pt>
                <c:pt idx="53">
                  <c:v>7639227.6383217201</c:v>
                </c:pt>
                <c:pt idx="54">
                  <c:v>8644826.7352969944</c:v>
                </c:pt>
                <c:pt idx="55">
                  <c:v>8147852.7937014084</c:v>
                </c:pt>
                <c:pt idx="56">
                  <c:v>7336154.7094021998</c:v>
                </c:pt>
                <c:pt idx="57">
                  <c:v>6854243.8036043514</c:v>
                </c:pt>
                <c:pt idx="58">
                  <c:v>6849680.9845259301</c:v>
                </c:pt>
                <c:pt idx="59">
                  <c:v>6863273.3843524195</c:v>
                </c:pt>
                <c:pt idx="60">
                  <c:v>6865758.8599731876</c:v>
                </c:pt>
                <c:pt idx="61">
                  <c:v>6866376.9907080578</c:v>
                </c:pt>
                <c:pt idx="62">
                  <c:v>6840328.4290415281</c:v>
                </c:pt>
                <c:pt idx="63">
                  <c:v>6823766.9868261302</c:v>
                </c:pt>
                <c:pt idx="64">
                  <c:v>7168112.8883874137</c:v>
                </c:pt>
                <c:pt idx="65">
                  <c:v>7975584.0497014299</c:v>
                </c:pt>
                <c:pt idx="66">
                  <c:v>8997119.2237691097</c:v>
                </c:pt>
                <c:pt idx="67">
                  <c:v>8339841.7626455761</c:v>
                </c:pt>
                <c:pt idx="68">
                  <c:v>7332716.5485911975</c:v>
                </c:pt>
                <c:pt idx="69">
                  <c:v>6836726.3755450835</c:v>
                </c:pt>
                <c:pt idx="70">
                  <c:v>6821773.1186476359</c:v>
                </c:pt>
                <c:pt idx="71">
                  <c:v>6857828.9406504119</c:v>
                </c:pt>
                <c:pt idx="72">
                  <c:v>6870021.7313042339</c:v>
                </c:pt>
                <c:pt idx="73">
                  <c:v>6873121.7396928472</c:v>
                </c:pt>
                <c:pt idx="74">
                  <c:v>6842283.6581828427</c:v>
                </c:pt>
                <c:pt idx="75">
                  <c:v>6841840.862381178</c:v>
                </c:pt>
                <c:pt idx="76">
                  <c:v>7183363.8017423162</c:v>
                </c:pt>
                <c:pt idx="77">
                  <c:v>8087841.8575046612</c:v>
                </c:pt>
                <c:pt idx="78">
                  <c:v>8167896.1485700971</c:v>
                </c:pt>
                <c:pt idx="79">
                  <c:v>8691018.7760122065</c:v>
                </c:pt>
                <c:pt idx="80">
                  <c:v>7470209.9875135096</c:v>
                </c:pt>
                <c:pt idx="81">
                  <c:v>7115429.9061947037</c:v>
                </c:pt>
                <c:pt idx="82">
                  <c:v>6835275.4620299218</c:v>
                </c:pt>
                <c:pt idx="83">
                  <c:v>6849218.2859665342</c:v>
                </c:pt>
                <c:pt idx="84">
                  <c:v>6899724.3882812038</c:v>
                </c:pt>
                <c:pt idx="85">
                  <c:v>6870254.1599740395</c:v>
                </c:pt>
                <c:pt idx="86">
                  <c:v>6851234.5866872622</c:v>
                </c:pt>
                <c:pt idx="87">
                  <c:v>6819779.7197691882</c:v>
                </c:pt>
                <c:pt idx="88">
                  <c:v>7308995.3176613012</c:v>
                </c:pt>
                <c:pt idx="89">
                  <c:v>7653600.966011215</c:v>
                </c:pt>
                <c:pt idx="90">
                  <c:v>8375031.8970041983</c:v>
                </c:pt>
                <c:pt idx="91">
                  <c:v>8420984.4541780129</c:v>
                </c:pt>
                <c:pt idx="92">
                  <c:v>7463034.2312223688</c:v>
                </c:pt>
                <c:pt idx="93">
                  <c:v>6822899.4659114191</c:v>
                </c:pt>
                <c:pt idx="94">
                  <c:v>6846956.3314034557</c:v>
                </c:pt>
                <c:pt idx="95">
                  <c:v>6858211.7643418564</c:v>
                </c:pt>
                <c:pt idx="96">
                  <c:v>6861484.4751476627</c:v>
                </c:pt>
                <c:pt idx="97">
                  <c:v>6859301.9483503867</c:v>
                </c:pt>
                <c:pt idx="98">
                  <c:v>6852324.7706957925</c:v>
                </c:pt>
                <c:pt idx="99">
                  <c:v>6897919.2001187196</c:v>
                </c:pt>
                <c:pt idx="100">
                  <c:v>7062692.6453799829</c:v>
                </c:pt>
                <c:pt idx="101">
                  <c:v>7829571.46609117</c:v>
                </c:pt>
                <c:pt idx="102">
                  <c:v>8388819.7836606503</c:v>
                </c:pt>
                <c:pt idx="103">
                  <c:v>7974407.0092223538</c:v>
                </c:pt>
                <c:pt idx="104">
                  <c:v>7542293.307007391</c:v>
                </c:pt>
                <c:pt idx="105">
                  <c:v>7053660.6574563766</c:v>
                </c:pt>
                <c:pt idx="106">
                  <c:v>6836014.7168720877</c:v>
                </c:pt>
                <c:pt idx="107">
                  <c:v>6841728.7578076003</c:v>
                </c:pt>
                <c:pt idx="108">
                  <c:v>6867170.7022337401</c:v>
                </c:pt>
                <c:pt idx="109">
                  <c:v>6853004.066870085</c:v>
                </c:pt>
                <c:pt idx="110">
                  <c:v>6836622.5230059298</c:v>
                </c:pt>
                <c:pt idx="111">
                  <c:v>6811851.599429925</c:v>
                </c:pt>
                <c:pt idx="112">
                  <c:v>7223593.1692017801</c:v>
                </c:pt>
                <c:pt idx="113">
                  <c:v>7837225.4663902102</c:v>
                </c:pt>
                <c:pt idx="114">
                  <c:v>8512892.0219711456</c:v>
                </c:pt>
                <c:pt idx="115">
                  <c:v>8225018.2208407475</c:v>
                </c:pt>
                <c:pt idx="116">
                  <c:v>7603138.1420694022</c:v>
                </c:pt>
                <c:pt idx="117">
                  <c:v>6889570.1738393903</c:v>
                </c:pt>
                <c:pt idx="118">
                  <c:v>6862439.2025452107</c:v>
                </c:pt>
                <c:pt idx="119">
                  <c:v>6860535.331446507</c:v>
                </c:pt>
              </c:numCache>
            </c:numRef>
          </c:yVal>
          <c:smooth val="0"/>
          <c:extLst>
            <c:ext xmlns:c16="http://schemas.microsoft.com/office/drawing/2014/chart" uri="{C3380CC4-5D6E-409C-BE32-E72D297353CC}">
              <c16:uniqueId val="{00000001-2A47-47E8-ABBA-BF9F64AC0AE5}"/>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6" Type="http://schemas.openxmlformats.org/officeDocument/2006/relationships/chart" Target="../charts/chart40.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chart" Target="../charts/chart50.xml"/><Relationship Id="rId4" Type="http://schemas.openxmlformats.org/officeDocument/2006/relationships/chart" Target="../charts/chart4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154</xdr:col>
      <xdr:colOff>237172</xdr:colOff>
      <xdr:row>1</xdr:row>
      <xdr:rowOff>97155</xdr:rowOff>
    </xdr:from>
    <xdr:to>
      <xdr:col>162</xdr:col>
      <xdr:colOff>597217</xdr:colOff>
      <xdr:row>18</xdr:row>
      <xdr:rowOff>95250</xdr:rowOff>
    </xdr:to>
    <xdr:graphicFrame macro="">
      <xdr:nvGraphicFramePr>
        <xdr:cNvPr id="8" name="Chart 7">
          <a:extLst>
            <a:ext uri="{FF2B5EF4-FFF2-40B4-BE49-F238E27FC236}">
              <a16:creationId xmlns:a16="http://schemas.microsoft.com/office/drawing/2014/main" id="{6182FF06-B730-40FE-A759-8412C6931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154</xdr:col>
      <xdr:colOff>316230</xdr:colOff>
      <xdr:row>19</xdr:row>
      <xdr:rowOff>68580</xdr:rowOff>
    </xdr:from>
    <xdr:to>
      <xdr:col>162</xdr:col>
      <xdr:colOff>501015</xdr:colOff>
      <xdr:row>36</xdr:row>
      <xdr:rowOff>57150</xdr:rowOff>
    </xdr:to>
    <xdr:graphicFrame macro="">
      <xdr:nvGraphicFramePr>
        <xdr:cNvPr id="9" name="Chart 8">
          <a:extLst>
            <a:ext uri="{FF2B5EF4-FFF2-40B4-BE49-F238E27FC236}">
              <a16:creationId xmlns:a16="http://schemas.microsoft.com/office/drawing/2014/main" id="{3C43F0D0-B4ED-499A-896E-B8C006B4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154</xdr:col>
      <xdr:colOff>344805</xdr:colOff>
      <xdr:row>39</xdr:row>
      <xdr:rowOff>91440</xdr:rowOff>
    </xdr:from>
    <xdr:to>
      <xdr:col>162</xdr:col>
      <xdr:colOff>986790</xdr:colOff>
      <xdr:row>56</xdr:row>
      <xdr:rowOff>91440</xdr:rowOff>
    </xdr:to>
    <xdr:graphicFrame macro="">
      <xdr:nvGraphicFramePr>
        <xdr:cNvPr id="10" name="Chart 9">
          <a:extLst>
            <a:ext uri="{FF2B5EF4-FFF2-40B4-BE49-F238E27FC236}">
              <a16:creationId xmlns:a16="http://schemas.microsoft.com/office/drawing/2014/main" id="{DB8B8257-E742-406A-B896-CC5DEDF51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129</xdr:col>
      <xdr:colOff>188595</xdr:colOff>
      <xdr:row>3</xdr:row>
      <xdr:rowOff>19050</xdr:rowOff>
    </xdr:from>
    <xdr:to>
      <xdr:col>139</xdr:col>
      <xdr:colOff>446088</xdr:colOff>
      <xdr:row>22</xdr:row>
      <xdr:rowOff>1588</xdr:rowOff>
    </xdr:to>
    <xdr:graphicFrame macro="">
      <xdr:nvGraphicFramePr>
        <xdr:cNvPr id="3" name="Chart 2">
          <a:extLst>
            <a:ext uri="{FF2B5EF4-FFF2-40B4-BE49-F238E27FC236}">
              <a16:creationId xmlns:a16="http://schemas.microsoft.com/office/drawing/2014/main" id="{FE6A5DF1-FCD2-4801-A04B-106D0AC40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129</xdr:col>
      <xdr:colOff>198438</xdr:colOff>
      <xdr:row>22</xdr:row>
      <xdr:rowOff>103188</xdr:rowOff>
    </xdr:from>
    <xdr:to>
      <xdr:col>139</xdr:col>
      <xdr:colOff>449263</xdr:colOff>
      <xdr:row>40</xdr:row>
      <xdr:rowOff>159703</xdr:rowOff>
    </xdr:to>
    <xdr:graphicFrame macro="">
      <xdr:nvGraphicFramePr>
        <xdr:cNvPr id="4" name="Chart 3">
          <a:extLst>
            <a:ext uri="{FF2B5EF4-FFF2-40B4-BE49-F238E27FC236}">
              <a16:creationId xmlns:a16="http://schemas.microsoft.com/office/drawing/2014/main" id="{45E5D7D2-22EC-469C-976A-68FB4A7E4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213359</xdr:colOff>
      <xdr:row>41</xdr:row>
      <xdr:rowOff>75249</xdr:rowOff>
    </xdr:from>
    <xdr:to>
      <xdr:col>139</xdr:col>
      <xdr:colOff>438150</xdr:colOff>
      <xdr:row>59</xdr:row>
      <xdr:rowOff>135574</xdr:rowOff>
    </xdr:to>
    <xdr:graphicFrame macro="">
      <xdr:nvGraphicFramePr>
        <xdr:cNvPr id="11" name="Chart 10">
          <a:extLst>
            <a:ext uri="{FF2B5EF4-FFF2-40B4-BE49-F238E27FC236}">
              <a16:creationId xmlns:a16="http://schemas.microsoft.com/office/drawing/2014/main" id="{77EAD0FA-8407-4128-88F0-4F38EE3EB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154</xdr:col>
      <xdr:colOff>571500</xdr:colOff>
      <xdr:row>57</xdr:row>
      <xdr:rowOff>0</xdr:rowOff>
    </xdr:from>
    <xdr:to>
      <xdr:col>163</xdr:col>
      <xdr:colOff>220980</xdr:colOff>
      <xdr:row>74</xdr:row>
      <xdr:rowOff>0</xdr:rowOff>
    </xdr:to>
    <xdr:graphicFrame macro="">
      <xdr:nvGraphicFramePr>
        <xdr:cNvPr id="2" name="Chart 1">
          <a:extLst>
            <a:ext uri="{FF2B5EF4-FFF2-40B4-BE49-F238E27FC236}">
              <a16:creationId xmlns:a16="http://schemas.microsoft.com/office/drawing/2014/main" id="{E61CC5E2-1555-49C6-8A6D-DE78CFB3F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154</xdr:col>
      <xdr:colOff>600075</xdr:colOff>
      <xdr:row>74</xdr:row>
      <xdr:rowOff>123825</xdr:rowOff>
    </xdr:from>
    <xdr:to>
      <xdr:col>163</xdr:col>
      <xdr:colOff>245745</xdr:colOff>
      <xdr:row>91</xdr:row>
      <xdr:rowOff>123825</xdr:rowOff>
    </xdr:to>
    <xdr:graphicFrame macro="">
      <xdr:nvGraphicFramePr>
        <xdr:cNvPr id="5" name="Chart 4">
          <a:extLst>
            <a:ext uri="{FF2B5EF4-FFF2-40B4-BE49-F238E27FC236}">
              <a16:creationId xmlns:a16="http://schemas.microsoft.com/office/drawing/2014/main" id="{325C59EE-5B2F-450D-87C5-FE363D8EF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129</xdr:col>
      <xdr:colOff>190500</xdr:colOff>
      <xdr:row>60</xdr:row>
      <xdr:rowOff>38100</xdr:rowOff>
    </xdr:from>
    <xdr:to>
      <xdr:col>139</xdr:col>
      <xdr:colOff>415291</xdr:colOff>
      <xdr:row>78</xdr:row>
      <xdr:rowOff>98425</xdr:rowOff>
    </xdr:to>
    <xdr:graphicFrame macro="">
      <xdr:nvGraphicFramePr>
        <xdr:cNvPr id="6" name="Chart 5">
          <a:extLst>
            <a:ext uri="{FF2B5EF4-FFF2-40B4-BE49-F238E27FC236}">
              <a16:creationId xmlns:a16="http://schemas.microsoft.com/office/drawing/2014/main" id="{FC3F199C-565E-499C-9549-0E0D094D3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129</xdr:col>
      <xdr:colOff>247650</xdr:colOff>
      <xdr:row>79</xdr:row>
      <xdr:rowOff>47625</xdr:rowOff>
    </xdr:from>
    <xdr:to>
      <xdr:col>139</xdr:col>
      <xdr:colOff>472441</xdr:colOff>
      <xdr:row>97</xdr:row>
      <xdr:rowOff>107950</xdr:rowOff>
    </xdr:to>
    <xdr:graphicFrame macro="">
      <xdr:nvGraphicFramePr>
        <xdr:cNvPr id="12" name="Chart 11">
          <a:extLst>
            <a:ext uri="{FF2B5EF4-FFF2-40B4-BE49-F238E27FC236}">
              <a16:creationId xmlns:a16="http://schemas.microsoft.com/office/drawing/2014/main" id="{2A7C7B2B-BE5A-4E4E-ADD9-16D87ECBC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216216</xdr:colOff>
      <xdr:row>2</xdr:row>
      <xdr:rowOff>59055</xdr:rowOff>
    </xdr:from>
    <xdr:to>
      <xdr:col>30</xdr:col>
      <xdr:colOff>403859</xdr:colOff>
      <xdr:row>27</xdr:row>
      <xdr:rowOff>64770</xdr:rowOff>
    </xdr:to>
    <xdr:graphicFrame macro="">
      <xdr:nvGraphicFramePr>
        <xdr:cNvPr id="2" name="Chart 1">
          <a:extLst>
            <a:ext uri="{FF2B5EF4-FFF2-40B4-BE49-F238E27FC236}">
              <a16:creationId xmlns:a16="http://schemas.microsoft.com/office/drawing/2014/main" id="{84B3CE61-437C-44EB-9BA7-86F666E60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216216</xdr:colOff>
      <xdr:row>2</xdr:row>
      <xdr:rowOff>59055</xdr:rowOff>
    </xdr:from>
    <xdr:to>
      <xdr:col>28</xdr:col>
      <xdr:colOff>403859</xdr:colOff>
      <xdr:row>27</xdr:row>
      <xdr:rowOff>64770</xdr:rowOff>
    </xdr:to>
    <xdr:graphicFrame macro="">
      <xdr:nvGraphicFramePr>
        <xdr:cNvPr id="2" name="Chart 1">
          <a:extLst>
            <a:ext uri="{FF2B5EF4-FFF2-40B4-BE49-F238E27FC236}">
              <a16:creationId xmlns:a16="http://schemas.microsoft.com/office/drawing/2014/main" id="{D3F57ADD-1724-43BE-9F2C-CF810510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216216</xdr:colOff>
      <xdr:row>2</xdr:row>
      <xdr:rowOff>59055</xdr:rowOff>
    </xdr:from>
    <xdr:to>
      <xdr:col>34</xdr:col>
      <xdr:colOff>403859</xdr:colOff>
      <xdr:row>27</xdr:row>
      <xdr:rowOff>64770</xdr:rowOff>
    </xdr:to>
    <xdr:graphicFrame macro="">
      <xdr:nvGraphicFramePr>
        <xdr:cNvPr id="2" name="Chart 1">
          <a:extLst>
            <a:ext uri="{FF2B5EF4-FFF2-40B4-BE49-F238E27FC236}">
              <a16:creationId xmlns:a16="http://schemas.microsoft.com/office/drawing/2014/main" id="{1D7DF81F-91EE-4158-B2B1-5FA72BE8C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122236</xdr:colOff>
      <xdr:row>17</xdr:row>
      <xdr:rowOff>104774</xdr:rowOff>
    </xdr:from>
    <xdr:to>
      <xdr:col>10</xdr:col>
      <xdr:colOff>781050</xdr:colOff>
      <xdr:row>39</xdr:row>
      <xdr:rowOff>31749</xdr:rowOff>
    </xdr:to>
    <xdr:graphicFrame macro="">
      <xdr:nvGraphicFramePr>
        <xdr:cNvPr id="2" name="Chart 1">
          <a:extLst>
            <a:ext uri="{FF2B5EF4-FFF2-40B4-BE49-F238E27FC236}">
              <a16:creationId xmlns:a16="http://schemas.microsoft.com/office/drawing/2014/main" id="{77EC5470-2573-4812-8C56-A375D48556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17</xdr:row>
      <xdr:rowOff>63500</xdr:rowOff>
    </xdr:from>
    <xdr:to>
      <xdr:col>22</xdr:col>
      <xdr:colOff>196850</xdr:colOff>
      <xdr:row>38</xdr:row>
      <xdr:rowOff>142875</xdr:rowOff>
    </xdr:to>
    <xdr:graphicFrame macro="">
      <xdr:nvGraphicFramePr>
        <xdr:cNvPr id="3" name="Chart 2">
          <a:extLst>
            <a:ext uri="{FF2B5EF4-FFF2-40B4-BE49-F238E27FC236}">
              <a16:creationId xmlns:a16="http://schemas.microsoft.com/office/drawing/2014/main" id="{B207334A-4535-49F6-B963-9DF4E61F9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126046</xdr:colOff>
      <xdr:row>17</xdr:row>
      <xdr:rowOff>99059</xdr:rowOff>
    </xdr:from>
    <xdr:to>
      <xdr:col>32</xdr:col>
      <xdr:colOff>1000126</xdr:colOff>
      <xdr:row>37</xdr:row>
      <xdr:rowOff>133349</xdr:rowOff>
    </xdr:to>
    <xdr:graphicFrame macro="">
      <xdr:nvGraphicFramePr>
        <xdr:cNvPr id="4" name="Chart 3">
          <a:extLst>
            <a:ext uri="{FF2B5EF4-FFF2-40B4-BE49-F238E27FC236}">
              <a16:creationId xmlns:a16="http://schemas.microsoft.com/office/drawing/2014/main" id="{C179CB86-EF05-4293-9BF9-C3CE5E30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173990</xdr:colOff>
      <xdr:row>17</xdr:row>
      <xdr:rowOff>76200</xdr:rowOff>
    </xdr:from>
    <xdr:to>
      <xdr:col>61</xdr:col>
      <xdr:colOff>495300</xdr:colOff>
      <xdr:row>35</xdr:row>
      <xdr:rowOff>38100</xdr:rowOff>
    </xdr:to>
    <xdr:graphicFrame macro="">
      <xdr:nvGraphicFramePr>
        <xdr:cNvPr id="5" name="Chart 4">
          <a:extLst>
            <a:ext uri="{FF2B5EF4-FFF2-40B4-BE49-F238E27FC236}">
              <a16:creationId xmlns:a16="http://schemas.microsoft.com/office/drawing/2014/main" id="{C1D7B650-B93B-4A6B-BC1A-C8DC8DAAC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130808</xdr:colOff>
      <xdr:row>36</xdr:row>
      <xdr:rowOff>91440</xdr:rowOff>
    </xdr:from>
    <xdr:to>
      <xdr:col>61</xdr:col>
      <xdr:colOff>466725</xdr:colOff>
      <xdr:row>51</xdr:row>
      <xdr:rowOff>11430</xdr:rowOff>
    </xdr:to>
    <xdr:graphicFrame macro="">
      <xdr:nvGraphicFramePr>
        <xdr:cNvPr id="6" name="Chart 5">
          <a:extLst>
            <a:ext uri="{FF2B5EF4-FFF2-40B4-BE49-F238E27FC236}">
              <a16:creationId xmlns:a16="http://schemas.microsoft.com/office/drawing/2014/main" id="{AD65ED44-DEA9-4369-A6E4-F18A7F77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69</xdr:col>
      <xdr:colOff>76200</xdr:colOff>
      <xdr:row>16</xdr:row>
      <xdr:rowOff>120650</xdr:rowOff>
    </xdr:from>
    <xdr:to>
      <xdr:col>76</xdr:col>
      <xdr:colOff>301625</xdr:colOff>
      <xdr:row>34</xdr:row>
      <xdr:rowOff>149225</xdr:rowOff>
    </xdr:to>
    <xdr:graphicFrame macro="">
      <xdr:nvGraphicFramePr>
        <xdr:cNvPr id="7" name="Chart 6">
          <a:extLst>
            <a:ext uri="{FF2B5EF4-FFF2-40B4-BE49-F238E27FC236}">
              <a16:creationId xmlns:a16="http://schemas.microsoft.com/office/drawing/2014/main" id="{44E4D4AA-714F-4FCE-BEC7-D02D6565B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69</xdr:col>
      <xdr:colOff>139700</xdr:colOff>
      <xdr:row>36</xdr:row>
      <xdr:rowOff>66675</xdr:rowOff>
    </xdr:from>
    <xdr:to>
      <xdr:col>76</xdr:col>
      <xdr:colOff>438150</xdr:colOff>
      <xdr:row>51</xdr:row>
      <xdr:rowOff>66675</xdr:rowOff>
    </xdr:to>
    <xdr:graphicFrame macro="">
      <xdr:nvGraphicFramePr>
        <xdr:cNvPr id="8" name="Chart 7">
          <a:extLst>
            <a:ext uri="{FF2B5EF4-FFF2-40B4-BE49-F238E27FC236}">
              <a16:creationId xmlns:a16="http://schemas.microsoft.com/office/drawing/2014/main" id="{E7106142-F296-4EFA-ACBE-ABB7D55E1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122236</xdr:colOff>
      <xdr:row>59</xdr:row>
      <xdr:rowOff>104774</xdr:rowOff>
    </xdr:from>
    <xdr:to>
      <xdr:col>10</xdr:col>
      <xdr:colOff>781050</xdr:colOff>
      <xdr:row>81</xdr:row>
      <xdr:rowOff>31749</xdr:rowOff>
    </xdr:to>
    <xdr:graphicFrame macro="">
      <xdr:nvGraphicFramePr>
        <xdr:cNvPr id="9" name="Chart 8">
          <a:extLst>
            <a:ext uri="{FF2B5EF4-FFF2-40B4-BE49-F238E27FC236}">
              <a16:creationId xmlns:a16="http://schemas.microsoft.com/office/drawing/2014/main" id="{39ACA521-3A13-442F-BB11-8D015FE5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228600</xdr:colOff>
      <xdr:row>59</xdr:row>
      <xdr:rowOff>63500</xdr:rowOff>
    </xdr:from>
    <xdr:to>
      <xdr:col>22</xdr:col>
      <xdr:colOff>196850</xdr:colOff>
      <xdr:row>80</xdr:row>
      <xdr:rowOff>142875</xdr:rowOff>
    </xdr:to>
    <xdr:graphicFrame macro="">
      <xdr:nvGraphicFramePr>
        <xdr:cNvPr id="10" name="Chart 9">
          <a:extLst>
            <a:ext uri="{FF2B5EF4-FFF2-40B4-BE49-F238E27FC236}">
              <a16:creationId xmlns:a16="http://schemas.microsoft.com/office/drawing/2014/main" id="{18F3309F-B253-4BF7-AF29-430166367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126046</xdr:colOff>
      <xdr:row>59</xdr:row>
      <xdr:rowOff>99059</xdr:rowOff>
    </xdr:from>
    <xdr:to>
      <xdr:col>32</xdr:col>
      <xdr:colOff>942976</xdr:colOff>
      <xdr:row>79</xdr:row>
      <xdr:rowOff>133349</xdr:rowOff>
    </xdr:to>
    <xdr:graphicFrame macro="">
      <xdr:nvGraphicFramePr>
        <xdr:cNvPr id="11" name="Chart 10">
          <a:extLst>
            <a:ext uri="{FF2B5EF4-FFF2-40B4-BE49-F238E27FC236}">
              <a16:creationId xmlns:a16="http://schemas.microsoft.com/office/drawing/2014/main" id="{6E27C60D-1488-456F-A928-ABF86B42A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61</xdr:col>
      <xdr:colOff>568962</xdr:colOff>
      <xdr:row>17</xdr:row>
      <xdr:rowOff>19050</xdr:rowOff>
    </xdr:from>
    <xdr:to>
      <xdr:col>68</xdr:col>
      <xdr:colOff>581025</xdr:colOff>
      <xdr:row>34</xdr:row>
      <xdr:rowOff>135255</xdr:rowOff>
    </xdr:to>
    <xdr:graphicFrame macro="">
      <xdr:nvGraphicFramePr>
        <xdr:cNvPr id="12" name="Chart 11">
          <a:extLst>
            <a:ext uri="{FF2B5EF4-FFF2-40B4-BE49-F238E27FC236}">
              <a16:creationId xmlns:a16="http://schemas.microsoft.com/office/drawing/2014/main" id="{BA5889AE-42A0-4123-A57E-68E4A8A3C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61</xdr:col>
      <xdr:colOff>533401</xdr:colOff>
      <xdr:row>36</xdr:row>
      <xdr:rowOff>20955</xdr:rowOff>
    </xdr:from>
    <xdr:to>
      <xdr:col>68</xdr:col>
      <xdr:colOff>564345</xdr:colOff>
      <xdr:row>50</xdr:row>
      <xdr:rowOff>125730</xdr:rowOff>
    </xdr:to>
    <xdr:graphicFrame macro="">
      <xdr:nvGraphicFramePr>
        <xdr:cNvPr id="13" name="Chart 12">
          <a:extLst>
            <a:ext uri="{FF2B5EF4-FFF2-40B4-BE49-F238E27FC236}">
              <a16:creationId xmlns:a16="http://schemas.microsoft.com/office/drawing/2014/main" id="{70B63CF2-F1AD-4CEC-8F2C-A701F389D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228599</xdr:colOff>
      <xdr:row>18</xdr:row>
      <xdr:rowOff>0</xdr:rowOff>
    </xdr:from>
    <xdr:to>
      <xdr:col>43</xdr:col>
      <xdr:colOff>657224</xdr:colOff>
      <xdr:row>38</xdr:row>
      <xdr:rowOff>45720</xdr:rowOff>
    </xdr:to>
    <xdr:graphicFrame macro="">
      <xdr:nvGraphicFramePr>
        <xdr:cNvPr id="14" name="Chart 13">
          <a:extLst>
            <a:ext uri="{FF2B5EF4-FFF2-40B4-BE49-F238E27FC236}">
              <a16:creationId xmlns:a16="http://schemas.microsoft.com/office/drawing/2014/main" id="{4538D8D5-880A-48D1-B9AD-C5E6FB859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45</xdr:col>
      <xdr:colOff>0</xdr:colOff>
      <xdr:row>18</xdr:row>
      <xdr:rowOff>0</xdr:rowOff>
    </xdr:from>
    <xdr:to>
      <xdr:col>54</xdr:col>
      <xdr:colOff>276225</xdr:colOff>
      <xdr:row>38</xdr:row>
      <xdr:rowOff>49530</xdr:rowOff>
    </xdr:to>
    <xdr:graphicFrame macro="">
      <xdr:nvGraphicFramePr>
        <xdr:cNvPr id="15" name="Chart 14">
          <a:extLst>
            <a:ext uri="{FF2B5EF4-FFF2-40B4-BE49-F238E27FC236}">
              <a16:creationId xmlns:a16="http://schemas.microsoft.com/office/drawing/2014/main" id="{9D696EA3-10D0-48AB-95D5-264E41C2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228599</xdr:colOff>
      <xdr:row>60</xdr:row>
      <xdr:rowOff>0</xdr:rowOff>
    </xdr:from>
    <xdr:to>
      <xdr:col>43</xdr:col>
      <xdr:colOff>657224</xdr:colOff>
      <xdr:row>80</xdr:row>
      <xdr:rowOff>45720</xdr:rowOff>
    </xdr:to>
    <xdr:graphicFrame macro="">
      <xdr:nvGraphicFramePr>
        <xdr:cNvPr id="16" name="Chart 15">
          <a:extLst>
            <a:ext uri="{FF2B5EF4-FFF2-40B4-BE49-F238E27FC236}">
              <a16:creationId xmlns:a16="http://schemas.microsoft.com/office/drawing/2014/main" id="{78B6D602-8C88-4D0D-9AF2-F294DB6A7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45</xdr:col>
      <xdr:colOff>0</xdr:colOff>
      <xdr:row>60</xdr:row>
      <xdr:rowOff>0</xdr:rowOff>
    </xdr:from>
    <xdr:to>
      <xdr:col>54</xdr:col>
      <xdr:colOff>276225</xdr:colOff>
      <xdr:row>80</xdr:row>
      <xdr:rowOff>49530</xdr:rowOff>
    </xdr:to>
    <xdr:graphicFrame macro="">
      <xdr:nvGraphicFramePr>
        <xdr:cNvPr id="17" name="Chart 16">
          <a:extLst>
            <a:ext uri="{FF2B5EF4-FFF2-40B4-BE49-F238E27FC236}">
              <a16:creationId xmlns:a16="http://schemas.microsoft.com/office/drawing/2014/main" id="{B0A5E5D3-C999-435C-A9D6-70508B3FFF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145732</xdr:colOff>
      <xdr:row>28</xdr:row>
      <xdr:rowOff>132397</xdr:rowOff>
    </xdr:from>
    <xdr:to>
      <xdr:col>8</xdr:col>
      <xdr:colOff>200025</xdr:colOff>
      <xdr:row>45</xdr:row>
      <xdr:rowOff>120967</xdr:rowOff>
    </xdr:to>
    <xdr:graphicFrame macro="">
      <xdr:nvGraphicFramePr>
        <xdr:cNvPr id="2" name="Chart 1">
          <a:extLst>
            <a:ext uri="{FF2B5EF4-FFF2-40B4-BE49-F238E27FC236}">
              <a16:creationId xmlns:a16="http://schemas.microsoft.com/office/drawing/2014/main" id="{45864834-8FA9-40BB-B627-5873514A76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78105</xdr:colOff>
      <xdr:row>28</xdr:row>
      <xdr:rowOff>114300</xdr:rowOff>
    </xdr:from>
    <xdr:to>
      <xdr:col>34</xdr:col>
      <xdr:colOff>68580</xdr:colOff>
      <xdr:row>45</xdr:row>
      <xdr:rowOff>102870</xdr:rowOff>
    </xdr:to>
    <xdr:graphicFrame macro="">
      <xdr:nvGraphicFramePr>
        <xdr:cNvPr id="3" name="Chart 2">
          <a:extLst>
            <a:ext uri="{FF2B5EF4-FFF2-40B4-BE49-F238E27FC236}">
              <a16:creationId xmlns:a16="http://schemas.microsoft.com/office/drawing/2014/main" id="{FC1B1688-285F-41BE-B46D-6BD238C8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28</xdr:row>
      <xdr:rowOff>115252</xdr:rowOff>
    </xdr:from>
    <xdr:to>
      <xdr:col>16</xdr:col>
      <xdr:colOff>524827</xdr:colOff>
      <xdr:row>45</xdr:row>
      <xdr:rowOff>101917</xdr:rowOff>
    </xdr:to>
    <xdr:graphicFrame macro="">
      <xdr:nvGraphicFramePr>
        <xdr:cNvPr id="4" name="Chart 3">
          <a:extLst>
            <a:ext uri="{FF2B5EF4-FFF2-40B4-BE49-F238E27FC236}">
              <a16:creationId xmlns:a16="http://schemas.microsoft.com/office/drawing/2014/main" id="{3FA3F9A5-915E-4227-BB86-631710F35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28</xdr:row>
      <xdr:rowOff>115252</xdr:rowOff>
    </xdr:from>
    <xdr:to>
      <xdr:col>25</xdr:col>
      <xdr:colOff>524827</xdr:colOff>
      <xdr:row>45</xdr:row>
      <xdr:rowOff>101917</xdr:rowOff>
    </xdr:to>
    <xdr:graphicFrame macro="">
      <xdr:nvGraphicFramePr>
        <xdr:cNvPr id="5" name="Chart 4">
          <a:extLst>
            <a:ext uri="{FF2B5EF4-FFF2-40B4-BE49-F238E27FC236}">
              <a16:creationId xmlns:a16="http://schemas.microsoft.com/office/drawing/2014/main" id="{424CE820-E560-49F0-8F97-9F855931A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78105</xdr:colOff>
      <xdr:row>28</xdr:row>
      <xdr:rowOff>114300</xdr:rowOff>
    </xdr:from>
    <xdr:to>
      <xdr:col>43</xdr:col>
      <xdr:colOff>68580</xdr:colOff>
      <xdr:row>45</xdr:row>
      <xdr:rowOff>102870</xdr:rowOff>
    </xdr:to>
    <xdr:graphicFrame macro="">
      <xdr:nvGraphicFramePr>
        <xdr:cNvPr id="6" name="Chart 5">
          <a:extLst>
            <a:ext uri="{FF2B5EF4-FFF2-40B4-BE49-F238E27FC236}">
              <a16:creationId xmlns:a16="http://schemas.microsoft.com/office/drawing/2014/main" id="{914BF6EE-19EC-4F7F-8F1B-0156B7EEC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147637</xdr:colOff>
      <xdr:row>37</xdr:row>
      <xdr:rowOff>128587</xdr:rowOff>
    </xdr:from>
    <xdr:to>
      <xdr:col>8</xdr:col>
      <xdr:colOff>395287</xdr:colOff>
      <xdr:row>54</xdr:row>
      <xdr:rowOff>119062</xdr:rowOff>
    </xdr:to>
    <xdr:graphicFrame macro="">
      <xdr:nvGraphicFramePr>
        <xdr:cNvPr id="2" name="Chart 1">
          <a:extLst>
            <a:ext uri="{FF2B5EF4-FFF2-40B4-BE49-F238E27FC236}">
              <a16:creationId xmlns:a16="http://schemas.microsoft.com/office/drawing/2014/main" id="{1AD5ACD0-B008-4FED-9485-281759ECE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238125</xdr:colOff>
      <xdr:row>37</xdr:row>
      <xdr:rowOff>114300</xdr:rowOff>
    </xdr:from>
    <xdr:to>
      <xdr:col>33</xdr:col>
      <xdr:colOff>352425</xdr:colOff>
      <xdr:row>54</xdr:row>
      <xdr:rowOff>104775</xdr:rowOff>
    </xdr:to>
    <xdr:graphicFrame macro="">
      <xdr:nvGraphicFramePr>
        <xdr:cNvPr id="3" name="Chart 2">
          <a:extLst>
            <a:ext uri="{FF2B5EF4-FFF2-40B4-BE49-F238E27FC236}">
              <a16:creationId xmlns:a16="http://schemas.microsoft.com/office/drawing/2014/main" id="{28E99C93-317F-43A6-BFF7-D169D5ED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36</xdr:row>
      <xdr:rowOff>115252</xdr:rowOff>
    </xdr:from>
    <xdr:to>
      <xdr:col>16</xdr:col>
      <xdr:colOff>524827</xdr:colOff>
      <xdr:row>53</xdr:row>
      <xdr:rowOff>101917</xdr:rowOff>
    </xdr:to>
    <xdr:graphicFrame macro="">
      <xdr:nvGraphicFramePr>
        <xdr:cNvPr id="4" name="Chart 3">
          <a:extLst>
            <a:ext uri="{FF2B5EF4-FFF2-40B4-BE49-F238E27FC236}">
              <a16:creationId xmlns:a16="http://schemas.microsoft.com/office/drawing/2014/main" id="{94B97E84-F9F6-4D1C-9E2B-C1A373FEB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36</xdr:row>
      <xdr:rowOff>115252</xdr:rowOff>
    </xdr:from>
    <xdr:to>
      <xdr:col>25</xdr:col>
      <xdr:colOff>524827</xdr:colOff>
      <xdr:row>53</xdr:row>
      <xdr:rowOff>101917</xdr:rowOff>
    </xdr:to>
    <xdr:graphicFrame macro="">
      <xdr:nvGraphicFramePr>
        <xdr:cNvPr id="5" name="Chart 4">
          <a:extLst>
            <a:ext uri="{FF2B5EF4-FFF2-40B4-BE49-F238E27FC236}">
              <a16:creationId xmlns:a16="http://schemas.microsoft.com/office/drawing/2014/main" id="{2164BF53-AD07-4CD4-B543-2DBED7835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78105</xdr:colOff>
      <xdr:row>36</xdr:row>
      <xdr:rowOff>114300</xdr:rowOff>
    </xdr:from>
    <xdr:to>
      <xdr:col>42</xdr:col>
      <xdr:colOff>68580</xdr:colOff>
      <xdr:row>53</xdr:row>
      <xdr:rowOff>102870</xdr:rowOff>
    </xdr:to>
    <xdr:graphicFrame macro="">
      <xdr:nvGraphicFramePr>
        <xdr:cNvPr id="7" name="Chart 6">
          <a:extLst>
            <a:ext uri="{FF2B5EF4-FFF2-40B4-BE49-F238E27FC236}">
              <a16:creationId xmlns:a16="http://schemas.microsoft.com/office/drawing/2014/main" id="{210AE183-ECB2-4635-B7BF-7F9EEF336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24</xdr:col>
      <xdr:colOff>296861</xdr:colOff>
      <xdr:row>1</xdr:row>
      <xdr:rowOff>158750</xdr:rowOff>
    </xdr:from>
    <xdr:to>
      <xdr:col>34</xdr:col>
      <xdr:colOff>238124</xdr:colOff>
      <xdr:row>26</xdr:row>
      <xdr:rowOff>66675</xdr:rowOff>
    </xdr:to>
    <xdr:graphicFrame macro="">
      <xdr:nvGraphicFramePr>
        <xdr:cNvPr id="2" name="Chart 1">
          <a:extLst>
            <a:ext uri="{FF2B5EF4-FFF2-40B4-BE49-F238E27FC236}">
              <a16:creationId xmlns:a16="http://schemas.microsoft.com/office/drawing/2014/main" id="{F22CAA7B-3B25-ECDC-622A-B2CE23FA9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555306</xdr:colOff>
      <xdr:row>3</xdr:row>
      <xdr:rowOff>125730</xdr:rowOff>
    </xdr:from>
    <xdr:to>
      <xdr:col>32</xdr:col>
      <xdr:colOff>382904</xdr:colOff>
      <xdr:row>28</xdr:row>
      <xdr:rowOff>129540</xdr:rowOff>
    </xdr:to>
    <xdr:graphicFrame macro="">
      <xdr:nvGraphicFramePr>
        <xdr:cNvPr id="2" name="Chart 1">
          <a:extLst>
            <a:ext uri="{FF2B5EF4-FFF2-40B4-BE49-F238E27FC236}">
              <a16:creationId xmlns:a16="http://schemas.microsoft.com/office/drawing/2014/main" id="{61C2FF30-F7B1-4067-BF48-D6F16D114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91755</xdr:colOff>
      <xdr:row>2</xdr:row>
      <xdr:rowOff>152400</xdr:rowOff>
    </xdr:from>
    <xdr:to>
      <xdr:col>34</xdr:col>
      <xdr:colOff>546734</xdr:colOff>
      <xdr:row>27</xdr:row>
      <xdr:rowOff>160655</xdr:rowOff>
    </xdr:to>
    <xdr:graphicFrame macro="">
      <xdr:nvGraphicFramePr>
        <xdr:cNvPr id="2" name="Chart 1">
          <a:extLst>
            <a:ext uri="{FF2B5EF4-FFF2-40B4-BE49-F238E27FC236}">
              <a16:creationId xmlns:a16="http://schemas.microsoft.com/office/drawing/2014/main" id="{1169C4AB-0AAA-490A-85DF-1F82CBBB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86676</xdr:colOff>
      <xdr:row>2</xdr:row>
      <xdr:rowOff>49530</xdr:rowOff>
    </xdr:from>
    <xdr:to>
      <xdr:col>33</xdr:col>
      <xdr:colOff>268604</xdr:colOff>
      <xdr:row>27</xdr:row>
      <xdr:rowOff>53340</xdr:rowOff>
    </xdr:to>
    <xdr:graphicFrame macro="">
      <xdr:nvGraphicFramePr>
        <xdr:cNvPr id="2" name="Chart 1">
          <a:extLst>
            <a:ext uri="{FF2B5EF4-FFF2-40B4-BE49-F238E27FC236}">
              <a16:creationId xmlns:a16="http://schemas.microsoft.com/office/drawing/2014/main" id="{CE1ED790-0326-418E-9571-FE68985A4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817561</xdr:colOff>
      <xdr:row>28</xdr:row>
      <xdr:rowOff>38100</xdr:rowOff>
    </xdr:from>
    <xdr:to>
      <xdr:col>31</xdr:col>
      <xdr:colOff>31749</xdr:colOff>
      <xdr:row>55</xdr:row>
      <xdr:rowOff>95250</xdr:rowOff>
    </xdr:to>
    <xdr:graphicFrame macro="">
      <xdr:nvGraphicFramePr>
        <xdr:cNvPr id="2" name="Chart 1">
          <a:extLst>
            <a:ext uri="{FF2B5EF4-FFF2-40B4-BE49-F238E27FC236}">
              <a16:creationId xmlns:a16="http://schemas.microsoft.com/office/drawing/2014/main" id="{5A9C5335-E387-4EA7-94A6-7F0B39647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216216</xdr:colOff>
      <xdr:row>2</xdr:row>
      <xdr:rowOff>59055</xdr:rowOff>
    </xdr:from>
    <xdr:to>
      <xdr:col>29</xdr:col>
      <xdr:colOff>403859</xdr:colOff>
      <xdr:row>27</xdr:row>
      <xdr:rowOff>64770</xdr:rowOff>
    </xdr:to>
    <xdr:graphicFrame macro="">
      <xdr:nvGraphicFramePr>
        <xdr:cNvPr id="2" name="Chart 1">
          <a:extLst>
            <a:ext uri="{FF2B5EF4-FFF2-40B4-BE49-F238E27FC236}">
              <a16:creationId xmlns:a16="http://schemas.microsoft.com/office/drawing/2014/main" id="{75892CCF-68E6-477D-AA45-E2F626BA2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216216</xdr:colOff>
      <xdr:row>2</xdr:row>
      <xdr:rowOff>59055</xdr:rowOff>
    </xdr:from>
    <xdr:to>
      <xdr:col>36</xdr:col>
      <xdr:colOff>403859</xdr:colOff>
      <xdr:row>27</xdr:row>
      <xdr:rowOff>64770</xdr:rowOff>
    </xdr:to>
    <xdr:graphicFrame macro="">
      <xdr:nvGraphicFramePr>
        <xdr:cNvPr id="2" name="Chart 1">
          <a:extLst>
            <a:ext uri="{FF2B5EF4-FFF2-40B4-BE49-F238E27FC236}">
              <a16:creationId xmlns:a16="http://schemas.microsoft.com/office/drawing/2014/main" id="{2BFAC094-0BEC-42BF-BCFD-069AF5E62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417511</xdr:colOff>
      <xdr:row>27</xdr:row>
      <xdr:rowOff>15875</xdr:rowOff>
    </xdr:from>
    <xdr:to>
      <xdr:col>34</xdr:col>
      <xdr:colOff>3174</xdr:colOff>
      <xdr:row>52</xdr:row>
      <xdr:rowOff>28575</xdr:rowOff>
    </xdr:to>
    <xdr:graphicFrame macro="">
      <xdr:nvGraphicFramePr>
        <xdr:cNvPr id="2" name="Chart 1">
          <a:extLst>
            <a:ext uri="{FF2B5EF4-FFF2-40B4-BE49-F238E27FC236}">
              <a16:creationId xmlns:a16="http://schemas.microsoft.com/office/drawing/2014/main" id="{142A0542-330B-41E3-BBDD-1231783A3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255586</xdr:colOff>
      <xdr:row>28</xdr:row>
      <xdr:rowOff>6350</xdr:rowOff>
    </xdr:from>
    <xdr:to>
      <xdr:col>32</xdr:col>
      <xdr:colOff>488949</xdr:colOff>
      <xdr:row>53</xdr:row>
      <xdr:rowOff>15875</xdr:rowOff>
    </xdr:to>
    <xdr:graphicFrame macro="">
      <xdr:nvGraphicFramePr>
        <xdr:cNvPr id="2" name="Chart 1">
          <a:extLst>
            <a:ext uri="{FF2B5EF4-FFF2-40B4-BE49-F238E27FC236}">
              <a16:creationId xmlns:a16="http://schemas.microsoft.com/office/drawing/2014/main" id="{523750A9-72AD-4F95-9416-A81CF6D5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255586</xdr:colOff>
      <xdr:row>28</xdr:row>
      <xdr:rowOff>6350</xdr:rowOff>
    </xdr:from>
    <xdr:to>
      <xdr:col>30</xdr:col>
      <xdr:colOff>488949</xdr:colOff>
      <xdr:row>53</xdr:row>
      <xdr:rowOff>15875</xdr:rowOff>
    </xdr:to>
    <xdr:graphicFrame macro="">
      <xdr:nvGraphicFramePr>
        <xdr:cNvPr id="2" name="Chart 1">
          <a:extLst>
            <a:ext uri="{FF2B5EF4-FFF2-40B4-BE49-F238E27FC236}">
              <a16:creationId xmlns:a16="http://schemas.microsoft.com/office/drawing/2014/main" id="{99AE2C93-2FCC-4E73-9395-C8CC338AC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255586</xdr:colOff>
      <xdr:row>28</xdr:row>
      <xdr:rowOff>6350</xdr:rowOff>
    </xdr:from>
    <xdr:to>
      <xdr:col>36</xdr:col>
      <xdr:colOff>488949</xdr:colOff>
      <xdr:row>53</xdr:row>
      <xdr:rowOff>15875</xdr:rowOff>
    </xdr:to>
    <xdr:graphicFrame macro="">
      <xdr:nvGraphicFramePr>
        <xdr:cNvPr id="2" name="Chart 1">
          <a:extLst>
            <a:ext uri="{FF2B5EF4-FFF2-40B4-BE49-F238E27FC236}">
              <a16:creationId xmlns:a16="http://schemas.microsoft.com/office/drawing/2014/main" id="{E43F0610-73A5-41FD-9A93-95C3C721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57151</xdr:colOff>
      <xdr:row>17</xdr:row>
      <xdr:rowOff>19050</xdr:rowOff>
    </xdr:from>
    <xdr:to>
      <xdr:col>5</xdr:col>
      <xdr:colOff>1162050</xdr:colOff>
      <xdr:row>36</xdr:row>
      <xdr:rowOff>66674</xdr:rowOff>
    </xdr:to>
    <xdr:graphicFrame macro="">
      <xdr:nvGraphicFramePr>
        <xdr:cNvPr id="5" name="Chart 4">
          <a:extLst>
            <a:ext uri="{FF2B5EF4-FFF2-40B4-BE49-F238E27FC236}">
              <a16:creationId xmlns:a16="http://schemas.microsoft.com/office/drawing/2014/main" id="{67590AFF-BB6F-4DED-9880-DF110456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171449</xdr:colOff>
      <xdr:row>17</xdr:row>
      <xdr:rowOff>1</xdr:rowOff>
    </xdr:from>
    <xdr:to>
      <xdr:col>11</xdr:col>
      <xdr:colOff>1038225</xdr:colOff>
      <xdr:row>36</xdr:row>
      <xdr:rowOff>133350</xdr:rowOff>
    </xdr:to>
    <xdr:graphicFrame macro="">
      <xdr:nvGraphicFramePr>
        <xdr:cNvPr id="6" name="Chart 5">
          <a:extLst>
            <a:ext uri="{FF2B5EF4-FFF2-40B4-BE49-F238E27FC236}">
              <a16:creationId xmlns:a16="http://schemas.microsoft.com/office/drawing/2014/main" id="{2D0E956E-CA50-4E8E-9AC9-5C37805A2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xdr:colOff>
      <xdr:row>17</xdr:row>
      <xdr:rowOff>0</xdr:rowOff>
    </xdr:from>
    <xdr:to>
      <xdr:col>17</xdr:col>
      <xdr:colOff>1257300</xdr:colOff>
      <xdr:row>36</xdr:row>
      <xdr:rowOff>85725</xdr:rowOff>
    </xdr:to>
    <xdr:graphicFrame macro="">
      <xdr:nvGraphicFramePr>
        <xdr:cNvPr id="7" name="Chart 6">
          <a:extLst>
            <a:ext uri="{FF2B5EF4-FFF2-40B4-BE49-F238E27FC236}">
              <a16:creationId xmlns:a16="http://schemas.microsoft.com/office/drawing/2014/main" id="{93C8B755-117E-4AC4-8DC7-99FA99E0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38100</xdr:colOff>
      <xdr:row>16</xdr:row>
      <xdr:rowOff>152400</xdr:rowOff>
    </xdr:from>
    <xdr:to>
      <xdr:col>27</xdr:col>
      <xdr:colOff>394335</xdr:colOff>
      <xdr:row>36</xdr:row>
      <xdr:rowOff>70485</xdr:rowOff>
    </xdr:to>
    <xdr:graphicFrame macro="">
      <xdr:nvGraphicFramePr>
        <xdr:cNvPr id="3" name="Chart 2">
          <a:extLst>
            <a:ext uri="{FF2B5EF4-FFF2-40B4-BE49-F238E27FC236}">
              <a16:creationId xmlns:a16="http://schemas.microsoft.com/office/drawing/2014/main" id="{0B5A4C7E-AE02-45E3-8A6B-363E0F9D8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507681</xdr:colOff>
      <xdr:row>4</xdr:row>
      <xdr:rowOff>30480</xdr:rowOff>
    </xdr:from>
    <xdr:to>
      <xdr:col>29</xdr:col>
      <xdr:colOff>335279</xdr:colOff>
      <xdr:row>29</xdr:row>
      <xdr:rowOff>34290</xdr:rowOff>
    </xdr:to>
    <xdr:graphicFrame macro="">
      <xdr:nvGraphicFramePr>
        <xdr:cNvPr id="2" name="Chart 1">
          <a:extLst>
            <a:ext uri="{FF2B5EF4-FFF2-40B4-BE49-F238E27FC236}">
              <a16:creationId xmlns:a16="http://schemas.microsoft.com/office/drawing/2014/main" id="{42F9CC11-B6D9-4D70-863D-8AAC0651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72705</xdr:colOff>
      <xdr:row>3</xdr:row>
      <xdr:rowOff>133350</xdr:rowOff>
    </xdr:from>
    <xdr:to>
      <xdr:col>32</xdr:col>
      <xdr:colOff>527684</xdr:colOff>
      <xdr:row>28</xdr:row>
      <xdr:rowOff>141605</xdr:rowOff>
    </xdr:to>
    <xdr:graphicFrame macro="">
      <xdr:nvGraphicFramePr>
        <xdr:cNvPr id="2" name="Chart 1">
          <a:extLst>
            <a:ext uri="{FF2B5EF4-FFF2-40B4-BE49-F238E27FC236}">
              <a16:creationId xmlns:a16="http://schemas.microsoft.com/office/drawing/2014/main" id="{E34FA056-E3C1-4B9E-BDD3-ABE97F8A0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udget.ontario.ca/2024/chapter-2.html"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2:E13"/>
  <sheetViews>
    <sheetView workbookViewId="0">
      <selection activeCell="H9" sqref="H9"/>
    </sheetView>
  </sheetViews>
  <sheetFormatPr defaultColWidth="8.88671875" defaultRowHeight="13.2" x14ac:dyDescent="0.25"/>
  <cols>
    <col min="1" max="1" width="8.88671875" style="460"/>
    <col min="2" max="2" width="19.33203125" style="460" bestFit="1" customWidth="1"/>
    <col min="3" max="3" width="14.77734375" style="460" customWidth="1"/>
    <col min="4" max="4" width="12" style="460" bestFit="1" customWidth="1"/>
    <col min="5" max="5" width="14" style="460" customWidth="1"/>
    <col min="6" max="16384" width="8.88671875" style="460"/>
  </cols>
  <sheetData>
    <row r="2" spans="2:5" ht="17.399999999999999" x14ac:dyDescent="0.3">
      <c r="B2" s="468" t="s">
        <v>548</v>
      </c>
      <c r="C2" s="468"/>
      <c r="D2" s="468"/>
      <c r="E2" s="468"/>
    </row>
    <row r="3" spans="2:5" ht="13.8" thickBot="1" x14ac:dyDescent="0.3"/>
    <row r="4" spans="2:5" ht="26.4" x14ac:dyDescent="0.25">
      <c r="B4" s="141"/>
      <c r="C4" s="142" t="str">
        <f>'Summary Tables'!C56</f>
        <v>kWh</v>
      </c>
      <c r="D4" s="142" t="str">
        <f>'Summary Tables'!D56</f>
        <v>kW</v>
      </c>
      <c r="E4" s="143" t="str">
        <f>'Summary Tables'!E56</f>
        <v>Customers / Connections</v>
      </c>
    </row>
    <row r="5" spans="2:5" x14ac:dyDescent="0.25">
      <c r="B5" s="21" t="str">
        <f>'Summary Tables'!B57</f>
        <v>Residential</v>
      </c>
      <c r="C5" s="269">
        <f ca="1">'Summary Tables'!C57</f>
        <v>551504306.33943224</v>
      </c>
      <c r="D5" s="269"/>
      <c r="E5" s="287">
        <f ca="1">'Summary Tables'!E57</f>
        <v>59515.251172978766</v>
      </c>
    </row>
    <row r="6" spans="2:5" x14ac:dyDescent="0.25">
      <c r="B6" s="21" t="str">
        <f>'Summary Tables'!B58</f>
        <v>GS &lt; 50</v>
      </c>
      <c r="C6" s="269">
        <f ca="1">'Summary Tables'!C58</f>
        <v>128276138.96033406</v>
      </c>
      <c r="D6" s="269"/>
      <c r="E6" s="287">
        <f ca="1">'Summary Tables'!E58</f>
        <v>4523.2119035692876</v>
      </c>
    </row>
    <row r="7" spans="2:5" x14ac:dyDescent="0.25">
      <c r="B7" s="21" t="str">
        <f>'Summary Tables'!B59</f>
        <v>GS 50-999</v>
      </c>
      <c r="C7" s="269">
        <f ca="1">'Summary Tables'!C59</f>
        <v>326060503.67292589</v>
      </c>
      <c r="D7" s="269">
        <f ca="1">'Summary Tables'!D59</f>
        <v>826398.14189046773</v>
      </c>
      <c r="E7" s="287">
        <f ca="1">'Summary Tables'!E59</f>
        <v>518.32942856889008</v>
      </c>
    </row>
    <row r="8" spans="2:5" x14ac:dyDescent="0.25">
      <c r="B8" s="21" t="str">
        <f>'Summary Tables'!B60</f>
        <v>GS 1,000-4,999</v>
      </c>
      <c r="C8" s="269">
        <f ca="1">'Summary Tables'!C60</f>
        <v>74664594.962081224</v>
      </c>
      <c r="D8" s="269">
        <f ca="1">'Summary Tables'!D60</f>
        <v>178387.66252547083</v>
      </c>
      <c r="E8" s="287">
        <f ca="1">'Summary Tables'!E60</f>
        <v>18.202214769911862</v>
      </c>
    </row>
    <row r="9" spans="2:5" x14ac:dyDescent="0.25">
      <c r="B9" s="21" t="str">
        <f>'Summary Tables'!B61</f>
        <v>Large Use</v>
      </c>
      <c r="C9" s="269">
        <f ca="1">'Summary Tables'!C61</f>
        <v>37614342.954180762</v>
      </c>
      <c r="D9" s="269">
        <f ca="1">'Summary Tables'!D61</f>
        <v>83800.782445567776</v>
      </c>
      <c r="E9" s="287">
        <f ca="1">'Summary Tables'!E61</f>
        <v>1</v>
      </c>
    </row>
    <row r="10" spans="2:5" x14ac:dyDescent="0.25">
      <c r="B10" s="21" t="str">
        <f>'Summary Tables'!B62</f>
        <v>Street Light</v>
      </c>
      <c r="C10" s="269">
        <f ca="1">'Summary Tables'!C62</f>
        <v>4665081.9792804932</v>
      </c>
      <c r="D10" s="269">
        <f ca="1">'Summary Tables'!D62</f>
        <v>13198.013559683872</v>
      </c>
      <c r="E10" s="287">
        <f ca="1">'Summary Tables'!E62</f>
        <v>14844.839171887194</v>
      </c>
    </row>
    <row r="11" spans="2:5" x14ac:dyDescent="0.25">
      <c r="B11" s="21" t="str">
        <f>'Summary Tables'!B63</f>
        <v>Sentinel Lights</v>
      </c>
      <c r="C11" s="269">
        <f ca="1">'Summary Tables'!C63</f>
        <v>26717.919999999998</v>
      </c>
      <c r="D11" s="269">
        <f ca="1">'Summary Tables'!D63</f>
        <v>79.106816690312485</v>
      </c>
      <c r="E11" s="287">
        <f ca="1">'Summary Tables'!E63</f>
        <v>19</v>
      </c>
    </row>
    <row r="12" spans="2:5" x14ac:dyDescent="0.25">
      <c r="B12" s="21" t="str">
        <f>'Summary Tables'!B64</f>
        <v>USL</v>
      </c>
      <c r="C12" s="269">
        <f ca="1">'Summary Tables'!C64</f>
        <v>2866800.061490498</v>
      </c>
      <c r="D12" s="269"/>
      <c r="E12" s="287">
        <f ca="1">'Summary Tables'!E64</f>
        <v>262.92243329615997</v>
      </c>
    </row>
    <row r="13" spans="2:5" ht="13.8" thickBot="1" x14ac:dyDescent="0.3">
      <c r="B13" s="144" t="str">
        <f>'Summary Tables'!B65</f>
        <v>Total</v>
      </c>
      <c r="C13" s="145">
        <f ca="1">'Summary Tables'!C65</f>
        <v>1125678486.8497252</v>
      </c>
      <c r="D13" s="145">
        <f ca="1">'Summary Tables'!D65</f>
        <v>1101863.7072378807</v>
      </c>
      <c r="E13" s="146">
        <f ca="1">'Summary Tables'!E65</f>
        <v>79702.756325070208</v>
      </c>
    </row>
  </sheetData>
  <mergeCells count="1">
    <mergeCell ref="B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AD141"/>
  <sheetViews>
    <sheetView tabSelected="1" topLeftCell="R1" workbookViewId="0">
      <selection activeCell="AE10" sqref="AE10"/>
    </sheetView>
  </sheetViews>
  <sheetFormatPr defaultColWidth="9.33203125" defaultRowHeight="13.2" x14ac:dyDescent="0.25"/>
  <cols>
    <col min="1" max="1" width="10.44140625" style="1" bestFit="1" customWidth="1"/>
    <col min="2" max="3" width="9.33203125" style="1"/>
    <col min="4" max="4" width="15.77734375" style="1" customWidth="1"/>
    <col min="5" max="12" width="9.33203125" style="1"/>
    <col min="13" max="13" width="14.6640625" style="1" bestFit="1" customWidth="1"/>
    <col min="14" max="14" width="12.77734375" style="1" bestFit="1" customWidth="1"/>
    <col min="15" max="15" width="13.77734375" style="1" bestFit="1" customWidth="1"/>
    <col min="16" max="20" width="13.77734375" style="1" customWidth="1"/>
    <col min="21" max="21" width="18.109375" style="1" customWidth="1"/>
    <col min="22" max="22" width="13.77734375" style="1" customWidth="1"/>
    <col min="23" max="24" width="9.33203125" style="1"/>
    <col min="25" max="25" width="13.77734375" style="1" bestFit="1" customWidth="1"/>
    <col min="26" max="26" width="13.44140625" style="1" customWidth="1"/>
    <col min="27" max="27" width="13.77734375" style="1" bestFit="1" customWidth="1"/>
    <col min="28" max="28" width="12.77734375" style="1" bestFit="1" customWidth="1"/>
    <col min="29" max="29" width="12.6640625" style="1" bestFit="1" customWidth="1"/>
    <col min="30" max="30" width="18" style="1" bestFit="1" customWidth="1"/>
    <col min="31" max="31" width="12.77734375" style="1" bestFit="1" customWidth="1"/>
    <col min="32" max="16384" width="9.33203125" style="1"/>
  </cols>
  <sheetData>
    <row r="1" spans="1:29"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Data'!AX1</f>
        <v>OEA_GDPChange</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OEA_GDPChange</v>
      </c>
      <c r="U1" s="274" t="s">
        <v>196</v>
      </c>
      <c r="V1" s="274" t="s">
        <v>197</v>
      </c>
    </row>
    <row r="2" spans="1:29" x14ac:dyDescent="0.25">
      <c r="A2" s="3">
        <f>'Monthly Data'!A2</f>
        <v>42005</v>
      </c>
      <c r="B2" s="1">
        <f t="shared" ref="B2:B65" si="1">YEAR(A2)</f>
        <v>2015</v>
      </c>
      <c r="C2" s="1">
        <f t="shared" ref="C2:C65" si="2">MONTH(A2)</f>
        <v>1</v>
      </c>
      <c r="D2" s="24">
        <f>'Monthly Data'!X2</f>
        <v>3310187.7147286441</v>
      </c>
      <c r="E2" s="278">
        <f>'Monthly Data'!BL2</f>
        <v>487.89184782608703</v>
      </c>
      <c r="F2" s="278">
        <f>'Monthly Data'!BG2</f>
        <v>0</v>
      </c>
      <c r="G2" s="278">
        <f>'Monthly Data'!CC2</f>
        <v>1</v>
      </c>
      <c r="H2" s="278">
        <f>'Monthly Data'!CD2</f>
        <v>31</v>
      </c>
      <c r="I2" s="278">
        <f>'Monthly Data'!CG2</f>
        <v>0</v>
      </c>
      <c r="J2" s="278">
        <f>'Monthly Data'!CB2</f>
        <v>0</v>
      </c>
      <c r="K2" s="278">
        <f>'Monthly Data'!AX2</f>
        <v>0</v>
      </c>
      <c r="M2" s="18">
        <f>'Large Use Predicted Monthly'!$Z$10</f>
        <v>877619.90234118199</v>
      </c>
      <c r="N2" s="18">
        <f>E2*'Large Use Predicted Monthly'!$Z$11</f>
        <v>206616.63060637721</v>
      </c>
      <c r="O2" s="18">
        <f>F2*'Large Use Predicted Monthly'!$Z$12</f>
        <v>0</v>
      </c>
      <c r="P2" s="18">
        <f>G2*'Large Use Predicted Monthly'!$Z$13</f>
        <v>0</v>
      </c>
      <c r="Q2" s="18">
        <f>H2*'Large Use Predicted Monthly'!$Z$14</f>
        <v>2169588.3068179414</v>
      </c>
      <c r="R2" s="18">
        <f>I2*'Large Use Predicted Monthly'!$Z$15</f>
        <v>0</v>
      </c>
      <c r="S2" s="18">
        <f>J2*'Large Use Predicted Monthly'!$Z$16</f>
        <v>0</v>
      </c>
      <c r="T2" s="18">
        <f>K2*'Large Use Predicted Monthly'!$Z$17</f>
        <v>0</v>
      </c>
      <c r="U2" s="18">
        <f>SUM(M2:T2)</f>
        <v>3253824.8397655003</v>
      </c>
      <c r="V2" s="18">
        <f t="shared" ref="V2:V33" si="3">U2-D2</f>
        <v>-56362.87496314384</v>
      </c>
      <c r="W2" s="279">
        <f t="shared" ref="W2:W33" si="4">ABS(V2/D2)</f>
        <v>1.702709327098214E-2</v>
      </c>
    </row>
    <row r="3" spans="1:29" x14ac:dyDescent="0.25">
      <c r="A3" s="3">
        <f>'Monthly Data'!A3</f>
        <v>42036</v>
      </c>
      <c r="B3" s="1">
        <f t="shared" si="1"/>
        <v>2015</v>
      </c>
      <c r="C3" s="1">
        <f t="shared" si="2"/>
        <v>2</v>
      </c>
      <c r="D3" s="24">
        <f>'Monthly Data'!X3</f>
        <v>3180175.3551415652</v>
      </c>
      <c r="E3" s="278">
        <f>'Monthly Data'!BL3</f>
        <v>585.85434782608695</v>
      </c>
      <c r="F3" s="278">
        <f>'Monthly Data'!BG3</f>
        <v>0</v>
      </c>
      <c r="G3" s="278">
        <f>'Monthly Data'!CC3</f>
        <v>2</v>
      </c>
      <c r="H3" s="278">
        <f>'Monthly Data'!CD3</f>
        <v>28</v>
      </c>
      <c r="I3" s="278">
        <f>'Monthly Data'!CG3</f>
        <v>0</v>
      </c>
      <c r="J3" s="278">
        <f>'Monthly Data'!CB3</f>
        <v>0</v>
      </c>
      <c r="K3" s="278">
        <f>'Monthly Data'!AX3</f>
        <v>0</v>
      </c>
      <c r="M3" s="18">
        <f>'Large Use Predicted Monthly'!$Z$10</f>
        <v>877619.90234118199</v>
      </c>
      <c r="N3" s="18">
        <f>E3*'Large Use Predicted Monthly'!$Z$11</f>
        <v>248102.63158377449</v>
      </c>
      <c r="O3" s="18">
        <f>F3*'Large Use Predicted Monthly'!$Z$12</f>
        <v>0</v>
      </c>
      <c r="P3" s="18">
        <f>G3*'Large Use Predicted Monthly'!$Z$13</f>
        <v>0</v>
      </c>
      <c r="Q3" s="18">
        <f>H3*'Large Use Predicted Monthly'!$Z$14</f>
        <v>1959628.1480936245</v>
      </c>
      <c r="R3" s="18">
        <f>I3*'Large Use Predicted Monthly'!$Z$15</f>
        <v>0</v>
      </c>
      <c r="S3" s="18">
        <f>J3*'Large Use Predicted Monthly'!$Z$16</f>
        <v>0</v>
      </c>
      <c r="T3" s="18">
        <f>K3*'Large Use Predicted Monthly'!$Z$17</f>
        <v>0</v>
      </c>
      <c r="U3" s="18">
        <f t="shared" ref="U3:U66" si="5">SUM(M3:T3)</f>
        <v>3085350.6820185808</v>
      </c>
      <c r="V3" s="18">
        <f t="shared" si="3"/>
        <v>-94824.673122984357</v>
      </c>
      <c r="W3" s="279">
        <f t="shared" si="4"/>
        <v>2.9817435371818749E-2</v>
      </c>
    </row>
    <row r="4" spans="1:29" x14ac:dyDescent="0.25">
      <c r="A4" s="3">
        <f>'Monthly Data'!A4</f>
        <v>42064</v>
      </c>
      <c r="B4" s="1">
        <f t="shared" si="1"/>
        <v>2015</v>
      </c>
      <c r="C4" s="1">
        <f t="shared" si="2"/>
        <v>3</v>
      </c>
      <c r="D4" s="24">
        <f>'Monthly Data'!X4</f>
        <v>3522503.9865684011</v>
      </c>
      <c r="E4" s="278">
        <f>'Monthly Data'!BL4</f>
        <v>327.79999999999995</v>
      </c>
      <c r="F4" s="278">
        <f>'Monthly Data'!BG4</f>
        <v>0</v>
      </c>
      <c r="G4" s="278">
        <f>'Monthly Data'!CC4</f>
        <v>3</v>
      </c>
      <c r="H4" s="278">
        <f>'Monthly Data'!CD4</f>
        <v>31</v>
      </c>
      <c r="I4" s="278">
        <f>'Monthly Data'!CG4</f>
        <v>0</v>
      </c>
      <c r="J4" s="278">
        <f>'Monthly Data'!CB4</f>
        <v>1</v>
      </c>
      <c r="K4" s="278">
        <f>'Monthly Data'!AX4</f>
        <v>0</v>
      </c>
      <c r="M4" s="18">
        <f>'Large Use Predicted Monthly'!$Z$10</f>
        <v>877619.90234118199</v>
      </c>
      <c r="N4" s="18">
        <f>E4*'Large Use Predicted Monthly'!$Z$11</f>
        <v>138819.55973347797</v>
      </c>
      <c r="O4" s="18">
        <f>F4*'Large Use Predicted Monthly'!$Z$12</f>
        <v>0</v>
      </c>
      <c r="P4" s="18">
        <f>G4*'Large Use Predicted Monthly'!$Z$13</f>
        <v>0</v>
      </c>
      <c r="Q4" s="18">
        <f>H4*'Large Use Predicted Monthly'!$Z$14</f>
        <v>2169588.3068179414</v>
      </c>
      <c r="R4" s="18">
        <f>I4*'Large Use Predicted Monthly'!$Z$15</f>
        <v>0</v>
      </c>
      <c r="S4" s="18">
        <f>J4*'Large Use Predicted Monthly'!$Z$16</f>
        <v>177799.47475552099</v>
      </c>
      <c r="T4" s="18">
        <f>K4*'Large Use Predicted Monthly'!$Z$17</f>
        <v>0</v>
      </c>
      <c r="U4" s="18">
        <f t="shared" si="5"/>
        <v>3363827.2436481221</v>
      </c>
      <c r="V4" s="18">
        <f t="shared" si="3"/>
        <v>-158676.74292027904</v>
      </c>
      <c r="W4" s="279">
        <f t="shared" si="4"/>
        <v>4.5046575823711361E-2</v>
      </c>
    </row>
    <row r="5" spans="1:29" x14ac:dyDescent="0.25">
      <c r="A5" s="3">
        <f>'Monthly Data'!A5</f>
        <v>42095</v>
      </c>
      <c r="B5" s="1">
        <f t="shared" si="1"/>
        <v>2015</v>
      </c>
      <c r="C5" s="1">
        <f t="shared" si="2"/>
        <v>4</v>
      </c>
      <c r="D5" s="24">
        <f>'Monthly Data'!X5</f>
        <v>3275756.0247792401</v>
      </c>
      <c r="E5" s="278">
        <f>'Monthly Data'!BL5</f>
        <v>72.862878787878799</v>
      </c>
      <c r="F5" s="278">
        <f>'Monthly Data'!BG5</f>
        <v>0</v>
      </c>
      <c r="G5" s="278">
        <f>'Monthly Data'!CC5</f>
        <v>4</v>
      </c>
      <c r="H5" s="278">
        <f>'Monthly Data'!CD5</f>
        <v>30</v>
      </c>
      <c r="I5" s="278">
        <f>'Monthly Data'!CG5</f>
        <v>0</v>
      </c>
      <c r="J5" s="278">
        <f>'Monthly Data'!CB5</f>
        <v>1</v>
      </c>
      <c r="K5" s="278">
        <f>'Monthly Data'!AX5</f>
        <v>5139</v>
      </c>
      <c r="M5" s="18">
        <f>'Large Use Predicted Monthly'!$Z$10</f>
        <v>877619.90234118199</v>
      </c>
      <c r="N5" s="18">
        <f>E5*'Large Use Predicted Monthly'!$Z$11</f>
        <v>30856.597785988735</v>
      </c>
      <c r="O5" s="18">
        <f>F5*'Large Use Predicted Monthly'!$Z$12</f>
        <v>0</v>
      </c>
      <c r="P5" s="18">
        <f>G5*'Large Use Predicted Monthly'!$Z$13</f>
        <v>0</v>
      </c>
      <c r="Q5" s="18">
        <f>H5*'Large Use Predicted Monthly'!$Z$14</f>
        <v>2099601.5872431691</v>
      </c>
      <c r="R5" s="18">
        <f>I5*'Large Use Predicted Monthly'!$Z$15</f>
        <v>0</v>
      </c>
      <c r="S5" s="18">
        <f>J5*'Large Use Predicted Monthly'!$Z$16</f>
        <v>177799.47475552099</v>
      </c>
      <c r="T5" s="18">
        <f>K5*'Large Use Predicted Monthly'!$Z$17</f>
        <v>10665.186556583039</v>
      </c>
      <c r="U5" s="18">
        <f t="shared" si="5"/>
        <v>3196542.748682444</v>
      </c>
      <c r="V5" s="18">
        <f t="shared" si="3"/>
        <v>-79213.276096796151</v>
      </c>
      <c r="W5" s="279">
        <f t="shared" si="4"/>
        <v>2.4181677602847267E-2</v>
      </c>
      <c r="Y5" t="s">
        <v>549</v>
      </c>
      <c r="Z5"/>
      <c r="AA5"/>
      <c r="AB5"/>
      <c r="AC5"/>
    </row>
    <row r="6" spans="1:29" x14ac:dyDescent="0.25">
      <c r="A6" s="3">
        <f>'Monthly Data'!A6</f>
        <v>42125</v>
      </c>
      <c r="B6" s="1">
        <f t="shared" si="1"/>
        <v>2015</v>
      </c>
      <c r="C6" s="1">
        <f t="shared" si="2"/>
        <v>5</v>
      </c>
      <c r="D6" s="24">
        <f>'Monthly Data'!X6</f>
        <v>3629287.263527994</v>
      </c>
      <c r="E6" s="278">
        <f>'Monthly Data'!BL6</f>
        <v>0</v>
      </c>
      <c r="F6" s="278">
        <f>'Monthly Data'!BG6</f>
        <v>62.881547619047637</v>
      </c>
      <c r="G6" s="278">
        <f>'Monthly Data'!CC6</f>
        <v>5</v>
      </c>
      <c r="H6" s="278">
        <f>'Monthly Data'!CD6</f>
        <v>31</v>
      </c>
      <c r="I6" s="278">
        <f>'Monthly Data'!CG6</f>
        <v>0</v>
      </c>
      <c r="J6" s="278">
        <f>'Monthly Data'!CB6</f>
        <v>1</v>
      </c>
      <c r="K6" s="278">
        <f>'Monthly Data'!AX6</f>
        <v>5139</v>
      </c>
      <c r="M6" s="18">
        <f>'Large Use Predicted Monthly'!$Z$10</f>
        <v>877619.90234118199</v>
      </c>
      <c r="N6" s="18">
        <f>E6*'Large Use Predicted Monthly'!$Z$11</f>
        <v>0</v>
      </c>
      <c r="O6" s="18">
        <f>F6*'Large Use Predicted Monthly'!$Z$12</f>
        <v>113578.51380288693</v>
      </c>
      <c r="P6" s="18">
        <f>G6*'Large Use Predicted Monthly'!$Z$13</f>
        <v>0</v>
      </c>
      <c r="Q6" s="18">
        <f>H6*'Large Use Predicted Monthly'!$Z$14</f>
        <v>2169588.3068179414</v>
      </c>
      <c r="R6" s="18">
        <f>I6*'Large Use Predicted Monthly'!$Z$15</f>
        <v>0</v>
      </c>
      <c r="S6" s="18">
        <f>J6*'Large Use Predicted Monthly'!$Z$16</f>
        <v>177799.47475552099</v>
      </c>
      <c r="T6" s="18">
        <f>K6*'Large Use Predicted Monthly'!$Z$17</f>
        <v>10665.186556583039</v>
      </c>
      <c r="U6" s="18">
        <f t="shared" si="5"/>
        <v>3349251.3842741144</v>
      </c>
      <c r="V6" s="18">
        <f t="shared" si="3"/>
        <v>-280035.87925387966</v>
      </c>
      <c r="W6" s="279">
        <f t="shared" si="4"/>
        <v>7.71600203896948E-2</v>
      </c>
      <c r="Y6" t="s">
        <v>185</v>
      </c>
      <c r="Z6"/>
      <c r="AA6"/>
      <c r="AB6"/>
      <c r="AC6"/>
    </row>
    <row r="7" spans="1:29" x14ac:dyDescent="0.25">
      <c r="A7" s="3">
        <f>'Monthly Data'!A7</f>
        <v>42156</v>
      </c>
      <c r="B7" s="1">
        <f t="shared" si="1"/>
        <v>2015</v>
      </c>
      <c r="C7" s="1">
        <f t="shared" si="2"/>
        <v>6</v>
      </c>
      <c r="D7" s="24">
        <f>'Monthly Data'!X7</f>
        <v>3515408.7356304238</v>
      </c>
      <c r="E7" s="278">
        <f>'Monthly Data'!BL7</f>
        <v>0</v>
      </c>
      <c r="F7" s="278">
        <f>'Monthly Data'!BG7</f>
        <v>95.599999999999966</v>
      </c>
      <c r="G7" s="278">
        <f>'Monthly Data'!CC7</f>
        <v>6</v>
      </c>
      <c r="H7" s="278">
        <f>'Monthly Data'!CD7</f>
        <v>30</v>
      </c>
      <c r="I7" s="278">
        <f>'Monthly Data'!CG7</f>
        <v>0</v>
      </c>
      <c r="J7" s="278">
        <f>'Monthly Data'!CB7</f>
        <v>0</v>
      </c>
      <c r="K7" s="278">
        <f>'Monthly Data'!AX7</f>
        <v>5139</v>
      </c>
      <c r="M7" s="18">
        <f>'Large Use Predicted Monthly'!$Z$10</f>
        <v>877619.90234118199</v>
      </c>
      <c r="N7" s="18">
        <f>E7*'Large Use Predicted Monthly'!$Z$11</f>
        <v>0</v>
      </c>
      <c r="O7" s="18">
        <f>F7*'Large Use Predicted Monthly'!$Z$12</f>
        <v>172675.55158370378</v>
      </c>
      <c r="P7" s="18">
        <f>G7*'Large Use Predicted Monthly'!$Z$13</f>
        <v>0</v>
      </c>
      <c r="Q7" s="18">
        <f>H7*'Large Use Predicted Monthly'!$Z$14</f>
        <v>2099601.5872431691</v>
      </c>
      <c r="R7" s="18">
        <f>I7*'Large Use Predicted Monthly'!$Z$15</f>
        <v>0</v>
      </c>
      <c r="S7" s="18">
        <f>J7*'Large Use Predicted Monthly'!$Z$16</f>
        <v>0</v>
      </c>
      <c r="T7" s="18">
        <f>K7*'Large Use Predicted Monthly'!$Z$17</f>
        <v>10665.186556583039</v>
      </c>
      <c r="U7" s="18">
        <f t="shared" si="5"/>
        <v>3160562.2277246378</v>
      </c>
      <c r="V7" s="18">
        <f t="shared" si="3"/>
        <v>-354846.50790578593</v>
      </c>
      <c r="W7" s="279">
        <f t="shared" si="4"/>
        <v>0.10094032716857056</v>
      </c>
      <c r="Y7" t="s">
        <v>550</v>
      </c>
      <c r="Z7"/>
      <c r="AA7"/>
      <c r="AB7"/>
      <c r="AC7"/>
    </row>
    <row r="8" spans="1:29" x14ac:dyDescent="0.25">
      <c r="A8" s="3">
        <f>'Monthly Data'!A8</f>
        <v>42186</v>
      </c>
      <c r="B8" s="1">
        <f t="shared" si="1"/>
        <v>2015</v>
      </c>
      <c r="C8" s="1">
        <f t="shared" si="2"/>
        <v>7</v>
      </c>
      <c r="D8" s="24">
        <f>'Monthly Data'!X8</f>
        <v>3903331.7192142233</v>
      </c>
      <c r="E8" s="278">
        <f>'Monthly Data'!BL8</f>
        <v>0</v>
      </c>
      <c r="F8" s="278">
        <f>'Monthly Data'!BG8</f>
        <v>205.53749999999997</v>
      </c>
      <c r="G8" s="278">
        <f>'Monthly Data'!CC8</f>
        <v>7</v>
      </c>
      <c r="H8" s="278">
        <f>'Monthly Data'!CD8</f>
        <v>31</v>
      </c>
      <c r="I8" s="278">
        <f>'Monthly Data'!CG8</f>
        <v>0</v>
      </c>
      <c r="J8" s="278">
        <f>'Monthly Data'!CB8</f>
        <v>0</v>
      </c>
      <c r="K8" s="278">
        <f>'Monthly Data'!AX8</f>
        <v>6615</v>
      </c>
      <c r="M8" s="18">
        <f>'Large Use Predicted Monthly'!$Z$10</f>
        <v>877619.90234118199</v>
      </c>
      <c r="N8" s="18">
        <f>E8*'Large Use Predicted Monthly'!$Z$11</f>
        <v>0</v>
      </c>
      <c r="O8" s="18">
        <f>F8*'Large Use Predicted Monthly'!$Z$12</f>
        <v>371247.92033091548</v>
      </c>
      <c r="P8" s="18">
        <f>G8*'Large Use Predicted Monthly'!$Z$13</f>
        <v>0</v>
      </c>
      <c r="Q8" s="18">
        <f>H8*'Large Use Predicted Monthly'!$Z$14</f>
        <v>2169588.3068179414</v>
      </c>
      <c r="R8" s="18">
        <f>I8*'Large Use Predicted Monthly'!$Z$15</f>
        <v>0</v>
      </c>
      <c r="S8" s="18">
        <f>J8*'Large Use Predicted Monthly'!$Z$16</f>
        <v>0</v>
      </c>
      <c r="T8" s="18">
        <f>K8*'Large Use Predicted Monthly'!$Z$17</f>
        <v>13728.392502782021</v>
      </c>
      <c r="U8" s="18">
        <f t="shared" si="5"/>
        <v>3432184.5219928208</v>
      </c>
      <c r="V8" s="18">
        <f t="shared" si="3"/>
        <v>-471147.19722140254</v>
      </c>
      <c r="W8" s="279">
        <f t="shared" si="4"/>
        <v>0.12070385791250374</v>
      </c>
      <c r="Y8"/>
      <c r="Z8"/>
      <c r="AA8"/>
      <c r="AB8"/>
      <c r="AC8"/>
    </row>
    <row r="9" spans="1:29" x14ac:dyDescent="0.25">
      <c r="A9" s="3">
        <f>'Monthly Data'!A9</f>
        <v>42217</v>
      </c>
      <c r="B9" s="1">
        <f t="shared" si="1"/>
        <v>2015</v>
      </c>
      <c r="C9" s="1">
        <f t="shared" si="2"/>
        <v>8</v>
      </c>
      <c r="D9" s="24">
        <f>'Monthly Data'!X9</f>
        <v>3934483.9152747728</v>
      </c>
      <c r="E9" s="278">
        <f>'Monthly Data'!BL9</f>
        <v>0</v>
      </c>
      <c r="F9" s="278">
        <f>'Monthly Data'!BG9</f>
        <v>167.94166666666666</v>
      </c>
      <c r="G9" s="278">
        <f>'Monthly Data'!CC9</f>
        <v>8</v>
      </c>
      <c r="H9" s="278">
        <f>'Monthly Data'!CD9</f>
        <v>31</v>
      </c>
      <c r="I9" s="278">
        <f>'Monthly Data'!CG9</f>
        <v>0</v>
      </c>
      <c r="J9" s="278">
        <f>'Monthly Data'!CB9</f>
        <v>0</v>
      </c>
      <c r="K9" s="278">
        <f>'Monthly Data'!AX9</f>
        <v>6615</v>
      </c>
      <c r="M9" s="18">
        <f>'Large Use Predicted Monthly'!$Z$10</f>
        <v>877619.90234118199</v>
      </c>
      <c r="N9" s="18">
        <f>E9*'Large Use Predicted Monthly'!$Z$11</f>
        <v>0</v>
      </c>
      <c r="O9" s="18">
        <f>F9*'Large Use Predicted Monthly'!$Z$12</f>
        <v>303341.21261038905</v>
      </c>
      <c r="P9" s="18">
        <f>G9*'Large Use Predicted Monthly'!$Z$13</f>
        <v>0</v>
      </c>
      <c r="Q9" s="18">
        <f>H9*'Large Use Predicted Monthly'!$Z$14</f>
        <v>2169588.3068179414</v>
      </c>
      <c r="R9" s="18">
        <f>I9*'Large Use Predicted Monthly'!$Z$15</f>
        <v>0</v>
      </c>
      <c r="S9" s="18">
        <f>J9*'Large Use Predicted Monthly'!$Z$16</f>
        <v>0</v>
      </c>
      <c r="T9" s="18">
        <f>K9*'Large Use Predicted Monthly'!$Z$17</f>
        <v>13728.392502782021</v>
      </c>
      <c r="U9" s="18">
        <f t="shared" si="5"/>
        <v>3364277.8142722943</v>
      </c>
      <c r="V9" s="18">
        <f t="shared" si="3"/>
        <v>-570206.10100247851</v>
      </c>
      <c r="W9" s="279">
        <f t="shared" si="4"/>
        <v>0.14492525913977641</v>
      </c>
      <c r="Y9"/>
      <c r="Z9" t="s">
        <v>148</v>
      </c>
      <c r="AA9" t="s">
        <v>149</v>
      </c>
      <c r="AB9" t="s">
        <v>150</v>
      </c>
      <c r="AC9" t="s">
        <v>151</v>
      </c>
    </row>
    <row r="10" spans="1:29" x14ac:dyDescent="0.25">
      <c r="A10" s="3">
        <f>'Monthly Data'!A10</f>
        <v>42248</v>
      </c>
      <c r="B10" s="1">
        <f t="shared" si="1"/>
        <v>2015</v>
      </c>
      <c r="C10" s="1">
        <f t="shared" si="2"/>
        <v>9</v>
      </c>
      <c r="D10" s="24">
        <f>'Monthly Data'!X10</f>
        <v>3833490.6826414838</v>
      </c>
      <c r="E10" s="278">
        <f>'Monthly Data'!BL10</f>
        <v>0</v>
      </c>
      <c r="F10" s="278">
        <f>'Monthly Data'!BG10</f>
        <v>134.9267857142857</v>
      </c>
      <c r="G10" s="278">
        <f>'Monthly Data'!CC10</f>
        <v>9</v>
      </c>
      <c r="H10" s="278">
        <f>'Monthly Data'!CD10</f>
        <v>30</v>
      </c>
      <c r="I10" s="278">
        <f>'Monthly Data'!CG10</f>
        <v>0</v>
      </c>
      <c r="J10" s="278">
        <f>'Monthly Data'!CB10</f>
        <v>1</v>
      </c>
      <c r="K10" s="278">
        <f>'Monthly Data'!AX10</f>
        <v>6615</v>
      </c>
      <c r="M10" s="18">
        <f>'Large Use Predicted Monthly'!$Z$10</f>
        <v>877619.90234118199</v>
      </c>
      <c r="N10" s="18">
        <f>E10*'Large Use Predicted Monthly'!$Z$11</f>
        <v>0</v>
      </c>
      <c r="O10" s="18">
        <f>F10*'Large Use Predicted Monthly'!$Z$12</f>
        <v>243708.75676391731</v>
      </c>
      <c r="P10" s="18">
        <f>G10*'Large Use Predicted Monthly'!$Z$13</f>
        <v>0</v>
      </c>
      <c r="Q10" s="18">
        <f>H10*'Large Use Predicted Monthly'!$Z$14</f>
        <v>2099601.5872431691</v>
      </c>
      <c r="R10" s="18">
        <f>I10*'Large Use Predicted Monthly'!$Z$15</f>
        <v>0</v>
      </c>
      <c r="S10" s="18">
        <f>J10*'Large Use Predicted Monthly'!$Z$16</f>
        <v>177799.47475552099</v>
      </c>
      <c r="T10" s="18">
        <f>K10*'Large Use Predicted Monthly'!$Z$17</f>
        <v>13728.392502782021</v>
      </c>
      <c r="U10" s="18">
        <f t="shared" si="5"/>
        <v>3412458.1136065712</v>
      </c>
      <c r="V10" s="18">
        <f t="shared" si="3"/>
        <v>-421032.56903491262</v>
      </c>
      <c r="W10" s="279">
        <f t="shared" si="4"/>
        <v>0.10983007496050526</v>
      </c>
      <c r="Y10" t="s">
        <v>152</v>
      </c>
      <c r="Z10" s="517">
        <v>877619.90234118199</v>
      </c>
      <c r="AA10" s="516">
        <v>386802.826595983</v>
      </c>
      <c r="AB10" s="516">
        <v>2.2689076759458602</v>
      </c>
      <c r="AC10" s="519">
        <v>2.5172487262714299E-2</v>
      </c>
    </row>
    <row r="11" spans="1:29" x14ac:dyDescent="0.25">
      <c r="A11" s="3">
        <f>'Monthly Data'!A11</f>
        <v>42278</v>
      </c>
      <c r="B11" s="1">
        <f t="shared" si="1"/>
        <v>2015</v>
      </c>
      <c r="C11" s="1">
        <f t="shared" si="2"/>
        <v>10</v>
      </c>
      <c r="D11" s="24">
        <f>'Monthly Data'!X11</f>
        <v>3429806.3555595707</v>
      </c>
      <c r="E11" s="278">
        <f>'Monthly Data'!BL11</f>
        <v>33.92916666666666</v>
      </c>
      <c r="F11" s="278">
        <f>'Monthly Data'!BG11</f>
        <v>4.3583333333333325</v>
      </c>
      <c r="G11" s="278">
        <f>'Monthly Data'!CC11</f>
        <v>10</v>
      </c>
      <c r="H11" s="278">
        <f>'Monthly Data'!CD11</f>
        <v>31</v>
      </c>
      <c r="I11" s="278">
        <f>'Monthly Data'!CG11</f>
        <v>0</v>
      </c>
      <c r="J11" s="278">
        <f>'Monthly Data'!CB11</f>
        <v>1</v>
      </c>
      <c r="K11" s="278">
        <f>'Monthly Data'!AX11</f>
        <v>7443</v>
      </c>
      <c r="M11" s="18">
        <f>'Large Use Predicted Monthly'!$Z$10</f>
        <v>877619.90234118199</v>
      </c>
      <c r="N11" s="18">
        <f>E11*'Large Use Predicted Monthly'!$Z$11</f>
        <v>14368.614944449246</v>
      </c>
      <c r="O11" s="18">
        <f>F11*'Large Use Predicted Monthly'!$Z$12</f>
        <v>7872.1507564746416</v>
      </c>
      <c r="P11" s="18">
        <f>G11*'Large Use Predicted Monthly'!$Z$13</f>
        <v>0</v>
      </c>
      <c r="Q11" s="18">
        <f>H11*'Large Use Predicted Monthly'!$Z$14</f>
        <v>2169588.3068179414</v>
      </c>
      <c r="R11" s="18">
        <f>I11*'Large Use Predicted Monthly'!$Z$15</f>
        <v>0</v>
      </c>
      <c r="S11" s="18">
        <f>J11*'Large Use Predicted Monthly'!$Z$16</f>
        <v>177799.47475552099</v>
      </c>
      <c r="T11" s="18">
        <f>K11*'Large Use Predicted Monthly'!$Z$17</f>
        <v>15446.776326259498</v>
      </c>
      <c r="U11" s="18">
        <f t="shared" si="5"/>
        <v>3262695.2259418275</v>
      </c>
      <c r="V11" s="18">
        <f t="shared" si="3"/>
        <v>-167111.12961774319</v>
      </c>
      <c r="W11" s="279">
        <f t="shared" si="4"/>
        <v>4.8723196674606173E-2</v>
      </c>
      <c r="Y11" t="s">
        <v>63</v>
      </c>
      <c r="Z11" s="517">
        <v>423.488589790964</v>
      </c>
      <c r="AA11" s="516">
        <v>185.07929022379301</v>
      </c>
      <c r="AB11" s="516">
        <v>2.2881468222559902</v>
      </c>
      <c r="AC11" s="519">
        <v>2.3988879512489399E-2</v>
      </c>
    </row>
    <row r="12" spans="1:29" x14ac:dyDescent="0.25">
      <c r="A12" s="3">
        <f>'Monthly Data'!A12</f>
        <v>42309</v>
      </c>
      <c r="B12" s="1">
        <f t="shared" si="1"/>
        <v>2015</v>
      </c>
      <c r="C12" s="1">
        <f t="shared" si="2"/>
        <v>11</v>
      </c>
      <c r="D12" s="24">
        <f>'Monthly Data'!X12</f>
        <v>3420382.304454477</v>
      </c>
      <c r="E12" s="278">
        <f>'Monthly Data'!BL12</f>
        <v>99.970833333333317</v>
      </c>
      <c r="F12" s="278">
        <f>'Monthly Data'!BG12</f>
        <v>0.27083333333333393</v>
      </c>
      <c r="G12" s="278">
        <f>'Monthly Data'!CC12</f>
        <v>11</v>
      </c>
      <c r="H12" s="278">
        <f>'Monthly Data'!CD12</f>
        <v>30</v>
      </c>
      <c r="I12" s="278">
        <f>'Monthly Data'!CG12</f>
        <v>0</v>
      </c>
      <c r="J12" s="278">
        <f>'Monthly Data'!CB12</f>
        <v>1</v>
      </c>
      <c r="K12" s="278">
        <f>'Monthly Data'!AX12</f>
        <v>7443</v>
      </c>
      <c r="M12" s="18">
        <f>'Large Use Predicted Monthly'!$Z$10</f>
        <v>877619.90234118199</v>
      </c>
      <c r="N12" s="18">
        <f>E12*'Large Use Predicted Monthly'!$Z$11</f>
        <v>42336.507228560826</v>
      </c>
      <c r="O12" s="18">
        <f>F12*'Large Use Predicted Monthly'!$Z$12</f>
        <v>489.18718849985942</v>
      </c>
      <c r="P12" s="18">
        <f>G12*'Large Use Predicted Monthly'!$Z$13</f>
        <v>0</v>
      </c>
      <c r="Q12" s="18">
        <f>H12*'Large Use Predicted Monthly'!$Z$14</f>
        <v>2099601.5872431691</v>
      </c>
      <c r="R12" s="18">
        <f>I12*'Large Use Predicted Monthly'!$Z$15</f>
        <v>0</v>
      </c>
      <c r="S12" s="18">
        <f>J12*'Large Use Predicted Monthly'!$Z$16</f>
        <v>177799.47475552099</v>
      </c>
      <c r="T12" s="18">
        <f>K12*'Large Use Predicted Monthly'!$Z$17</f>
        <v>15446.776326259498</v>
      </c>
      <c r="U12" s="18">
        <f t="shared" si="5"/>
        <v>3213293.4350831923</v>
      </c>
      <c r="V12" s="18">
        <f t="shared" si="3"/>
        <v>-207088.86937128473</v>
      </c>
      <c r="W12" s="279">
        <f t="shared" si="4"/>
        <v>6.0545532907706263E-2</v>
      </c>
      <c r="Y12" t="s">
        <v>58</v>
      </c>
      <c r="Z12" s="517">
        <v>1806.2296190764</v>
      </c>
      <c r="AA12" s="516">
        <v>327.14415114249198</v>
      </c>
      <c r="AB12" s="516">
        <v>5.5212040709530399</v>
      </c>
      <c r="AC12" s="519">
        <v>2.17451006284337E-7</v>
      </c>
    </row>
    <row r="13" spans="1:29" x14ac:dyDescent="0.25">
      <c r="A13" s="3">
        <f>'Monthly Data'!A13</f>
        <v>42339</v>
      </c>
      <c r="B13" s="1">
        <f t="shared" si="1"/>
        <v>2015</v>
      </c>
      <c r="C13" s="1">
        <f t="shared" si="2"/>
        <v>12</v>
      </c>
      <c r="D13" s="24">
        <f>'Monthly Data'!X13</f>
        <v>2994161.9424792021</v>
      </c>
      <c r="E13" s="278">
        <f>'Monthly Data'!BL13</f>
        <v>134.45072463768119</v>
      </c>
      <c r="F13" s="278">
        <f>'Monthly Data'!BG13</f>
        <v>0</v>
      </c>
      <c r="G13" s="278">
        <f>'Monthly Data'!CC13</f>
        <v>12</v>
      </c>
      <c r="H13" s="278">
        <f>'Monthly Data'!CD13</f>
        <v>31</v>
      </c>
      <c r="I13" s="278">
        <f>'Monthly Data'!CG13</f>
        <v>0</v>
      </c>
      <c r="J13" s="278">
        <f>'Monthly Data'!CB13</f>
        <v>0</v>
      </c>
      <c r="K13" s="278">
        <f>'Monthly Data'!AX13</f>
        <v>7443</v>
      </c>
      <c r="M13" s="18">
        <f>'Large Use Predicted Monthly'!$Z$10</f>
        <v>877619.90234118199</v>
      </c>
      <c r="N13" s="18">
        <f>E13*'Large Use Predicted Monthly'!$Z$11</f>
        <v>56938.347773184825</v>
      </c>
      <c r="O13" s="18">
        <f>F13*'Large Use Predicted Monthly'!$Z$12</f>
        <v>0</v>
      </c>
      <c r="P13" s="18">
        <f>G13*'Large Use Predicted Monthly'!$Z$13</f>
        <v>0</v>
      </c>
      <c r="Q13" s="18">
        <f>H13*'Large Use Predicted Monthly'!$Z$14</f>
        <v>2169588.3068179414</v>
      </c>
      <c r="R13" s="18">
        <f>I13*'Large Use Predicted Monthly'!$Z$15</f>
        <v>0</v>
      </c>
      <c r="S13" s="18">
        <f>J13*'Large Use Predicted Monthly'!$Z$16</f>
        <v>0</v>
      </c>
      <c r="T13" s="18">
        <f>K13*'Large Use Predicted Monthly'!$Z$17</f>
        <v>15446.776326259498</v>
      </c>
      <c r="U13" s="18">
        <f t="shared" si="5"/>
        <v>3119593.3332585678</v>
      </c>
      <c r="V13" s="18">
        <f t="shared" si="3"/>
        <v>125431.39077936579</v>
      </c>
      <c r="W13" s="279">
        <f t="shared" si="4"/>
        <v>4.1891986201490185E-2</v>
      </c>
      <c r="Y13"/>
      <c r="Z13" s="517"/>
      <c r="AA13" s="516"/>
      <c r="AB13" s="516"/>
      <c r="AC13" s="519"/>
    </row>
    <row r="14" spans="1:29" x14ac:dyDescent="0.25">
      <c r="A14" s="3">
        <f>'Monthly Data'!A14</f>
        <v>42370</v>
      </c>
      <c r="B14" s="1">
        <f t="shared" si="1"/>
        <v>2016</v>
      </c>
      <c r="C14" s="1">
        <f t="shared" si="2"/>
        <v>1</v>
      </c>
      <c r="D14" s="24">
        <f>'Monthly Data'!X14</f>
        <v>3215727.4106118553</v>
      </c>
      <c r="E14" s="278">
        <f>'Monthly Data'!BL14</f>
        <v>365.87916666666672</v>
      </c>
      <c r="F14" s="278">
        <f>'Monthly Data'!BG14</f>
        <v>0</v>
      </c>
      <c r="G14" s="278">
        <f>'Monthly Data'!CC14</f>
        <v>13</v>
      </c>
      <c r="H14" s="278">
        <f>'Monthly Data'!CD14</f>
        <v>31</v>
      </c>
      <c r="I14" s="278">
        <f>'Monthly Data'!CG14</f>
        <v>0</v>
      </c>
      <c r="J14" s="278">
        <f>'Monthly Data'!CB14</f>
        <v>0</v>
      </c>
      <c r="K14" s="278">
        <f>'Monthly Data'!AX14</f>
        <v>5503</v>
      </c>
      <c r="M14" s="18">
        <f>'Large Use Predicted Monthly'!$Z$10</f>
        <v>877619.90234118199</v>
      </c>
      <c r="N14" s="18">
        <f>E14*'Large Use Predicted Monthly'!$Z$11</f>
        <v>154945.65232555979</v>
      </c>
      <c r="O14" s="18">
        <f>F14*'Large Use Predicted Monthly'!$Z$12</f>
        <v>0</v>
      </c>
      <c r="P14" s="18">
        <f>G14*'Large Use Predicted Monthly'!$Z$13</f>
        <v>0</v>
      </c>
      <c r="Q14" s="18">
        <f>H14*'Large Use Predicted Monthly'!$Z$14</f>
        <v>2169588.3068179414</v>
      </c>
      <c r="R14" s="18">
        <f>I14*'Large Use Predicted Monthly'!$Z$15</f>
        <v>0</v>
      </c>
      <c r="S14" s="18">
        <f>J14*'Large Use Predicted Monthly'!$Z$16</f>
        <v>0</v>
      </c>
      <c r="T14" s="18">
        <f>K14*'Large Use Predicted Monthly'!$Z$17</f>
        <v>11420.611329222897</v>
      </c>
      <c r="U14" s="18">
        <f t="shared" si="5"/>
        <v>3213574.4728139061</v>
      </c>
      <c r="V14" s="18">
        <f t="shared" si="3"/>
        <v>-2152.9377979491837</v>
      </c>
      <c r="W14" s="279">
        <f t="shared" si="4"/>
        <v>6.6950257998999515E-4</v>
      </c>
      <c r="Y14" t="s">
        <v>203</v>
      </c>
      <c r="Z14" s="517">
        <v>69986.719574772302</v>
      </c>
      <c r="AA14" s="516">
        <v>12564.3399573068</v>
      </c>
      <c r="AB14" s="516">
        <v>5.5702663102546301</v>
      </c>
      <c r="AC14" s="519">
        <v>1.7444978656126499E-7</v>
      </c>
    </row>
    <row r="15" spans="1:29" x14ac:dyDescent="0.25">
      <c r="A15" s="3">
        <f>'Monthly Data'!A15</f>
        <v>42401</v>
      </c>
      <c r="B15" s="1">
        <f t="shared" si="1"/>
        <v>2016</v>
      </c>
      <c r="C15" s="1">
        <f t="shared" si="2"/>
        <v>2</v>
      </c>
      <c r="D15" s="24">
        <f>'Monthly Data'!X15</f>
        <v>3430298.1465842407</v>
      </c>
      <c r="E15" s="278">
        <f>'Monthly Data'!BL15</f>
        <v>313.70833333333326</v>
      </c>
      <c r="F15" s="278">
        <f>'Monthly Data'!BG15</f>
        <v>0</v>
      </c>
      <c r="G15" s="278">
        <f>'Monthly Data'!CC15</f>
        <v>14</v>
      </c>
      <c r="H15" s="278">
        <f>'Monthly Data'!CD15</f>
        <v>29</v>
      </c>
      <c r="I15" s="278">
        <f>'Monthly Data'!CG15</f>
        <v>0</v>
      </c>
      <c r="J15" s="278">
        <f>'Monthly Data'!CB15</f>
        <v>0</v>
      </c>
      <c r="K15" s="278">
        <f>'Monthly Data'!AX15</f>
        <v>5503</v>
      </c>
      <c r="M15" s="18">
        <f>'Large Use Predicted Monthly'!$Z$10</f>
        <v>877619.90234118199</v>
      </c>
      <c r="N15" s="18">
        <f>E15*'Large Use Predicted Monthly'!$Z$11</f>
        <v>132851.89968900697</v>
      </c>
      <c r="O15" s="18">
        <f>F15*'Large Use Predicted Monthly'!$Z$12</f>
        <v>0</v>
      </c>
      <c r="P15" s="18">
        <f>G15*'Large Use Predicted Monthly'!$Z$13</f>
        <v>0</v>
      </c>
      <c r="Q15" s="18">
        <f>H15*'Large Use Predicted Monthly'!$Z$14</f>
        <v>2029614.8676683968</v>
      </c>
      <c r="R15" s="18">
        <f>I15*'Large Use Predicted Monthly'!$Z$15</f>
        <v>0</v>
      </c>
      <c r="S15" s="18">
        <f>J15*'Large Use Predicted Monthly'!$Z$16</f>
        <v>0</v>
      </c>
      <c r="T15" s="18">
        <f>K15*'Large Use Predicted Monthly'!$Z$17</f>
        <v>11420.611329222897</v>
      </c>
      <c r="U15" s="18">
        <f t="shared" si="5"/>
        <v>3051507.2810278088</v>
      </c>
      <c r="V15" s="18">
        <f t="shared" si="3"/>
        <v>-378790.86555643193</v>
      </c>
      <c r="W15" s="279">
        <f t="shared" si="4"/>
        <v>0.1104250561816667</v>
      </c>
      <c r="Y15" t="s">
        <v>84</v>
      </c>
      <c r="Z15" s="517">
        <v>-689233.25542346505</v>
      </c>
      <c r="AA15" s="516">
        <v>189243.88139252001</v>
      </c>
      <c r="AB15" s="516">
        <v>-3.6420371974610601</v>
      </c>
      <c r="AC15" s="519">
        <v>4.09776934638175E-4</v>
      </c>
    </row>
    <row r="16" spans="1:29" x14ac:dyDescent="0.25">
      <c r="A16" s="3">
        <f>'Monthly Data'!A16</f>
        <v>42430</v>
      </c>
      <c r="B16" s="1">
        <f t="shared" si="1"/>
        <v>2016</v>
      </c>
      <c r="C16" s="1">
        <f t="shared" si="2"/>
        <v>3</v>
      </c>
      <c r="D16" s="24">
        <f>'Monthly Data'!X16</f>
        <v>3622320.7069886015</v>
      </c>
      <c r="E16" s="278">
        <f>'Monthly Data'!BL16</f>
        <v>207.6751811594203</v>
      </c>
      <c r="F16" s="278">
        <f>'Monthly Data'!BG16</f>
        <v>0</v>
      </c>
      <c r="G16" s="278">
        <f>'Monthly Data'!CC16</f>
        <v>15</v>
      </c>
      <c r="H16" s="278">
        <f>'Monthly Data'!CD16</f>
        <v>31</v>
      </c>
      <c r="I16" s="278">
        <f>'Monthly Data'!CG16</f>
        <v>0</v>
      </c>
      <c r="J16" s="278">
        <f>'Monthly Data'!CB16</f>
        <v>1</v>
      </c>
      <c r="K16" s="278">
        <f>'Monthly Data'!AX16</f>
        <v>5503</v>
      </c>
      <c r="M16" s="18">
        <f>'Large Use Predicted Monthly'!$Z$10</f>
        <v>877619.90234118199</v>
      </c>
      <c r="N16" s="18">
        <f>E16*'Large Use Predicted Monthly'!$Z$11</f>
        <v>87948.069603785887</v>
      </c>
      <c r="O16" s="18">
        <f>F16*'Large Use Predicted Monthly'!$Z$12</f>
        <v>0</v>
      </c>
      <c r="P16" s="18">
        <f>G16*'Large Use Predicted Monthly'!$Z$13</f>
        <v>0</v>
      </c>
      <c r="Q16" s="18">
        <f>H16*'Large Use Predicted Monthly'!$Z$14</f>
        <v>2169588.3068179414</v>
      </c>
      <c r="R16" s="18">
        <f>I16*'Large Use Predicted Monthly'!$Z$15</f>
        <v>0</v>
      </c>
      <c r="S16" s="18">
        <f>J16*'Large Use Predicted Monthly'!$Z$16</f>
        <v>177799.47475552099</v>
      </c>
      <c r="T16" s="18">
        <f>K16*'Large Use Predicted Monthly'!$Z$17</f>
        <v>11420.611329222897</v>
      </c>
      <c r="U16" s="18">
        <f t="shared" si="5"/>
        <v>3324376.3648476531</v>
      </c>
      <c r="V16" s="18">
        <f t="shared" si="3"/>
        <v>-297944.3421409484</v>
      </c>
      <c r="W16" s="279">
        <f t="shared" si="4"/>
        <v>8.2252336621138927E-2</v>
      </c>
      <c r="Y16" t="s">
        <v>79</v>
      </c>
      <c r="Z16" s="517">
        <v>177799.47475552099</v>
      </c>
      <c r="AA16" s="516">
        <v>37125.5491176328</v>
      </c>
      <c r="AB16" s="516">
        <v>4.7891406048207203</v>
      </c>
      <c r="AC16" s="519">
        <v>5.1220183702489097E-6</v>
      </c>
    </row>
    <row r="17" spans="1:29" x14ac:dyDescent="0.25">
      <c r="A17" s="3">
        <f>'Monthly Data'!A17</f>
        <v>42461</v>
      </c>
      <c r="B17" s="1">
        <f t="shared" si="1"/>
        <v>2016</v>
      </c>
      <c r="C17" s="1">
        <f t="shared" si="2"/>
        <v>4</v>
      </c>
      <c r="D17" s="24">
        <f>'Monthly Data'!X17</f>
        <v>3453242.8504224992</v>
      </c>
      <c r="E17" s="278">
        <f>'Monthly Data'!BL17</f>
        <v>127.94999999999997</v>
      </c>
      <c r="F17" s="278">
        <f>'Monthly Data'!BG17</f>
        <v>0.83333333333333393</v>
      </c>
      <c r="G17" s="278">
        <f>'Monthly Data'!CC17</f>
        <v>16</v>
      </c>
      <c r="H17" s="278">
        <f>'Monthly Data'!CD17</f>
        <v>30</v>
      </c>
      <c r="I17" s="278">
        <f>'Monthly Data'!CG17</f>
        <v>0</v>
      </c>
      <c r="J17" s="278">
        <f>'Monthly Data'!CB17</f>
        <v>1</v>
      </c>
      <c r="K17" s="278">
        <f>'Monthly Data'!AX17</f>
        <v>-2655</v>
      </c>
      <c r="M17" s="18">
        <f>'Large Use Predicted Monthly'!$Z$10</f>
        <v>877619.90234118199</v>
      </c>
      <c r="N17" s="18">
        <f>E17*'Large Use Predicted Monthly'!$Z$11</f>
        <v>54185.36506375383</v>
      </c>
      <c r="O17" s="18">
        <f>F17*'Large Use Predicted Monthly'!$Z$12</f>
        <v>1505.1913492303345</v>
      </c>
      <c r="P17" s="18">
        <f>G17*'Large Use Predicted Monthly'!$Z$13</f>
        <v>0</v>
      </c>
      <c r="Q17" s="18">
        <f>H17*'Large Use Predicted Monthly'!$Z$14</f>
        <v>2099601.5872431691</v>
      </c>
      <c r="R17" s="18">
        <f>I17*'Large Use Predicted Monthly'!$Z$15</f>
        <v>0</v>
      </c>
      <c r="S17" s="18">
        <f>J17*'Large Use Predicted Monthly'!$Z$16</f>
        <v>177799.47475552099</v>
      </c>
      <c r="T17" s="18">
        <f>K17*'Large Use Predicted Monthly'!$Z$17</f>
        <v>-5510.0350861506067</v>
      </c>
      <c r="U17" s="18">
        <f t="shared" si="5"/>
        <v>3205201.4856667053</v>
      </c>
      <c r="V17" s="18">
        <f t="shared" si="3"/>
        <v>-248041.36475579394</v>
      </c>
      <c r="W17" s="279">
        <f t="shared" si="4"/>
        <v>7.1828532049359475E-2</v>
      </c>
      <c r="Y17" t="s">
        <v>49</v>
      </c>
      <c r="Z17" s="518">
        <v>2.0753427819776298</v>
      </c>
      <c r="AA17" s="516">
        <v>0.97086267416072103</v>
      </c>
      <c r="AB17" s="516">
        <v>2.13762753189754</v>
      </c>
      <c r="AC17" s="519">
        <v>3.4702192533986702E-2</v>
      </c>
    </row>
    <row r="18" spans="1:29" x14ac:dyDescent="0.25">
      <c r="A18" s="3">
        <f>'Monthly Data'!A18</f>
        <v>42491</v>
      </c>
      <c r="B18" s="1">
        <f t="shared" si="1"/>
        <v>2016</v>
      </c>
      <c r="C18" s="1">
        <f t="shared" si="2"/>
        <v>5</v>
      </c>
      <c r="D18" s="24">
        <f>'Monthly Data'!X18</f>
        <v>3397618.0244841203</v>
      </c>
      <c r="E18" s="278">
        <f>'Monthly Data'!BL18</f>
        <v>4.2083333333333348</v>
      </c>
      <c r="F18" s="278">
        <f>'Monthly Data'!BG18</f>
        <v>66.604166666666671</v>
      </c>
      <c r="G18" s="278">
        <f>'Monthly Data'!CC18</f>
        <v>17</v>
      </c>
      <c r="H18" s="278">
        <f>'Monthly Data'!CD18</f>
        <v>31</v>
      </c>
      <c r="I18" s="278">
        <f>'Monthly Data'!CG18</f>
        <v>0</v>
      </c>
      <c r="J18" s="278">
        <f>'Monthly Data'!CB18</f>
        <v>1</v>
      </c>
      <c r="K18" s="278">
        <f>'Monthly Data'!AX18</f>
        <v>-2655</v>
      </c>
      <c r="M18" s="18">
        <f>'Large Use Predicted Monthly'!$Z$10</f>
        <v>877619.90234118199</v>
      </c>
      <c r="N18" s="18">
        <f>E18*'Large Use Predicted Monthly'!$Z$11</f>
        <v>1782.1811487036407</v>
      </c>
      <c r="O18" s="18">
        <f>F18*'Large Use Predicted Monthly'!$Z$12</f>
        <v>120302.4185872344</v>
      </c>
      <c r="P18" s="18">
        <f>G18*'Large Use Predicted Monthly'!$Z$13</f>
        <v>0</v>
      </c>
      <c r="Q18" s="18">
        <f>H18*'Large Use Predicted Monthly'!$Z$14</f>
        <v>2169588.3068179414</v>
      </c>
      <c r="R18" s="18">
        <f>I18*'Large Use Predicted Monthly'!$Z$15</f>
        <v>0</v>
      </c>
      <c r="S18" s="18">
        <f>J18*'Large Use Predicted Monthly'!$Z$16</f>
        <v>177799.47475552099</v>
      </c>
      <c r="T18" s="18">
        <f>K18*'Large Use Predicted Monthly'!$Z$17</f>
        <v>-5510.0350861506067</v>
      </c>
      <c r="U18" s="18">
        <f t="shared" si="5"/>
        <v>3341582.2485644319</v>
      </c>
      <c r="V18" s="18">
        <f t="shared" si="3"/>
        <v>-56035.7759196884</v>
      </c>
      <c r="W18" s="279">
        <f t="shared" si="4"/>
        <v>1.6492665012923763E-2</v>
      </c>
      <c r="Y18"/>
      <c r="Z18"/>
      <c r="AA18"/>
      <c r="AB18"/>
      <c r="AC18"/>
    </row>
    <row r="19" spans="1:29" x14ac:dyDescent="0.25">
      <c r="A19" s="3">
        <f>'Monthly Data'!A19</f>
        <v>42522</v>
      </c>
      <c r="B19" s="1">
        <f t="shared" si="1"/>
        <v>2016</v>
      </c>
      <c r="C19" s="1">
        <f t="shared" si="2"/>
        <v>6</v>
      </c>
      <c r="D19" s="24">
        <f>'Monthly Data'!X19</f>
        <v>3372600.7862359551</v>
      </c>
      <c r="E19" s="278">
        <f>'Monthly Data'!BL19</f>
        <v>0</v>
      </c>
      <c r="F19" s="278">
        <f>'Monthly Data'!BG19</f>
        <v>147.17916666666667</v>
      </c>
      <c r="G19" s="278">
        <f>'Monthly Data'!CC19</f>
        <v>18</v>
      </c>
      <c r="H19" s="278">
        <f>'Monthly Data'!CD19</f>
        <v>30</v>
      </c>
      <c r="I19" s="278">
        <f>'Monthly Data'!CG19</f>
        <v>0</v>
      </c>
      <c r="J19" s="278">
        <f>'Monthly Data'!CB19</f>
        <v>0</v>
      </c>
      <c r="K19" s="278">
        <f>'Monthly Data'!AX19</f>
        <v>-2655</v>
      </c>
      <c r="M19" s="18">
        <f>'Large Use Predicted Monthly'!$Z$10</f>
        <v>877619.90234118199</v>
      </c>
      <c r="N19" s="18">
        <f>E19*'Large Use Predicted Monthly'!$Z$11</f>
        <v>0</v>
      </c>
      <c r="O19" s="18">
        <f>F19*'Large Use Predicted Monthly'!$Z$12</f>
        <v>265839.37014431535</v>
      </c>
      <c r="P19" s="18">
        <f>G19*'Large Use Predicted Monthly'!$Z$13</f>
        <v>0</v>
      </c>
      <c r="Q19" s="18">
        <f>H19*'Large Use Predicted Monthly'!$Z$14</f>
        <v>2099601.5872431691</v>
      </c>
      <c r="R19" s="18">
        <f>I19*'Large Use Predicted Monthly'!$Z$15</f>
        <v>0</v>
      </c>
      <c r="S19" s="18">
        <f>J19*'Large Use Predicted Monthly'!$Z$16</f>
        <v>0</v>
      </c>
      <c r="T19" s="18">
        <f>K19*'Large Use Predicted Monthly'!$Z$17</f>
        <v>-5510.0350861506067</v>
      </c>
      <c r="U19" s="18">
        <f t="shared" si="5"/>
        <v>3237550.8246425157</v>
      </c>
      <c r="V19" s="18">
        <f t="shared" si="3"/>
        <v>-135049.96159343934</v>
      </c>
      <c r="W19" s="279">
        <f t="shared" si="4"/>
        <v>4.004326932040006E-2</v>
      </c>
      <c r="Y19" t="s">
        <v>153</v>
      </c>
      <c r="Z19"/>
      <c r="AA19"/>
      <c r="AB19"/>
      <c r="AC19"/>
    </row>
    <row r="20" spans="1:29" x14ac:dyDescent="0.25">
      <c r="A20" s="3">
        <f>'Monthly Data'!A20</f>
        <v>42552</v>
      </c>
      <c r="B20" s="1">
        <f t="shared" si="1"/>
        <v>2016</v>
      </c>
      <c r="C20" s="1">
        <f t="shared" si="2"/>
        <v>7</v>
      </c>
      <c r="D20" s="24">
        <f>'Monthly Data'!X20</f>
        <v>3721310.9432763467</v>
      </c>
      <c r="E20" s="278">
        <f>'Monthly Data'!BL20</f>
        <v>0</v>
      </c>
      <c r="F20" s="278">
        <f>'Monthly Data'!BG20</f>
        <v>251.2291666666666</v>
      </c>
      <c r="G20" s="278">
        <f>'Monthly Data'!CC20</f>
        <v>19</v>
      </c>
      <c r="H20" s="278">
        <f>'Monthly Data'!CD20</f>
        <v>31</v>
      </c>
      <c r="I20" s="278">
        <f>'Monthly Data'!CG20</f>
        <v>0</v>
      </c>
      <c r="J20" s="278">
        <f>'Monthly Data'!CB20</f>
        <v>0</v>
      </c>
      <c r="K20" s="278">
        <f>'Monthly Data'!AX20</f>
        <v>5974</v>
      </c>
      <c r="M20" s="18">
        <f>'Large Use Predicted Monthly'!$Z$10</f>
        <v>877619.90234118199</v>
      </c>
      <c r="N20" s="18">
        <f>E20*'Large Use Predicted Monthly'!$Z$11</f>
        <v>0</v>
      </c>
      <c r="O20" s="18">
        <f>F20*'Large Use Predicted Monthly'!$Z$12</f>
        <v>453777.5620092146</v>
      </c>
      <c r="P20" s="18">
        <f>G20*'Large Use Predicted Monthly'!$Z$13</f>
        <v>0</v>
      </c>
      <c r="Q20" s="18">
        <f>H20*'Large Use Predicted Monthly'!$Z$14</f>
        <v>2169588.3068179414</v>
      </c>
      <c r="R20" s="18">
        <f>I20*'Large Use Predicted Monthly'!$Z$15</f>
        <v>0</v>
      </c>
      <c r="S20" s="18">
        <f>J20*'Large Use Predicted Monthly'!$Z$16</f>
        <v>0</v>
      </c>
      <c r="T20" s="18">
        <f>K20*'Large Use Predicted Monthly'!$Z$17</f>
        <v>12398.097779534361</v>
      </c>
      <c r="U20" s="18">
        <f t="shared" si="5"/>
        <v>3513383.8689478724</v>
      </c>
      <c r="V20" s="18">
        <f t="shared" si="3"/>
        <v>-207927.07432847423</v>
      </c>
      <c r="W20" s="279">
        <f t="shared" si="4"/>
        <v>5.5874684351265039E-2</v>
      </c>
      <c r="Y20" t="s">
        <v>154</v>
      </c>
      <c r="Z20">
        <v>3231965530372.8501</v>
      </c>
      <c r="AA20" t="s">
        <v>155</v>
      </c>
      <c r="AB20" s="517">
        <v>169119.67617801399</v>
      </c>
      <c r="AC20"/>
    </row>
    <row r="21" spans="1:29" x14ac:dyDescent="0.25">
      <c r="A21" s="3">
        <f>'Monthly Data'!A21</f>
        <v>42583</v>
      </c>
      <c r="B21" s="1">
        <f t="shared" si="1"/>
        <v>2016</v>
      </c>
      <c r="C21" s="1">
        <f t="shared" si="2"/>
        <v>8</v>
      </c>
      <c r="D21" s="24">
        <f>'Monthly Data'!X21</f>
        <v>3656370.200016906</v>
      </c>
      <c r="E21" s="278">
        <f>'Monthly Data'!BL21</f>
        <v>0</v>
      </c>
      <c r="F21" s="278">
        <f>'Monthly Data'!BG21</f>
        <v>266.02500000000003</v>
      </c>
      <c r="G21" s="278">
        <f>'Monthly Data'!CC21</f>
        <v>20</v>
      </c>
      <c r="H21" s="278">
        <f>'Monthly Data'!CD21</f>
        <v>31</v>
      </c>
      <c r="I21" s="278">
        <f>'Monthly Data'!CG21</f>
        <v>0</v>
      </c>
      <c r="J21" s="278">
        <f>'Monthly Data'!CB21</f>
        <v>0</v>
      </c>
      <c r="K21" s="278">
        <f>'Monthly Data'!AX21</f>
        <v>5974</v>
      </c>
      <c r="M21" s="18">
        <f>'Large Use Predicted Monthly'!$Z$10</f>
        <v>877619.90234118199</v>
      </c>
      <c r="N21" s="18">
        <f>E21*'Large Use Predicted Monthly'!$Z$11</f>
        <v>0</v>
      </c>
      <c r="O21" s="18">
        <f>F21*'Large Use Predicted Monthly'!$Z$12</f>
        <v>480502.23441479937</v>
      </c>
      <c r="P21" s="18">
        <f>G21*'Large Use Predicted Monthly'!$Z$13</f>
        <v>0</v>
      </c>
      <c r="Q21" s="18">
        <f>H21*'Large Use Predicted Monthly'!$Z$14</f>
        <v>2169588.3068179414</v>
      </c>
      <c r="R21" s="18">
        <f>I21*'Large Use Predicted Monthly'!$Z$15</f>
        <v>0</v>
      </c>
      <c r="S21" s="18">
        <f>J21*'Large Use Predicted Monthly'!$Z$16</f>
        <v>0</v>
      </c>
      <c r="T21" s="18">
        <f>K21*'Large Use Predicted Monthly'!$Z$17</f>
        <v>12398.097779534361</v>
      </c>
      <c r="U21" s="18">
        <f t="shared" si="5"/>
        <v>3540108.5413534571</v>
      </c>
      <c r="V21" s="18">
        <f t="shared" si="3"/>
        <v>-116261.65866344888</v>
      </c>
      <c r="W21" s="279">
        <f t="shared" si="4"/>
        <v>3.1797015155333917E-2</v>
      </c>
      <c r="Y21" t="s">
        <v>156</v>
      </c>
      <c r="Z21" s="519">
        <v>0.84729543076778802</v>
      </c>
      <c r="AA21" t="s">
        <v>157</v>
      </c>
      <c r="AB21" s="519">
        <v>0.83918722355191799</v>
      </c>
      <c r="AC21"/>
    </row>
    <row r="22" spans="1:29" x14ac:dyDescent="0.25">
      <c r="A22" s="3">
        <f>'Monthly Data'!A22</f>
        <v>42614</v>
      </c>
      <c r="B22" s="1">
        <f t="shared" si="1"/>
        <v>2016</v>
      </c>
      <c r="C22" s="1">
        <f t="shared" si="2"/>
        <v>9</v>
      </c>
      <c r="D22" s="24">
        <f>'Monthly Data'!X22</f>
        <v>3775313.6989102969</v>
      </c>
      <c r="E22" s="278">
        <f>'Monthly Data'!BL22</f>
        <v>0</v>
      </c>
      <c r="F22" s="278">
        <f>'Monthly Data'!BG22</f>
        <v>120.65416666666664</v>
      </c>
      <c r="G22" s="278">
        <f>'Monthly Data'!CC22</f>
        <v>21</v>
      </c>
      <c r="H22" s="278">
        <f>'Monthly Data'!CD22</f>
        <v>30</v>
      </c>
      <c r="I22" s="278">
        <f>'Monthly Data'!CG22</f>
        <v>0</v>
      </c>
      <c r="J22" s="278">
        <f>'Monthly Data'!CB22</f>
        <v>1</v>
      </c>
      <c r="K22" s="278">
        <f>'Monthly Data'!AX22</f>
        <v>5974</v>
      </c>
      <c r="M22" s="18">
        <f>'Large Use Predicted Monthly'!$Z$10</f>
        <v>877619.90234118199</v>
      </c>
      <c r="N22" s="18">
        <f>E22*'Large Use Predicted Monthly'!$Z$11</f>
        <v>0</v>
      </c>
      <c r="O22" s="18">
        <f>F22*'Large Use Predicted Monthly'!$Z$12</f>
        <v>217929.12949831376</v>
      </c>
      <c r="P22" s="18">
        <f>G22*'Large Use Predicted Monthly'!$Z$13</f>
        <v>0</v>
      </c>
      <c r="Q22" s="18">
        <f>H22*'Large Use Predicted Monthly'!$Z$14</f>
        <v>2099601.5872431691</v>
      </c>
      <c r="R22" s="18">
        <f>I22*'Large Use Predicted Monthly'!$Z$15</f>
        <v>0</v>
      </c>
      <c r="S22" s="18">
        <f>J22*'Large Use Predicted Monthly'!$Z$16</f>
        <v>177799.47475552099</v>
      </c>
      <c r="T22" s="18">
        <f>K22*'Large Use Predicted Monthly'!$Z$17</f>
        <v>12398.097779534361</v>
      </c>
      <c r="U22" s="18">
        <f t="shared" si="5"/>
        <v>3385348.1916177203</v>
      </c>
      <c r="V22" s="18">
        <f t="shared" si="3"/>
        <v>-389965.5072925766</v>
      </c>
      <c r="W22" s="279">
        <f t="shared" si="4"/>
        <v>0.10329353754235997</v>
      </c>
      <c r="Y22" t="s">
        <v>551</v>
      </c>
      <c r="Z22" s="519">
        <v>29.468873948773499</v>
      </c>
      <c r="AA22" t="s">
        <v>159</v>
      </c>
      <c r="AB22" s="519">
        <v>4.9601010234438998E-21</v>
      </c>
      <c r="AC22"/>
    </row>
    <row r="23" spans="1:29" x14ac:dyDescent="0.25">
      <c r="A23" s="3">
        <f>'Monthly Data'!A23</f>
        <v>42644</v>
      </c>
      <c r="B23" s="1">
        <f t="shared" si="1"/>
        <v>2016</v>
      </c>
      <c r="C23" s="1">
        <f t="shared" si="2"/>
        <v>10</v>
      </c>
      <c r="D23" s="24">
        <f>'Monthly Data'!X23</f>
        <v>3484851.2475000508</v>
      </c>
      <c r="E23" s="278">
        <f>'Monthly Data'!BL23</f>
        <v>33.25</v>
      </c>
      <c r="F23" s="278">
        <f>'Monthly Data'!BG23</f>
        <v>24.770833333333336</v>
      </c>
      <c r="G23" s="278">
        <f>'Monthly Data'!CC23</f>
        <v>22</v>
      </c>
      <c r="H23" s="278">
        <f>'Monthly Data'!CD23</f>
        <v>31</v>
      </c>
      <c r="I23" s="278">
        <f>'Monthly Data'!CG23</f>
        <v>0</v>
      </c>
      <c r="J23" s="278">
        <f>'Monthly Data'!CB23</f>
        <v>1</v>
      </c>
      <c r="K23" s="278">
        <f>'Monthly Data'!AX23</f>
        <v>-1226</v>
      </c>
      <c r="M23" s="18">
        <f>'Large Use Predicted Monthly'!$Z$10</f>
        <v>877619.90234118199</v>
      </c>
      <c r="N23" s="18">
        <f>E23*'Large Use Predicted Monthly'!$Z$11</f>
        <v>14080.995610549553</v>
      </c>
      <c r="O23" s="18">
        <f>F23*'Large Use Predicted Monthly'!$Z$12</f>
        <v>44741.812855871663</v>
      </c>
      <c r="P23" s="18">
        <f>G23*'Large Use Predicted Monthly'!$Z$13</f>
        <v>0</v>
      </c>
      <c r="Q23" s="18">
        <f>H23*'Large Use Predicted Monthly'!$Z$14</f>
        <v>2169588.3068179414</v>
      </c>
      <c r="R23" s="18">
        <f>I23*'Large Use Predicted Monthly'!$Z$15</f>
        <v>0</v>
      </c>
      <c r="S23" s="18">
        <f>J23*'Large Use Predicted Monthly'!$Z$16</f>
        <v>177799.47475552099</v>
      </c>
      <c r="T23" s="18">
        <f>K23*'Large Use Predicted Monthly'!$Z$17</f>
        <v>-2544.3702507045741</v>
      </c>
      <c r="U23" s="18">
        <f t="shared" si="5"/>
        <v>3281286.1221303609</v>
      </c>
      <c r="V23" s="18">
        <f t="shared" si="3"/>
        <v>-203565.12536968989</v>
      </c>
      <c r="W23" s="279">
        <f t="shared" si="4"/>
        <v>5.8414294014908857E-2</v>
      </c>
      <c r="Y23" t="s">
        <v>160</v>
      </c>
      <c r="Z23" s="519">
        <v>9.3554965390602596E-3</v>
      </c>
      <c r="AA23" t="s">
        <v>161</v>
      </c>
      <c r="AB23" s="519">
        <v>1.9807418910108701</v>
      </c>
      <c r="AC23"/>
    </row>
    <row r="24" spans="1:29" x14ac:dyDescent="0.25">
      <c r="A24" s="3">
        <f>'Monthly Data'!A24</f>
        <v>42675</v>
      </c>
      <c r="B24" s="1">
        <f t="shared" si="1"/>
        <v>2016</v>
      </c>
      <c r="C24" s="1">
        <f t="shared" si="2"/>
        <v>11</v>
      </c>
      <c r="D24" s="24">
        <f>'Monthly Data'!X24</f>
        <v>3264640.2214974263</v>
      </c>
      <c r="E24" s="278">
        <f>'Monthly Data'!BL24</f>
        <v>89.230952380952388</v>
      </c>
      <c r="F24" s="278">
        <f>'Monthly Data'!BG24</f>
        <v>0</v>
      </c>
      <c r="G24" s="278">
        <f>'Monthly Data'!CC24</f>
        <v>23</v>
      </c>
      <c r="H24" s="278">
        <f>'Monthly Data'!CD24</f>
        <v>30</v>
      </c>
      <c r="I24" s="278">
        <f>'Monthly Data'!CG24</f>
        <v>0</v>
      </c>
      <c r="J24" s="278">
        <f>'Monthly Data'!CB24</f>
        <v>1</v>
      </c>
      <c r="K24" s="278">
        <f>'Monthly Data'!AX24</f>
        <v>-1226</v>
      </c>
      <c r="M24" s="18">
        <f>'Large Use Predicted Monthly'!$Z$10</f>
        <v>877619.90234118199</v>
      </c>
      <c r="N24" s="18">
        <f>E24*'Large Use Predicted Monthly'!$Z$11</f>
        <v>37788.290189514191</v>
      </c>
      <c r="O24" s="18">
        <f>F24*'Large Use Predicted Monthly'!$Z$12</f>
        <v>0</v>
      </c>
      <c r="P24" s="18">
        <f>G24*'Large Use Predicted Monthly'!$Z$13</f>
        <v>0</v>
      </c>
      <c r="Q24" s="18">
        <f>H24*'Large Use Predicted Monthly'!$Z$14</f>
        <v>2099601.5872431691</v>
      </c>
      <c r="R24" s="18">
        <f>I24*'Large Use Predicted Monthly'!$Z$15</f>
        <v>0</v>
      </c>
      <c r="S24" s="18">
        <f>J24*'Large Use Predicted Monthly'!$Z$16</f>
        <v>177799.47475552099</v>
      </c>
      <c r="T24" s="18">
        <f>K24*'Large Use Predicted Monthly'!$Z$17</f>
        <v>-2544.3702507045741</v>
      </c>
      <c r="U24" s="18">
        <f t="shared" si="5"/>
        <v>3190264.8842786816</v>
      </c>
      <c r="V24" s="18">
        <f t="shared" si="3"/>
        <v>-74375.33721874468</v>
      </c>
      <c r="W24" s="279">
        <f t="shared" si="4"/>
        <v>2.278209302482654E-2</v>
      </c>
      <c r="Y24"/>
      <c r="Z24"/>
      <c r="AA24"/>
      <c r="AB24" s="517"/>
      <c r="AC24"/>
    </row>
    <row r="25" spans="1:29" x14ac:dyDescent="0.25">
      <c r="A25" s="3">
        <f>'Monthly Data'!A25</f>
        <v>42705</v>
      </c>
      <c r="B25" s="1">
        <f t="shared" si="1"/>
        <v>2016</v>
      </c>
      <c r="C25" s="1">
        <f t="shared" si="2"/>
        <v>12</v>
      </c>
      <c r="D25" s="24">
        <f>'Monthly Data'!X25</f>
        <v>3043951.7634717003</v>
      </c>
      <c r="E25" s="278">
        <f>'Monthly Data'!BL25</f>
        <v>306.67083333333341</v>
      </c>
      <c r="F25" s="278">
        <f>'Monthly Data'!BG25</f>
        <v>0</v>
      </c>
      <c r="G25" s="278">
        <f>'Monthly Data'!CC25</f>
        <v>24</v>
      </c>
      <c r="H25" s="278">
        <f>'Monthly Data'!CD25</f>
        <v>31</v>
      </c>
      <c r="I25" s="278">
        <f>'Monthly Data'!CG25</f>
        <v>0</v>
      </c>
      <c r="J25" s="278">
        <f>'Monthly Data'!CB25</f>
        <v>0</v>
      </c>
      <c r="K25" s="278">
        <f>'Monthly Data'!AX25</f>
        <v>-1226</v>
      </c>
      <c r="M25" s="18">
        <f>'Large Use Predicted Monthly'!$Z$10</f>
        <v>877619.90234118199</v>
      </c>
      <c r="N25" s="18">
        <f>E25*'Large Use Predicted Monthly'!$Z$11</f>
        <v>129871.59873835312</v>
      </c>
      <c r="O25" s="18">
        <f>F25*'Large Use Predicted Monthly'!$Z$12</f>
        <v>0</v>
      </c>
      <c r="P25" s="18">
        <f>G25*'Large Use Predicted Monthly'!$Z$13</f>
        <v>0</v>
      </c>
      <c r="Q25" s="18">
        <f>H25*'Large Use Predicted Monthly'!$Z$14</f>
        <v>2169588.3068179414</v>
      </c>
      <c r="R25" s="18">
        <f>I25*'Large Use Predicted Monthly'!$Z$15</f>
        <v>0</v>
      </c>
      <c r="S25" s="18">
        <f>J25*'Large Use Predicted Monthly'!$Z$16</f>
        <v>0</v>
      </c>
      <c r="T25" s="18">
        <f>K25*'Large Use Predicted Monthly'!$Z$17</f>
        <v>-2544.3702507045741</v>
      </c>
      <c r="U25" s="18">
        <f t="shared" si="5"/>
        <v>3174535.4376467718</v>
      </c>
      <c r="V25" s="18">
        <f t="shared" si="3"/>
        <v>130583.67417507153</v>
      </c>
      <c r="W25" s="279">
        <f t="shared" si="4"/>
        <v>4.2899390109302424E-2</v>
      </c>
      <c r="Y25" t="s">
        <v>162</v>
      </c>
      <c r="Z25"/>
      <c r="AA25"/>
      <c r="AB25" s="517"/>
      <c r="AC25"/>
    </row>
    <row r="26" spans="1:29" x14ac:dyDescent="0.25">
      <c r="A26" s="3">
        <f>'Monthly Data'!A26</f>
        <v>42736</v>
      </c>
      <c r="B26" s="1">
        <f t="shared" si="1"/>
        <v>2017</v>
      </c>
      <c r="C26" s="1">
        <f t="shared" si="2"/>
        <v>1</v>
      </c>
      <c r="D26" s="24">
        <f>'Monthly Data'!X26</f>
        <v>3141631.0463145096</v>
      </c>
      <c r="E26" s="278">
        <f>'Monthly Data'!BL26</f>
        <v>310.2166666666667</v>
      </c>
      <c r="F26" s="278">
        <f>'Monthly Data'!BG26</f>
        <v>0</v>
      </c>
      <c r="G26" s="278">
        <f>'Monthly Data'!CC26</f>
        <v>25</v>
      </c>
      <c r="H26" s="278">
        <f>'Monthly Data'!CD26</f>
        <v>31</v>
      </c>
      <c r="I26" s="278">
        <f>'Monthly Data'!CG26</f>
        <v>0</v>
      </c>
      <c r="J26" s="278">
        <f>'Monthly Data'!CB26</f>
        <v>0</v>
      </c>
      <c r="K26" s="278">
        <f>'Monthly Data'!AX26</f>
        <v>11322</v>
      </c>
      <c r="M26" s="18">
        <f>'Large Use Predicted Monthly'!$Z$10</f>
        <v>877619.90234118199</v>
      </c>
      <c r="N26" s="18">
        <f>E26*'Large Use Predicted Monthly'!$Z$11</f>
        <v>131373.21869632023</v>
      </c>
      <c r="O26" s="18">
        <f>F26*'Large Use Predicted Monthly'!$Z$12</f>
        <v>0</v>
      </c>
      <c r="P26" s="18">
        <f>G26*'Large Use Predicted Monthly'!$Z$13</f>
        <v>0</v>
      </c>
      <c r="Q26" s="18">
        <f>H26*'Large Use Predicted Monthly'!$Z$14</f>
        <v>2169588.3068179414</v>
      </c>
      <c r="R26" s="18">
        <f>I26*'Large Use Predicted Monthly'!$Z$15</f>
        <v>0</v>
      </c>
      <c r="S26" s="18">
        <f>J26*'Large Use Predicted Monthly'!$Z$16</f>
        <v>0</v>
      </c>
      <c r="T26" s="18">
        <f>K26*'Large Use Predicted Monthly'!$Z$17</f>
        <v>23497.030977550723</v>
      </c>
      <c r="U26" s="18">
        <f t="shared" si="5"/>
        <v>3202078.4588329946</v>
      </c>
      <c r="V26" s="18">
        <f t="shared" si="3"/>
        <v>60447.412518484984</v>
      </c>
      <c r="W26" s="279">
        <f t="shared" si="4"/>
        <v>1.9240773861525423E-2</v>
      </c>
      <c r="Y26" t="s">
        <v>163</v>
      </c>
      <c r="Z26" s="517">
        <v>3183186.4981744299</v>
      </c>
      <c r="AA26" t="s">
        <v>164</v>
      </c>
      <c r="AB26" s="517">
        <v>419982.396881597</v>
      </c>
      <c r="AC26"/>
    </row>
    <row r="27" spans="1:29" x14ac:dyDescent="0.25">
      <c r="A27" s="3">
        <f>'Monthly Data'!A27</f>
        <v>42767</v>
      </c>
      <c r="B27" s="1">
        <f t="shared" si="1"/>
        <v>2017</v>
      </c>
      <c r="C27" s="1">
        <f t="shared" si="2"/>
        <v>2</v>
      </c>
      <c r="D27" s="24">
        <f>'Monthly Data'!X27</f>
        <v>2680217.6612751428</v>
      </c>
      <c r="E27" s="278">
        <f>'Monthly Data'!BL27</f>
        <v>251.42499999999998</v>
      </c>
      <c r="F27" s="278">
        <f>'Monthly Data'!BG27</f>
        <v>0</v>
      </c>
      <c r="G27" s="278">
        <f>'Monthly Data'!CC27</f>
        <v>26</v>
      </c>
      <c r="H27" s="278">
        <f>'Monthly Data'!CD27</f>
        <v>28</v>
      </c>
      <c r="I27" s="278">
        <f>'Monthly Data'!CG27</f>
        <v>0</v>
      </c>
      <c r="J27" s="278">
        <f>'Monthly Data'!CB27</f>
        <v>0</v>
      </c>
      <c r="K27" s="278">
        <f>'Monthly Data'!AX27</f>
        <v>11322</v>
      </c>
      <c r="M27" s="18">
        <f>'Large Use Predicted Monthly'!$Z$10</f>
        <v>877619.90234118199</v>
      </c>
      <c r="N27" s="18">
        <f>E27*'Large Use Predicted Monthly'!$Z$11</f>
        <v>106475.61868819312</v>
      </c>
      <c r="O27" s="18">
        <f>F27*'Large Use Predicted Monthly'!$Z$12</f>
        <v>0</v>
      </c>
      <c r="P27" s="18">
        <f>G27*'Large Use Predicted Monthly'!$Z$13</f>
        <v>0</v>
      </c>
      <c r="Q27" s="18">
        <f>H27*'Large Use Predicted Monthly'!$Z$14</f>
        <v>1959628.1480936245</v>
      </c>
      <c r="R27" s="18">
        <f>I27*'Large Use Predicted Monthly'!$Z$15</f>
        <v>0</v>
      </c>
      <c r="S27" s="18">
        <f>J27*'Large Use Predicted Monthly'!$Z$16</f>
        <v>0</v>
      </c>
      <c r="T27" s="18">
        <f>K27*'Large Use Predicted Monthly'!$Z$17</f>
        <v>23497.030977550723</v>
      </c>
      <c r="U27" s="18">
        <f t="shared" si="5"/>
        <v>2967220.7001005504</v>
      </c>
      <c r="V27" s="18">
        <f t="shared" si="3"/>
        <v>287003.03882540762</v>
      </c>
      <c r="W27" s="279">
        <f t="shared" si="4"/>
        <v>0.10708198926234326</v>
      </c>
    </row>
    <row r="28" spans="1:29" x14ac:dyDescent="0.25">
      <c r="A28" s="3">
        <f>'Monthly Data'!A28</f>
        <v>42795</v>
      </c>
      <c r="B28" s="1">
        <f t="shared" si="1"/>
        <v>2017</v>
      </c>
      <c r="C28" s="1">
        <f t="shared" si="2"/>
        <v>3</v>
      </c>
      <c r="D28" s="24">
        <f>'Monthly Data'!X28</f>
        <v>3176117.730370699</v>
      </c>
      <c r="E28" s="278">
        <f>'Monthly Data'!BL28</f>
        <v>290.67916666666662</v>
      </c>
      <c r="F28" s="278">
        <f>'Monthly Data'!BG28</f>
        <v>0</v>
      </c>
      <c r="G28" s="278">
        <f>'Monthly Data'!CC28</f>
        <v>27</v>
      </c>
      <c r="H28" s="278">
        <f>'Monthly Data'!CD28</f>
        <v>31</v>
      </c>
      <c r="I28" s="278">
        <f>'Monthly Data'!CG28</f>
        <v>0</v>
      </c>
      <c r="J28" s="278">
        <f>'Monthly Data'!CB28</f>
        <v>1</v>
      </c>
      <c r="K28" s="278">
        <f>'Monthly Data'!AX28</f>
        <v>11322</v>
      </c>
      <c r="M28" s="18">
        <f>'Large Use Predicted Monthly'!$Z$10</f>
        <v>877619.90234118199</v>
      </c>
      <c r="N28" s="18">
        <f>E28*'Large Use Predicted Monthly'!$Z$11</f>
        <v>123099.31037327924</v>
      </c>
      <c r="O28" s="18">
        <f>F28*'Large Use Predicted Monthly'!$Z$12</f>
        <v>0</v>
      </c>
      <c r="P28" s="18">
        <f>G28*'Large Use Predicted Monthly'!$Z$13</f>
        <v>0</v>
      </c>
      <c r="Q28" s="18">
        <f>H28*'Large Use Predicted Monthly'!$Z$14</f>
        <v>2169588.3068179414</v>
      </c>
      <c r="R28" s="18">
        <f>I28*'Large Use Predicted Monthly'!$Z$15</f>
        <v>0</v>
      </c>
      <c r="S28" s="18">
        <f>J28*'Large Use Predicted Monthly'!$Z$16</f>
        <v>177799.47475552099</v>
      </c>
      <c r="T28" s="18">
        <f>K28*'Large Use Predicted Monthly'!$Z$17</f>
        <v>23497.030977550723</v>
      </c>
      <c r="U28" s="18">
        <f t="shared" si="5"/>
        <v>3371604.0252654743</v>
      </c>
      <c r="V28" s="18">
        <f t="shared" si="3"/>
        <v>195486.29489477538</v>
      </c>
      <c r="W28" s="279">
        <f t="shared" si="4"/>
        <v>6.1548818869494266E-2</v>
      </c>
    </row>
    <row r="29" spans="1:29" x14ac:dyDescent="0.25">
      <c r="A29" s="3">
        <f>'Monthly Data'!A29</f>
        <v>42826</v>
      </c>
      <c r="B29" s="1">
        <f t="shared" si="1"/>
        <v>2017</v>
      </c>
      <c r="C29" s="1">
        <f t="shared" si="2"/>
        <v>4</v>
      </c>
      <c r="D29" s="24">
        <f>'Monthly Data'!X29</f>
        <v>2861019.1771277706</v>
      </c>
      <c r="E29" s="278">
        <f>'Monthly Data'!BL29</f>
        <v>34.695833333333326</v>
      </c>
      <c r="F29" s="278">
        <f>'Monthly Data'!BG29</f>
        <v>5.6500000000000057</v>
      </c>
      <c r="G29" s="278">
        <f>'Monthly Data'!CC29</f>
        <v>28</v>
      </c>
      <c r="H29" s="278">
        <f>'Monthly Data'!CD29</f>
        <v>30</v>
      </c>
      <c r="I29" s="278">
        <f>'Monthly Data'!CG29</f>
        <v>0</v>
      </c>
      <c r="J29" s="278">
        <f>'Monthly Data'!CB29</f>
        <v>1</v>
      </c>
      <c r="K29" s="278">
        <f>'Monthly Data'!AX29</f>
        <v>7942</v>
      </c>
      <c r="M29" s="18">
        <f>'Large Use Predicted Monthly'!$Z$10</f>
        <v>877619.90234118199</v>
      </c>
      <c r="N29" s="18">
        <f>E29*'Large Use Predicted Monthly'!$Z$11</f>
        <v>14693.289529955651</v>
      </c>
      <c r="O29" s="18">
        <f>F29*'Large Use Predicted Monthly'!$Z$12</f>
        <v>10205.19734778167</v>
      </c>
      <c r="P29" s="18">
        <f>G29*'Large Use Predicted Monthly'!$Z$13</f>
        <v>0</v>
      </c>
      <c r="Q29" s="18">
        <f>H29*'Large Use Predicted Monthly'!$Z$14</f>
        <v>2099601.5872431691</v>
      </c>
      <c r="R29" s="18">
        <f>I29*'Large Use Predicted Monthly'!$Z$15</f>
        <v>0</v>
      </c>
      <c r="S29" s="18">
        <f>J29*'Large Use Predicted Monthly'!$Z$16</f>
        <v>177799.47475552099</v>
      </c>
      <c r="T29" s="18">
        <f>K29*'Large Use Predicted Monthly'!$Z$17</f>
        <v>16482.372374466337</v>
      </c>
      <c r="U29" s="18">
        <f t="shared" si="5"/>
        <v>3196401.8235920756</v>
      </c>
      <c r="V29" s="18">
        <f t="shared" si="3"/>
        <v>335382.646464305</v>
      </c>
      <c r="W29" s="279">
        <f t="shared" si="4"/>
        <v>0.11722488585378926</v>
      </c>
    </row>
    <row r="30" spans="1:29" x14ac:dyDescent="0.25">
      <c r="A30" s="3">
        <f>'Monthly Data'!A30</f>
        <v>42856</v>
      </c>
      <c r="B30" s="1">
        <f t="shared" si="1"/>
        <v>2017</v>
      </c>
      <c r="C30" s="1">
        <f t="shared" si="2"/>
        <v>5</v>
      </c>
      <c r="D30" s="24">
        <f>'Monthly Data'!X30</f>
        <v>3114292.1851983243</v>
      </c>
      <c r="E30" s="278">
        <f>'Monthly Data'!BL30</f>
        <v>10.045833333333327</v>
      </c>
      <c r="F30" s="278">
        <f>'Monthly Data'!BG30</f>
        <v>28.370833333333344</v>
      </c>
      <c r="G30" s="278">
        <f>'Monthly Data'!CC30</f>
        <v>29</v>
      </c>
      <c r="H30" s="278">
        <f>'Monthly Data'!CD30</f>
        <v>31</v>
      </c>
      <c r="I30" s="278">
        <f>'Monthly Data'!CG30</f>
        <v>0</v>
      </c>
      <c r="J30" s="278">
        <f>'Monthly Data'!CB30</f>
        <v>1</v>
      </c>
      <c r="K30" s="278">
        <f>'Monthly Data'!AX30</f>
        <v>7942</v>
      </c>
      <c r="M30" s="18">
        <f>'Large Use Predicted Monthly'!$Z$10</f>
        <v>877619.90234118199</v>
      </c>
      <c r="N30" s="18">
        <f>E30*'Large Use Predicted Monthly'!$Z$11</f>
        <v>4254.2957916083897</v>
      </c>
      <c r="O30" s="18">
        <f>F30*'Large Use Predicted Monthly'!$Z$12</f>
        <v>51244.239484546721</v>
      </c>
      <c r="P30" s="18">
        <f>G30*'Large Use Predicted Monthly'!$Z$13</f>
        <v>0</v>
      </c>
      <c r="Q30" s="18">
        <f>H30*'Large Use Predicted Monthly'!$Z$14</f>
        <v>2169588.3068179414</v>
      </c>
      <c r="R30" s="18">
        <f>I30*'Large Use Predicted Monthly'!$Z$15</f>
        <v>0</v>
      </c>
      <c r="S30" s="18">
        <f>J30*'Large Use Predicted Monthly'!$Z$16</f>
        <v>177799.47475552099</v>
      </c>
      <c r="T30" s="18">
        <f>K30*'Large Use Predicted Monthly'!$Z$17</f>
        <v>16482.372374466337</v>
      </c>
      <c r="U30" s="18">
        <f t="shared" si="5"/>
        <v>3296988.5915652658</v>
      </c>
      <c r="V30" s="18">
        <f t="shared" si="3"/>
        <v>182696.40636694152</v>
      </c>
      <c r="W30" s="279">
        <f t="shared" si="4"/>
        <v>5.8663861803097662E-2</v>
      </c>
    </row>
    <row r="31" spans="1:29" x14ac:dyDescent="0.25">
      <c r="A31" s="3">
        <f>'Monthly Data'!A31</f>
        <v>42887</v>
      </c>
      <c r="B31" s="1">
        <f t="shared" si="1"/>
        <v>2017</v>
      </c>
      <c r="C31" s="1">
        <f t="shared" si="2"/>
        <v>6</v>
      </c>
      <c r="D31" s="24">
        <f>'Monthly Data'!X31</f>
        <v>3175507.694888188</v>
      </c>
      <c r="E31" s="278">
        <f>'Monthly Data'!BL31</f>
        <v>0</v>
      </c>
      <c r="F31" s="278">
        <f>'Monthly Data'!BG31</f>
        <v>112.71333333333334</v>
      </c>
      <c r="G31" s="278">
        <f>'Monthly Data'!CC31</f>
        <v>30</v>
      </c>
      <c r="H31" s="278">
        <f>'Monthly Data'!CD31</f>
        <v>30</v>
      </c>
      <c r="I31" s="278">
        <f>'Monthly Data'!CG31</f>
        <v>0</v>
      </c>
      <c r="J31" s="278">
        <f>'Monthly Data'!CB31</f>
        <v>0</v>
      </c>
      <c r="K31" s="278">
        <f>'Monthly Data'!AX31</f>
        <v>7942</v>
      </c>
      <c r="M31" s="18">
        <f>'Large Use Predicted Monthly'!$Z$10</f>
        <v>877619.90234118199</v>
      </c>
      <c r="N31" s="18">
        <f>E31*'Large Use Predicted Monthly'!$Z$11</f>
        <v>0</v>
      </c>
      <c r="O31" s="18">
        <f>F31*'Large Use Predicted Monthly'!$Z$12</f>
        <v>203586.16113149797</v>
      </c>
      <c r="P31" s="18">
        <f>G31*'Large Use Predicted Monthly'!$Z$13</f>
        <v>0</v>
      </c>
      <c r="Q31" s="18">
        <f>H31*'Large Use Predicted Monthly'!$Z$14</f>
        <v>2099601.5872431691</v>
      </c>
      <c r="R31" s="18">
        <f>I31*'Large Use Predicted Monthly'!$Z$15</f>
        <v>0</v>
      </c>
      <c r="S31" s="18">
        <f>J31*'Large Use Predicted Monthly'!$Z$16</f>
        <v>0</v>
      </c>
      <c r="T31" s="18">
        <f>K31*'Large Use Predicted Monthly'!$Z$17</f>
        <v>16482.372374466337</v>
      </c>
      <c r="U31" s="18">
        <f t="shared" si="5"/>
        <v>3197290.0230903155</v>
      </c>
      <c r="V31" s="18">
        <f t="shared" si="3"/>
        <v>21782.328202127479</v>
      </c>
      <c r="W31" s="279">
        <f t="shared" si="4"/>
        <v>6.8594789542446534E-3</v>
      </c>
    </row>
    <row r="32" spans="1:29" x14ac:dyDescent="0.25">
      <c r="A32" s="3">
        <f>'Monthly Data'!A32</f>
        <v>42917</v>
      </c>
      <c r="B32" s="1">
        <f t="shared" si="1"/>
        <v>2017</v>
      </c>
      <c r="C32" s="1">
        <f t="shared" si="2"/>
        <v>7</v>
      </c>
      <c r="D32" s="24">
        <f>'Monthly Data'!X32</f>
        <v>3342901.2671752255</v>
      </c>
      <c r="E32" s="278">
        <f>'Monthly Data'!BL32</f>
        <v>0</v>
      </c>
      <c r="F32" s="278">
        <f>'Monthly Data'!BG32</f>
        <v>198.16666666666666</v>
      </c>
      <c r="G32" s="278">
        <f>'Monthly Data'!CC32</f>
        <v>31</v>
      </c>
      <c r="H32" s="278">
        <f>'Monthly Data'!CD32</f>
        <v>31</v>
      </c>
      <c r="I32" s="278">
        <f>'Monthly Data'!CG32</f>
        <v>0</v>
      </c>
      <c r="J32" s="278">
        <f>'Monthly Data'!CB32</f>
        <v>0</v>
      </c>
      <c r="K32" s="278">
        <f>'Monthly Data'!AX32</f>
        <v>416</v>
      </c>
      <c r="M32" s="18">
        <f>'Large Use Predicted Monthly'!$Z$10</f>
        <v>877619.90234118199</v>
      </c>
      <c r="N32" s="18">
        <f>E32*'Large Use Predicted Monthly'!$Z$11</f>
        <v>0</v>
      </c>
      <c r="O32" s="18">
        <f>F32*'Large Use Predicted Monthly'!$Z$12</f>
        <v>357934.50284697325</v>
      </c>
      <c r="P32" s="18">
        <f>G32*'Large Use Predicted Monthly'!$Z$13</f>
        <v>0</v>
      </c>
      <c r="Q32" s="18">
        <f>H32*'Large Use Predicted Monthly'!$Z$14</f>
        <v>2169588.3068179414</v>
      </c>
      <c r="R32" s="18">
        <f>I32*'Large Use Predicted Monthly'!$Z$15</f>
        <v>0</v>
      </c>
      <c r="S32" s="18">
        <f>J32*'Large Use Predicted Monthly'!$Z$16</f>
        <v>0</v>
      </c>
      <c r="T32" s="18">
        <f>K32*'Large Use Predicted Monthly'!$Z$17</f>
        <v>863.342597302694</v>
      </c>
      <c r="U32" s="18">
        <f t="shared" si="5"/>
        <v>3406006.0546033992</v>
      </c>
      <c r="V32" s="18">
        <f t="shared" si="3"/>
        <v>63104.787428173702</v>
      </c>
      <c r="W32" s="279">
        <f t="shared" si="4"/>
        <v>1.8877251340868251E-2</v>
      </c>
    </row>
    <row r="33" spans="1:23" x14ac:dyDescent="0.25">
      <c r="A33" s="3">
        <f>'Monthly Data'!A33</f>
        <v>42948</v>
      </c>
      <c r="B33" s="1">
        <f t="shared" si="1"/>
        <v>2017</v>
      </c>
      <c r="C33" s="1">
        <f t="shared" si="2"/>
        <v>8</v>
      </c>
      <c r="D33" s="24">
        <f>'Monthly Data'!X33</f>
        <v>3439029.868955615</v>
      </c>
      <c r="E33" s="278">
        <f>'Monthly Data'!BL33</f>
        <v>0</v>
      </c>
      <c r="F33" s="278">
        <f>'Monthly Data'!BG33</f>
        <v>155.42409420289857</v>
      </c>
      <c r="G33" s="278">
        <f>'Monthly Data'!CC33</f>
        <v>32</v>
      </c>
      <c r="H33" s="278">
        <f>'Monthly Data'!CD33</f>
        <v>31</v>
      </c>
      <c r="I33" s="278">
        <f>'Monthly Data'!CG33</f>
        <v>0</v>
      </c>
      <c r="J33" s="278">
        <f>'Monthly Data'!CB33</f>
        <v>0</v>
      </c>
      <c r="K33" s="278">
        <f>'Monthly Data'!AX33</f>
        <v>416</v>
      </c>
      <c r="M33" s="18">
        <f>'Large Use Predicted Monthly'!$Z$10</f>
        <v>877619.90234118199</v>
      </c>
      <c r="N33" s="18">
        <f>E33*'Large Use Predicted Monthly'!$Z$11</f>
        <v>0</v>
      </c>
      <c r="O33" s="18">
        <f>F33*'Large Use Predicted Monthly'!$Z$12</f>
        <v>280731.60246739601</v>
      </c>
      <c r="P33" s="18">
        <f>G33*'Large Use Predicted Monthly'!$Z$13</f>
        <v>0</v>
      </c>
      <c r="Q33" s="18">
        <f>H33*'Large Use Predicted Monthly'!$Z$14</f>
        <v>2169588.3068179414</v>
      </c>
      <c r="R33" s="18">
        <f>I33*'Large Use Predicted Monthly'!$Z$15</f>
        <v>0</v>
      </c>
      <c r="S33" s="18">
        <f>J33*'Large Use Predicted Monthly'!$Z$16</f>
        <v>0</v>
      </c>
      <c r="T33" s="18">
        <f>K33*'Large Use Predicted Monthly'!$Z$17</f>
        <v>863.342597302694</v>
      </c>
      <c r="U33" s="18">
        <f t="shared" si="5"/>
        <v>3328803.1542238216</v>
      </c>
      <c r="V33" s="18">
        <f t="shared" si="3"/>
        <v>-110226.71473179338</v>
      </c>
      <c r="W33" s="279">
        <f t="shared" si="4"/>
        <v>3.2051688683142406E-2</v>
      </c>
    </row>
    <row r="34" spans="1:23" x14ac:dyDescent="0.25">
      <c r="A34" s="3">
        <f>'Monthly Data'!A34</f>
        <v>42979</v>
      </c>
      <c r="B34" s="1">
        <f t="shared" si="1"/>
        <v>2017</v>
      </c>
      <c r="C34" s="1">
        <f t="shared" si="2"/>
        <v>9</v>
      </c>
      <c r="D34" s="24">
        <f>'Monthly Data'!X34</f>
        <v>3377365.2000244949</v>
      </c>
      <c r="E34" s="278">
        <f>'Monthly Data'!BL34</f>
        <v>0</v>
      </c>
      <c r="F34" s="278">
        <f>'Monthly Data'!BG34</f>
        <v>112.67916666666666</v>
      </c>
      <c r="G34" s="278">
        <f>'Monthly Data'!CC34</f>
        <v>33</v>
      </c>
      <c r="H34" s="278">
        <f>'Monthly Data'!CD34</f>
        <v>30</v>
      </c>
      <c r="I34" s="278">
        <f>'Monthly Data'!CG34</f>
        <v>0</v>
      </c>
      <c r="J34" s="278">
        <f>'Monthly Data'!CB34</f>
        <v>1</v>
      </c>
      <c r="K34" s="278">
        <f>'Monthly Data'!AX34</f>
        <v>416</v>
      </c>
      <c r="M34" s="18">
        <f>'Large Use Predicted Monthly'!$Z$10</f>
        <v>877619.90234118199</v>
      </c>
      <c r="N34" s="18">
        <f>E34*'Large Use Predicted Monthly'!$Z$11</f>
        <v>0</v>
      </c>
      <c r="O34" s="18">
        <f>F34*'Large Use Predicted Monthly'!$Z$12</f>
        <v>203524.44828617951</v>
      </c>
      <c r="P34" s="18">
        <f>G34*'Large Use Predicted Monthly'!$Z$13</f>
        <v>0</v>
      </c>
      <c r="Q34" s="18">
        <f>H34*'Large Use Predicted Monthly'!$Z$14</f>
        <v>2099601.5872431691</v>
      </c>
      <c r="R34" s="18">
        <f>I34*'Large Use Predicted Monthly'!$Z$15</f>
        <v>0</v>
      </c>
      <c r="S34" s="18">
        <f>J34*'Large Use Predicted Monthly'!$Z$16</f>
        <v>177799.47475552099</v>
      </c>
      <c r="T34" s="18">
        <f>K34*'Large Use Predicted Monthly'!$Z$17</f>
        <v>863.342597302694</v>
      </c>
      <c r="U34" s="18">
        <f t="shared" si="5"/>
        <v>3359408.7552233539</v>
      </c>
      <c r="V34" s="18">
        <f t="shared" ref="V34:V65" si="6">U34-D34</f>
        <v>-17956.444801141042</v>
      </c>
      <c r="W34" s="279">
        <f t="shared" ref="W34:W65" si="7">ABS(V34/D34)</f>
        <v>5.3167021443256447E-3</v>
      </c>
    </row>
    <row r="35" spans="1:23" x14ac:dyDescent="0.25">
      <c r="A35" s="3">
        <f>'Monthly Data'!A35</f>
        <v>43009</v>
      </c>
      <c r="B35" s="1">
        <f t="shared" si="1"/>
        <v>2017</v>
      </c>
      <c r="C35" s="1">
        <f t="shared" si="2"/>
        <v>10</v>
      </c>
      <c r="D35" s="24">
        <f>'Monthly Data'!X35</f>
        <v>3378259.0697360332</v>
      </c>
      <c r="E35" s="278">
        <f>'Monthly Data'!BL35</f>
        <v>11.620833333333334</v>
      </c>
      <c r="F35" s="278">
        <f>'Monthly Data'!BG35</f>
        <v>29.654166666666669</v>
      </c>
      <c r="G35" s="278">
        <f>'Monthly Data'!CC35</f>
        <v>34</v>
      </c>
      <c r="H35" s="278">
        <f>'Monthly Data'!CD35</f>
        <v>31</v>
      </c>
      <c r="I35" s="278">
        <f>'Monthly Data'!CG35</f>
        <v>0</v>
      </c>
      <c r="J35" s="278">
        <f>'Monthly Data'!CB35</f>
        <v>1</v>
      </c>
      <c r="K35" s="278">
        <f>'Monthly Data'!AX35</f>
        <v>6393</v>
      </c>
      <c r="M35" s="18">
        <f>'Large Use Predicted Monthly'!$Z$10</f>
        <v>877619.90234118199</v>
      </c>
      <c r="N35" s="18">
        <f>E35*'Large Use Predicted Monthly'!$Z$11</f>
        <v>4921.2903205291614</v>
      </c>
      <c r="O35" s="18">
        <f>F35*'Large Use Predicted Monthly'!$Z$12</f>
        <v>53562.234162361412</v>
      </c>
      <c r="P35" s="18">
        <f>G35*'Large Use Predicted Monthly'!$Z$13</f>
        <v>0</v>
      </c>
      <c r="Q35" s="18">
        <f>H35*'Large Use Predicted Monthly'!$Z$14</f>
        <v>2169588.3068179414</v>
      </c>
      <c r="R35" s="18">
        <f>I35*'Large Use Predicted Monthly'!$Z$15</f>
        <v>0</v>
      </c>
      <c r="S35" s="18">
        <f>J35*'Large Use Predicted Monthly'!$Z$16</f>
        <v>177799.47475552099</v>
      </c>
      <c r="T35" s="18">
        <f>K35*'Large Use Predicted Monthly'!$Z$17</f>
        <v>13267.666405182987</v>
      </c>
      <c r="U35" s="18">
        <f t="shared" si="5"/>
        <v>3296758.8748027175</v>
      </c>
      <c r="V35" s="18">
        <f t="shared" si="6"/>
        <v>-81500.194933315739</v>
      </c>
      <c r="W35" s="279">
        <f t="shared" si="7"/>
        <v>2.4124909680086765E-2</v>
      </c>
    </row>
    <row r="36" spans="1:23" x14ac:dyDescent="0.25">
      <c r="A36" s="3">
        <f>'Monthly Data'!A36</f>
        <v>43040</v>
      </c>
      <c r="B36" s="1">
        <f t="shared" si="1"/>
        <v>2017</v>
      </c>
      <c r="C36" s="1">
        <f t="shared" si="2"/>
        <v>11</v>
      </c>
      <c r="D36" s="24">
        <f>'Monthly Data'!X36</f>
        <v>2933829.9156862791</v>
      </c>
      <c r="E36" s="278">
        <f>'Monthly Data'!BL36</f>
        <v>148.02424242424243</v>
      </c>
      <c r="F36" s="278">
        <f>'Monthly Data'!BG36</f>
        <v>0</v>
      </c>
      <c r="G36" s="278">
        <f>'Monthly Data'!CC36</f>
        <v>35</v>
      </c>
      <c r="H36" s="278">
        <f>'Monthly Data'!CD36</f>
        <v>30</v>
      </c>
      <c r="I36" s="278">
        <f>'Monthly Data'!CG36</f>
        <v>0</v>
      </c>
      <c r="J36" s="278">
        <f>'Monthly Data'!CB36</f>
        <v>1</v>
      </c>
      <c r="K36" s="278">
        <f>'Monthly Data'!AX36</f>
        <v>6393</v>
      </c>
      <c r="M36" s="18">
        <f>'Large Use Predicted Monthly'!$Z$10</f>
        <v>877619.90234118199</v>
      </c>
      <c r="N36" s="18">
        <f>E36*'Large Use Predicted Monthly'!$Z$11</f>
        <v>62686.577679118214</v>
      </c>
      <c r="O36" s="18">
        <f>F36*'Large Use Predicted Monthly'!$Z$12</f>
        <v>0</v>
      </c>
      <c r="P36" s="18">
        <f>G36*'Large Use Predicted Monthly'!$Z$13</f>
        <v>0</v>
      </c>
      <c r="Q36" s="18">
        <f>H36*'Large Use Predicted Monthly'!$Z$14</f>
        <v>2099601.5872431691</v>
      </c>
      <c r="R36" s="18">
        <f>I36*'Large Use Predicted Monthly'!$Z$15</f>
        <v>0</v>
      </c>
      <c r="S36" s="18">
        <f>J36*'Large Use Predicted Monthly'!$Z$16</f>
        <v>177799.47475552099</v>
      </c>
      <c r="T36" s="18">
        <f>K36*'Large Use Predicted Monthly'!$Z$17</f>
        <v>13267.666405182987</v>
      </c>
      <c r="U36" s="18">
        <f t="shared" si="5"/>
        <v>3230975.2084241728</v>
      </c>
      <c r="V36" s="18">
        <f t="shared" si="6"/>
        <v>297145.29273789376</v>
      </c>
      <c r="W36" s="279">
        <f t="shared" si="7"/>
        <v>0.10128238557700635</v>
      </c>
    </row>
    <row r="37" spans="1:23" x14ac:dyDescent="0.25">
      <c r="A37" s="3">
        <f>'Monthly Data'!A37</f>
        <v>43070</v>
      </c>
      <c r="B37" s="1">
        <f t="shared" si="1"/>
        <v>2017</v>
      </c>
      <c r="C37" s="1">
        <f t="shared" si="2"/>
        <v>12</v>
      </c>
      <c r="D37" s="24">
        <f>'Monthly Data'!X37</f>
        <v>3055515.8582477211</v>
      </c>
      <c r="E37" s="278">
        <f>'Monthly Data'!BL37</f>
        <v>426.3125</v>
      </c>
      <c r="F37" s="278">
        <f>'Monthly Data'!BG37</f>
        <v>0</v>
      </c>
      <c r="G37" s="278">
        <f>'Monthly Data'!CC37</f>
        <v>36</v>
      </c>
      <c r="H37" s="278">
        <f>'Monthly Data'!CD37</f>
        <v>31</v>
      </c>
      <c r="I37" s="278">
        <f>'Monthly Data'!CG37</f>
        <v>0</v>
      </c>
      <c r="J37" s="278">
        <f>'Monthly Data'!CB37</f>
        <v>0</v>
      </c>
      <c r="K37" s="278">
        <f>'Monthly Data'!AX37</f>
        <v>6393</v>
      </c>
      <c r="M37" s="18">
        <f>'Large Use Predicted Monthly'!$Z$10</f>
        <v>877619.90234118199</v>
      </c>
      <c r="N37" s="18">
        <f>E37*'Large Use Predicted Monthly'!$Z$11</f>
        <v>180538.47943526035</v>
      </c>
      <c r="O37" s="18">
        <f>F37*'Large Use Predicted Monthly'!$Z$12</f>
        <v>0</v>
      </c>
      <c r="P37" s="18">
        <f>G37*'Large Use Predicted Monthly'!$Z$13</f>
        <v>0</v>
      </c>
      <c r="Q37" s="18">
        <f>H37*'Large Use Predicted Monthly'!$Z$14</f>
        <v>2169588.3068179414</v>
      </c>
      <c r="R37" s="18">
        <f>I37*'Large Use Predicted Monthly'!$Z$15</f>
        <v>0</v>
      </c>
      <c r="S37" s="18">
        <f>J37*'Large Use Predicted Monthly'!$Z$16</f>
        <v>0</v>
      </c>
      <c r="T37" s="18">
        <f>K37*'Large Use Predicted Monthly'!$Z$17</f>
        <v>13267.666405182987</v>
      </c>
      <c r="U37" s="18">
        <f t="shared" si="5"/>
        <v>3241014.3549995665</v>
      </c>
      <c r="V37" s="18">
        <f t="shared" si="6"/>
        <v>185498.49675184535</v>
      </c>
      <c r="W37" s="279">
        <f t="shared" si="7"/>
        <v>6.0709387663995015E-2</v>
      </c>
    </row>
    <row r="38" spans="1:23" x14ac:dyDescent="0.25">
      <c r="A38" s="3">
        <f>'Monthly Data'!A38</f>
        <v>43101</v>
      </c>
      <c r="B38" s="1">
        <f t="shared" si="1"/>
        <v>2018</v>
      </c>
      <c r="C38" s="1">
        <f t="shared" si="2"/>
        <v>1</v>
      </c>
      <c r="D38" s="24">
        <f>'Monthly Data'!X38</f>
        <v>3620160.6120360349</v>
      </c>
      <c r="E38" s="278">
        <f>'Monthly Data'!BL38</f>
        <v>440.53750000000002</v>
      </c>
      <c r="F38" s="278">
        <f>'Monthly Data'!BG38</f>
        <v>0</v>
      </c>
      <c r="G38" s="278">
        <f>'Monthly Data'!CC38</f>
        <v>37</v>
      </c>
      <c r="H38" s="278">
        <f>'Monthly Data'!CD38</f>
        <v>31</v>
      </c>
      <c r="I38" s="278">
        <f>'Monthly Data'!CG38</f>
        <v>0</v>
      </c>
      <c r="J38" s="278">
        <f>'Monthly Data'!CB38</f>
        <v>0</v>
      </c>
      <c r="K38" s="278">
        <f>'Monthly Data'!AX38</f>
        <v>8006</v>
      </c>
      <c r="M38" s="18">
        <f>'Large Use Predicted Monthly'!$Z$10</f>
        <v>877619.90234118199</v>
      </c>
      <c r="N38" s="18">
        <f>E38*'Large Use Predicted Monthly'!$Z$11</f>
        <v>186562.60462503682</v>
      </c>
      <c r="O38" s="18">
        <f>F38*'Large Use Predicted Monthly'!$Z$12</f>
        <v>0</v>
      </c>
      <c r="P38" s="18">
        <f>G38*'Large Use Predicted Monthly'!$Z$13</f>
        <v>0</v>
      </c>
      <c r="Q38" s="18">
        <f>H38*'Large Use Predicted Monthly'!$Z$14</f>
        <v>2169588.3068179414</v>
      </c>
      <c r="R38" s="18">
        <f>I38*'Large Use Predicted Monthly'!$Z$15</f>
        <v>0</v>
      </c>
      <c r="S38" s="18">
        <f>J38*'Large Use Predicted Monthly'!$Z$16</f>
        <v>0</v>
      </c>
      <c r="T38" s="18">
        <f>K38*'Large Use Predicted Monthly'!$Z$17</f>
        <v>16615.194312512904</v>
      </c>
      <c r="U38" s="18">
        <f t="shared" si="5"/>
        <v>3250386.0080966731</v>
      </c>
      <c r="V38" s="18">
        <f t="shared" si="6"/>
        <v>-369774.60393936187</v>
      </c>
      <c r="W38" s="279">
        <f t="shared" si="7"/>
        <v>0.1021431487625061</v>
      </c>
    </row>
    <row r="39" spans="1:23" x14ac:dyDescent="0.25">
      <c r="A39" s="3">
        <f>'Monthly Data'!A39</f>
        <v>43132</v>
      </c>
      <c r="B39" s="1">
        <f t="shared" si="1"/>
        <v>2018</v>
      </c>
      <c r="C39" s="1">
        <f t="shared" si="2"/>
        <v>2</v>
      </c>
      <c r="D39" s="24">
        <f>'Monthly Data'!X39</f>
        <v>3387300.9512546035</v>
      </c>
      <c r="E39" s="278">
        <f>'Monthly Data'!BL39</f>
        <v>296.49583333333334</v>
      </c>
      <c r="F39" s="278">
        <f>'Monthly Data'!BG39</f>
        <v>0</v>
      </c>
      <c r="G39" s="278">
        <f>'Monthly Data'!CC39</f>
        <v>38</v>
      </c>
      <c r="H39" s="278">
        <f>'Monthly Data'!CD39</f>
        <v>28</v>
      </c>
      <c r="I39" s="278">
        <f>'Monthly Data'!CG39</f>
        <v>0</v>
      </c>
      <c r="J39" s="278">
        <f>'Monthly Data'!CB39</f>
        <v>0</v>
      </c>
      <c r="K39" s="278">
        <f>'Monthly Data'!AX39</f>
        <v>8006</v>
      </c>
      <c r="M39" s="18">
        <f>'Large Use Predicted Monthly'!$Z$10</f>
        <v>877619.90234118199</v>
      </c>
      <c r="N39" s="18">
        <f>E39*'Large Use Predicted Monthly'!$Z$11</f>
        <v>125562.60233723003</v>
      </c>
      <c r="O39" s="18">
        <f>F39*'Large Use Predicted Monthly'!$Z$12</f>
        <v>0</v>
      </c>
      <c r="P39" s="18">
        <f>G39*'Large Use Predicted Monthly'!$Z$13</f>
        <v>0</v>
      </c>
      <c r="Q39" s="18">
        <f>H39*'Large Use Predicted Monthly'!$Z$14</f>
        <v>1959628.1480936245</v>
      </c>
      <c r="R39" s="18">
        <f>I39*'Large Use Predicted Monthly'!$Z$15</f>
        <v>0</v>
      </c>
      <c r="S39" s="18">
        <f>J39*'Large Use Predicted Monthly'!$Z$16</f>
        <v>0</v>
      </c>
      <c r="T39" s="18">
        <f>K39*'Large Use Predicted Monthly'!$Z$17</f>
        <v>16615.194312512904</v>
      </c>
      <c r="U39" s="18">
        <f t="shared" si="5"/>
        <v>2979425.8470845493</v>
      </c>
      <c r="V39" s="18">
        <f t="shared" si="6"/>
        <v>-407875.1041700542</v>
      </c>
      <c r="W39" s="279">
        <f t="shared" si="7"/>
        <v>0.12041301025200717</v>
      </c>
    </row>
    <row r="40" spans="1:23" x14ac:dyDescent="0.25">
      <c r="A40" s="3">
        <f>'Monthly Data'!A40</f>
        <v>43160</v>
      </c>
      <c r="B40" s="1">
        <f t="shared" si="1"/>
        <v>2018</v>
      </c>
      <c r="C40" s="1">
        <f t="shared" si="2"/>
        <v>3</v>
      </c>
      <c r="D40" s="24">
        <f>'Monthly Data'!X40</f>
        <v>3736997.0486223674</v>
      </c>
      <c r="E40" s="278">
        <f>'Monthly Data'!BL40</f>
        <v>257.2791666666667</v>
      </c>
      <c r="F40" s="278">
        <f>'Monthly Data'!BG40</f>
        <v>0</v>
      </c>
      <c r="G40" s="278">
        <f>'Monthly Data'!CC40</f>
        <v>39</v>
      </c>
      <c r="H40" s="278">
        <f>'Monthly Data'!CD40</f>
        <v>31</v>
      </c>
      <c r="I40" s="278">
        <f>'Monthly Data'!CG40</f>
        <v>0</v>
      </c>
      <c r="J40" s="278">
        <f>'Monthly Data'!CB40</f>
        <v>1</v>
      </c>
      <c r="K40" s="278">
        <f>'Monthly Data'!AX40</f>
        <v>8006</v>
      </c>
      <c r="M40" s="18">
        <f>'Large Use Predicted Monthly'!$Z$10</f>
        <v>877619.90234118199</v>
      </c>
      <c r="N40" s="18">
        <f>E40*'Large Use Predicted Monthly'!$Z$11</f>
        <v>108954.79147426107</v>
      </c>
      <c r="O40" s="18">
        <f>F40*'Large Use Predicted Monthly'!$Z$12</f>
        <v>0</v>
      </c>
      <c r="P40" s="18">
        <f>G40*'Large Use Predicted Monthly'!$Z$13</f>
        <v>0</v>
      </c>
      <c r="Q40" s="18">
        <f>H40*'Large Use Predicted Monthly'!$Z$14</f>
        <v>2169588.3068179414</v>
      </c>
      <c r="R40" s="18">
        <f>I40*'Large Use Predicted Monthly'!$Z$15</f>
        <v>0</v>
      </c>
      <c r="S40" s="18">
        <f>J40*'Large Use Predicted Monthly'!$Z$16</f>
        <v>177799.47475552099</v>
      </c>
      <c r="T40" s="18">
        <f>K40*'Large Use Predicted Monthly'!$Z$17</f>
        <v>16615.194312512904</v>
      </c>
      <c r="U40" s="18">
        <f t="shared" si="5"/>
        <v>3350577.6697014184</v>
      </c>
      <c r="V40" s="18">
        <f t="shared" si="6"/>
        <v>-386419.37892094906</v>
      </c>
      <c r="W40" s="279">
        <f t="shared" si="7"/>
        <v>0.10340371530756264</v>
      </c>
    </row>
    <row r="41" spans="1:23" x14ac:dyDescent="0.25">
      <c r="A41" s="3">
        <f>'Monthly Data'!A41</f>
        <v>43191</v>
      </c>
      <c r="B41" s="1">
        <f t="shared" si="1"/>
        <v>2018</v>
      </c>
      <c r="C41" s="1">
        <f t="shared" si="2"/>
        <v>4</v>
      </c>
      <c r="D41" s="24">
        <f>'Monthly Data'!X41</f>
        <v>3419037.4477658686</v>
      </c>
      <c r="E41" s="278">
        <f>'Monthly Data'!BL41</f>
        <v>158.6666666666666</v>
      </c>
      <c r="F41" s="278">
        <f>'Monthly Data'!BG41</f>
        <v>0</v>
      </c>
      <c r="G41" s="278">
        <f>'Monthly Data'!CC41</f>
        <v>40</v>
      </c>
      <c r="H41" s="278">
        <f>'Monthly Data'!CD41</f>
        <v>30</v>
      </c>
      <c r="I41" s="278">
        <f>'Monthly Data'!CG41</f>
        <v>0</v>
      </c>
      <c r="J41" s="278">
        <f>'Monthly Data'!CB41</f>
        <v>1</v>
      </c>
      <c r="K41" s="278">
        <f>'Monthly Data'!AX41</f>
        <v>5437</v>
      </c>
      <c r="M41" s="18">
        <f>'Large Use Predicted Monthly'!$Z$10</f>
        <v>877619.90234118199</v>
      </c>
      <c r="N41" s="18">
        <f>E41*'Large Use Predicted Monthly'!$Z$11</f>
        <v>67193.52291349959</v>
      </c>
      <c r="O41" s="18">
        <f>F41*'Large Use Predicted Monthly'!$Z$12</f>
        <v>0</v>
      </c>
      <c r="P41" s="18">
        <f>G41*'Large Use Predicted Monthly'!$Z$13</f>
        <v>0</v>
      </c>
      <c r="Q41" s="18">
        <f>H41*'Large Use Predicted Monthly'!$Z$14</f>
        <v>2099601.5872431691</v>
      </c>
      <c r="R41" s="18">
        <f>I41*'Large Use Predicted Monthly'!$Z$15</f>
        <v>0</v>
      </c>
      <c r="S41" s="18">
        <f>J41*'Large Use Predicted Monthly'!$Z$16</f>
        <v>177799.47475552099</v>
      </c>
      <c r="T41" s="18">
        <f>K41*'Large Use Predicted Monthly'!$Z$17</f>
        <v>11283.638705612373</v>
      </c>
      <c r="U41" s="18">
        <f t="shared" si="5"/>
        <v>3233498.1259589838</v>
      </c>
      <c r="V41" s="18">
        <f t="shared" si="6"/>
        <v>-185539.32180688484</v>
      </c>
      <c r="W41" s="279">
        <f t="shared" si="7"/>
        <v>5.4266536895676121E-2</v>
      </c>
    </row>
    <row r="42" spans="1:23" x14ac:dyDescent="0.25">
      <c r="A42" s="3">
        <f>'Monthly Data'!A42</f>
        <v>43221</v>
      </c>
      <c r="B42" s="1">
        <f t="shared" si="1"/>
        <v>2018</v>
      </c>
      <c r="C42" s="1">
        <f t="shared" si="2"/>
        <v>5</v>
      </c>
      <c r="D42" s="24">
        <f>'Monthly Data'!X42</f>
        <v>3787056.8058039271</v>
      </c>
      <c r="E42" s="278">
        <f>'Monthly Data'!BL42</f>
        <v>0.50416666666666554</v>
      </c>
      <c r="F42" s="278">
        <f>'Monthly Data'!BG42</f>
        <v>80.600541125541127</v>
      </c>
      <c r="G42" s="278">
        <f>'Monthly Data'!CC42</f>
        <v>41</v>
      </c>
      <c r="H42" s="278">
        <f>'Monthly Data'!CD42</f>
        <v>31</v>
      </c>
      <c r="I42" s="278">
        <f>'Monthly Data'!CG42</f>
        <v>0</v>
      </c>
      <c r="J42" s="278">
        <f>'Monthly Data'!CB42</f>
        <v>1</v>
      </c>
      <c r="K42" s="278">
        <f>'Monthly Data'!AX42</f>
        <v>5437</v>
      </c>
      <c r="M42" s="18">
        <f>'Large Use Predicted Monthly'!$Z$10</f>
        <v>877619.90234118199</v>
      </c>
      <c r="N42" s="18">
        <f>E42*'Large Use Predicted Monthly'!$Z$11</f>
        <v>213.50883068627721</v>
      </c>
      <c r="O42" s="18">
        <f>F42*'Large Use Predicted Monthly'!$Z$12</f>
        <v>145583.08469453786</v>
      </c>
      <c r="P42" s="18">
        <f>G42*'Large Use Predicted Monthly'!$Z$13</f>
        <v>0</v>
      </c>
      <c r="Q42" s="18">
        <f>H42*'Large Use Predicted Monthly'!$Z$14</f>
        <v>2169588.3068179414</v>
      </c>
      <c r="R42" s="18">
        <f>I42*'Large Use Predicted Monthly'!$Z$15</f>
        <v>0</v>
      </c>
      <c r="S42" s="18">
        <f>J42*'Large Use Predicted Monthly'!$Z$16</f>
        <v>177799.47475552099</v>
      </c>
      <c r="T42" s="18">
        <f>K42*'Large Use Predicted Monthly'!$Z$17</f>
        <v>11283.638705612373</v>
      </c>
      <c r="U42" s="18">
        <f t="shared" si="5"/>
        <v>3382087.9161454807</v>
      </c>
      <c r="V42" s="18">
        <f t="shared" si="6"/>
        <v>-404968.88965844642</v>
      </c>
      <c r="W42" s="279">
        <f t="shared" si="7"/>
        <v>0.10693499211255651</v>
      </c>
    </row>
    <row r="43" spans="1:23" x14ac:dyDescent="0.25">
      <c r="A43" s="3">
        <f>'Monthly Data'!A43</f>
        <v>43252</v>
      </c>
      <c r="B43" s="1">
        <f t="shared" si="1"/>
        <v>2018</v>
      </c>
      <c r="C43" s="1">
        <f t="shared" si="2"/>
        <v>6</v>
      </c>
      <c r="D43" s="24">
        <f>'Monthly Data'!X43</f>
        <v>3565064.5816179486</v>
      </c>
      <c r="E43" s="278">
        <f>'Monthly Data'!BL43</f>
        <v>0</v>
      </c>
      <c r="F43" s="278">
        <f>'Monthly Data'!BG43</f>
        <v>141.51477272727271</v>
      </c>
      <c r="G43" s="278">
        <f>'Monthly Data'!CC43</f>
        <v>42</v>
      </c>
      <c r="H43" s="278">
        <f>'Monthly Data'!CD43</f>
        <v>30</v>
      </c>
      <c r="I43" s="278">
        <f>'Monthly Data'!CG43</f>
        <v>0</v>
      </c>
      <c r="J43" s="278">
        <f>'Monthly Data'!CB43</f>
        <v>0</v>
      </c>
      <c r="K43" s="278">
        <f>'Monthly Data'!AX43</f>
        <v>5437</v>
      </c>
      <c r="M43" s="18">
        <f>'Large Use Predicted Monthly'!$Z$10</f>
        <v>877619.90234118199</v>
      </c>
      <c r="N43" s="18">
        <f>E43*'Large Use Predicted Monthly'!$Z$11</f>
        <v>0</v>
      </c>
      <c r="O43" s="18">
        <f>F43*'Large Use Predicted Monthly'!$Z$12</f>
        <v>255608.17403686512</v>
      </c>
      <c r="P43" s="18">
        <f>G43*'Large Use Predicted Monthly'!$Z$13</f>
        <v>0</v>
      </c>
      <c r="Q43" s="18">
        <f>H43*'Large Use Predicted Monthly'!$Z$14</f>
        <v>2099601.5872431691</v>
      </c>
      <c r="R43" s="18">
        <f>I43*'Large Use Predicted Monthly'!$Z$15</f>
        <v>0</v>
      </c>
      <c r="S43" s="18">
        <f>J43*'Large Use Predicted Monthly'!$Z$16</f>
        <v>0</v>
      </c>
      <c r="T43" s="18">
        <f>K43*'Large Use Predicted Monthly'!$Z$17</f>
        <v>11283.638705612373</v>
      </c>
      <c r="U43" s="18">
        <f t="shared" si="5"/>
        <v>3244113.3023268282</v>
      </c>
      <c r="V43" s="18">
        <f t="shared" si="6"/>
        <v>-320951.27929112036</v>
      </c>
      <c r="W43" s="279">
        <f t="shared" si="7"/>
        <v>9.0026778461741536E-2</v>
      </c>
    </row>
    <row r="44" spans="1:23" x14ac:dyDescent="0.25">
      <c r="A44" s="3">
        <f>'Monthly Data'!A44</f>
        <v>43282</v>
      </c>
      <c r="B44" s="1">
        <f t="shared" si="1"/>
        <v>2018</v>
      </c>
      <c r="C44" s="1">
        <f t="shared" si="2"/>
        <v>7</v>
      </c>
      <c r="D44" s="24">
        <f>'Monthly Data'!X44</f>
        <v>3968524.5859418889</v>
      </c>
      <c r="E44" s="278">
        <f>'Monthly Data'!BL44</f>
        <v>0</v>
      </c>
      <c r="F44" s="278">
        <f>'Monthly Data'!BG44</f>
        <v>256.39861424807077</v>
      </c>
      <c r="G44" s="278">
        <f>'Monthly Data'!CC44</f>
        <v>43</v>
      </c>
      <c r="H44" s="278">
        <f>'Monthly Data'!CD44</f>
        <v>31</v>
      </c>
      <c r="I44" s="278">
        <f>'Monthly Data'!CG44</f>
        <v>0</v>
      </c>
      <c r="J44" s="278">
        <f>'Monthly Data'!CB44</f>
        <v>0</v>
      </c>
      <c r="K44" s="278">
        <f>'Monthly Data'!AX44</f>
        <v>9244</v>
      </c>
      <c r="M44" s="18">
        <f>'Large Use Predicted Monthly'!$Z$10</f>
        <v>877619.90234118199</v>
      </c>
      <c r="N44" s="18">
        <f>E44*'Large Use Predicted Monthly'!$Z$11</f>
        <v>0</v>
      </c>
      <c r="O44" s="18">
        <f>F44*'Large Use Predicted Monthly'!$Z$12</f>
        <v>463114.77134500968</v>
      </c>
      <c r="P44" s="18">
        <f>G44*'Large Use Predicted Monthly'!$Z$13</f>
        <v>0</v>
      </c>
      <c r="Q44" s="18">
        <f>H44*'Large Use Predicted Monthly'!$Z$14</f>
        <v>2169588.3068179414</v>
      </c>
      <c r="R44" s="18">
        <f>I44*'Large Use Predicted Monthly'!$Z$15</f>
        <v>0</v>
      </c>
      <c r="S44" s="18">
        <f>J44*'Large Use Predicted Monthly'!$Z$16</f>
        <v>0</v>
      </c>
      <c r="T44" s="18">
        <f>K44*'Large Use Predicted Monthly'!$Z$17</f>
        <v>19184.468676601209</v>
      </c>
      <c r="U44" s="18">
        <f t="shared" si="5"/>
        <v>3529507.4491807339</v>
      </c>
      <c r="V44" s="18">
        <f t="shared" si="6"/>
        <v>-439017.13676115498</v>
      </c>
      <c r="W44" s="279">
        <f t="shared" si="7"/>
        <v>0.11062477433460545</v>
      </c>
    </row>
    <row r="45" spans="1:23" x14ac:dyDescent="0.25">
      <c r="A45" s="3">
        <f>'Monthly Data'!A45</f>
        <v>43313</v>
      </c>
      <c r="B45" s="1">
        <f t="shared" si="1"/>
        <v>2018</v>
      </c>
      <c r="C45" s="1">
        <f t="shared" si="2"/>
        <v>8</v>
      </c>
      <c r="D45" s="24">
        <f>'Monthly Data'!X45</f>
        <v>4489467.8842810066</v>
      </c>
      <c r="E45" s="278">
        <f>'Monthly Data'!BL45</f>
        <v>0</v>
      </c>
      <c r="F45" s="278">
        <f>'Monthly Data'!BG45</f>
        <v>252.24583333333339</v>
      </c>
      <c r="G45" s="278">
        <f>'Monthly Data'!CC45</f>
        <v>44</v>
      </c>
      <c r="H45" s="278">
        <f>'Monthly Data'!CD45</f>
        <v>31</v>
      </c>
      <c r="I45" s="278">
        <f>'Monthly Data'!CG45</f>
        <v>0</v>
      </c>
      <c r="J45" s="278">
        <f>'Monthly Data'!CB45</f>
        <v>0</v>
      </c>
      <c r="K45" s="278">
        <f>'Monthly Data'!AX45</f>
        <v>9244</v>
      </c>
      <c r="M45" s="18">
        <f>'Large Use Predicted Monthly'!$Z$10</f>
        <v>877619.90234118199</v>
      </c>
      <c r="N45" s="18">
        <f>E45*'Large Use Predicted Monthly'!$Z$11</f>
        <v>0</v>
      </c>
      <c r="O45" s="18">
        <f>F45*'Large Use Predicted Monthly'!$Z$12</f>
        <v>455613.89545527584</v>
      </c>
      <c r="P45" s="18">
        <f>G45*'Large Use Predicted Monthly'!$Z$13</f>
        <v>0</v>
      </c>
      <c r="Q45" s="18">
        <f>H45*'Large Use Predicted Monthly'!$Z$14</f>
        <v>2169588.3068179414</v>
      </c>
      <c r="R45" s="18">
        <f>I45*'Large Use Predicted Monthly'!$Z$15</f>
        <v>0</v>
      </c>
      <c r="S45" s="18">
        <f>J45*'Large Use Predicted Monthly'!$Z$16</f>
        <v>0</v>
      </c>
      <c r="T45" s="18">
        <f>K45*'Large Use Predicted Monthly'!$Z$17</f>
        <v>19184.468676601209</v>
      </c>
      <c r="U45" s="18">
        <f t="shared" si="5"/>
        <v>3522006.5732910004</v>
      </c>
      <c r="V45" s="18">
        <f t="shared" si="6"/>
        <v>-967461.3109900062</v>
      </c>
      <c r="W45" s="279">
        <f t="shared" si="7"/>
        <v>0.21549576384706587</v>
      </c>
    </row>
    <row r="46" spans="1:23" x14ac:dyDescent="0.25">
      <c r="A46" s="3">
        <f>'Monthly Data'!A46</f>
        <v>43344</v>
      </c>
      <c r="B46" s="1">
        <f t="shared" si="1"/>
        <v>2018</v>
      </c>
      <c r="C46" s="1">
        <f t="shared" si="2"/>
        <v>9</v>
      </c>
      <c r="D46" s="24">
        <f>'Monthly Data'!X46</f>
        <v>4295278.7381676789</v>
      </c>
      <c r="E46" s="278">
        <f>'Monthly Data'!BL46</f>
        <v>0</v>
      </c>
      <c r="F46" s="278">
        <f>'Monthly Data'!BG46</f>
        <v>135.06250000000003</v>
      </c>
      <c r="G46" s="278">
        <f>'Monthly Data'!CC46</f>
        <v>45</v>
      </c>
      <c r="H46" s="278">
        <f>'Monthly Data'!CD46</f>
        <v>30</v>
      </c>
      <c r="I46" s="278">
        <f>'Monthly Data'!CG46</f>
        <v>0</v>
      </c>
      <c r="J46" s="278">
        <f>'Monthly Data'!CB46</f>
        <v>1</v>
      </c>
      <c r="K46" s="278">
        <f>'Monthly Data'!AX46</f>
        <v>9244</v>
      </c>
      <c r="M46" s="18">
        <f>'Large Use Predicted Monthly'!$Z$10</f>
        <v>877619.90234118199</v>
      </c>
      <c r="N46" s="18">
        <f>E46*'Large Use Predicted Monthly'!$Z$11</f>
        <v>0</v>
      </c>
      <c r="O46" s="18">
        <f>F46*'Large Use Predicted Monthly'!$Z$12</f>
        <v>243953.88792650632</v>
      </c>
      <c r="P46" s="18">
        <f>G46*'Large Use Predicted Monthly'!$Z$13</f>
        <v>0</v>
      </c>
      <c r="Q46" s="18">
        <f>H46*'Large Use Predicted Monthly'!$Z$14</f>
        <v>2099601.5872431691</v>
      </c>
      <c r="R46" s="18">
        <f>I46*'Large Use Predicted Monthly'!$Z$15</f>
        <v>0</v>
      </c>
      <c r="S46" s="18">
        <f>J46*'Large Use Predicted Monthly'!$Z$16</f>
        <v>177799.47475552099</v>
      </c>
      <c r="T46" s="18">
        <f>K46*'Large Use Predicted Monthly'!$Z$17</f>
        <v>19184.468676601209</v>
      </c>
      <c r="U46" s="18">
        <f t="shared" si="5"/>
        <v>3418159.3209429793</v>
      </c>
      <c r="V46" s="18">
        <f t="shared" si="6"/>
        <v>-877119.41722469963</v>
      </c>
      <c r="W46" s="279">
        <f t="shared" si="7"/>
        <v>0.2042054708651736</v>
      </c>
    </row>
    <row r="47" spans="1:23" x14ac:dyDescent="0.25">
      <c r="A47" s="3">
        <f>'Monthly Data'!A47</f>
        <v>43374</v>
      </c>
      <c r="B47" s="1">
        <f t="shared" si="1"/>
        <v>2018</v>
      </c>
      <c r="C47" s="1">
        <f t="shared" si="2"/>
        <v>10</v>
      </c>
      <c r="D47" s="24">
        <f>'Monthly Data'!X47</f>
        <v>3908812.9224410886</v>
      </c>
      <c r="E47" s="278">
        <f>'Monthly Data'!BL47</f>
        <v>55.56666666666667</v>
      </c>
      <c r="F47" s="278">
        <f>'Monthly Data'!BG47</f>
        <v>15.387500000000001</v>
      </c>
      <c r="G47" s="278">
        <f>'Monthly Data'!CC47</f>
        <v>46</v>
      </c>
      <c r="H47" s="278">
        <f>'Monthly Data'!CD47</f>
        <v>31</v>
      </c>
      <c r="I47" s="278">
        <f>'Monthly Data'!CG47</f>
        <v>0</v>
      </c>
      <c r="J47" s="278">
        <f>'Monthly Data'!CB47</f>
        <v>1</v>
      </c>
      <c r="K47" s="278">
        <f>'Monthly Data'!AX47</f>
        <v>5492</v>
      </c>
      <c r="M47" s="18">
        <f>'Large Use Predicted Monthly'!$Z$10</f>
        <v>877619.90234118199</v>
      </c>
      <c r="N47" s="18">
        <f>E47*'Large Use Predicted Monthly'!$Z$11</f>
        <v>23531.849306051234</v>
      </c>
      <c r="O47" s="18">
        <f>F47*'Large Use Predicted Monthly'!$Z$12</f>
        <v>27793.358263538106</v>
      </c>
      <c r="P47" s="18">
        <f>G47*'Large Use Predicted Monthly'!$Z$13</f>
        <v>0</v>
      </c>
      <c r="Q47" s="18">
        <f>H47*'Large Use Predicted Monthly'!$Z$14</f>
        <v>2169588.3068179414</v>
      </c>
      <c r="R47" s="18">
        <f>I47*'Large Use Predicted Monthly'!$Z$15</f>
        <v>0</v>
      </c>
      <c r="S47" s="18">
        <f>J47*'Large Use Predicted Monthly'!$Z$16</f>
        <v>177799.47475552099</v>
      </c>
      <c r="T47" s="18">
        <f>K47*'Large Use Predicted Monthly'!$Z$17</f>
        <v>11397.782558621142</v>
      </c>
      <c r="U47" s="18">
        <f t="shared" si="5"/>
        <v>3287730.6740428549</v>
      </c>
      <c r="V47" s="18">
        <f t="shared" si="6"/>
        <v>-621082.24839823367</v>
      </c>
      <c r="W47" s="279">
        <f t="shared" si="7"/>
        <v>0.15889280472659773</v>
      </c>
    </row>
    <row r="48" spans="1:23" x14ac:dyDescent="0.25">
      <c r="A48" s="3">
        <f>'Monthly Data'!A48</f>
        <v>43405</v>
      </c>
      <c r="B48" s="1">
        <f t="shared" si="1"/>
        <v>2018</v>
      </c>
      <c r="C48" s="1">
        <f t="shared" si="2"/>
        <v>11</v>
      </c>
      <c r="D48" s="24">
        <f>'Monthly Data'!X48</f>
        <v>3642797.6299564238</v>
      </c>
      <c r="E48" s="278">
        <f>'Monthly Data'!BL48</f>
        <v>206.24583333333334</v>
      </c>
      <c r="F48" s="278">
        <f>'Monthly Data'!BG48</f>
        <v>0</v>
      </c>
      <c r="G48" s="278">
        <f>'Monthly Data'!CC48</f>
        <v>47</v>
      </c>
      <c r="H48" s="278">
        <f>'Monthly Data'!CD48</f>
        <v>30</v>
      </c>
      <c r="I48" s="278">
        <f>'Monthly Data'!CG48</f>
        <v>0</v>
      </c>
      <c r="J48" s="278">
        <f>'Monthly Data'!CB48</f>
        <v>1</v>
      </c>
      <c r="K48" s="278">
        <f>'Monthly Data'!AX48</f>
        <v>5492</v>
      </c>
      <c r="M48" s="18">
        <f>'Large Use Predicted Monthly'!$Z$10</f>
        <v>877619.90234118199</v>
      </c>
      <c r="N48" s="18">
        <f>E48*'Large Use Predicted Monthly'!$Z$11</f>
        <v>87342.757108595528</v>
      </c>
      <c r="O48" s="18">
        <f>F48*'Large Use Predicted Monthly'!$Z$12</f>
        <v>0</v>
      </c>
      <c r="P48" s="18">
        <f>G48*'Large Use Predicted Monthly'!$Z$13</f>
        <v>0</v>
      </c>
      <c r="Q48" s="18">
        <f>H48*'Large Use Predicted Monthly'!$Z$14</f>
        <v>2099601.5872431691</v>
      </c>
      <c r="R48" s="18">
        <f>I48*'Large Use Predicted Monthly'!$Z$15</f>
        <v>0</v>
      </c>
      <c r="S48" s="18">
        <f>J48*'Large Use Predicted Monthly'!$Z$16</f>
        <v>177799.47475552099</v>
      </c>
      <c r="T48" s="18">
        <f>K48*'Large Use Predicted Monthly'!$Z$17</f>
        <v>11397.782558621142</v>
      </c>
      <c r="U48" s="18">
        <f t="shared" si="5"/>
        <v>3253761.504007089</v>
      </c>
      <c r="V48" s="18">
        <f t="shared" si="6"/>
        <v>-389036.12594933482</v>
      </c>
      <c r="W48" s="279">
        <f t="shared" si="7"/>
        <v>0.10679597536522735</v>
      </c>
    </row>
    <row r="49" spans="1:25" x14ac:dyDescent="0.25">
      <c r="A49" s="3">
        <f>'Monthly Data'!A49</f>
        <v>43435</v>
      </c>
      <c r="B49" s="1">
        <f t="shared" si="1"/>
        <v>2018</v>
      </c>
      <c r="C49" s="1">
        <f t="shared" si="2"/>
        <v>12</v>
      </c>
      <c r="D49" s="24">
        <f>'Monthly Data'!X49</f>
        <v>3331834.9087778269</v>
      </c>
      <c r="E49" s="278">
        <f>'Monthly Data'!BL49</f>
        <v>274.91666666666663</v>
      </c>
      <c r="F49" s="278">
        <f>'Monthly Data'!BG49</f>
        <v>0</v>
      </c>
      <c r="G49" s="278">
        <f>'Monthly Data'!CC49</f>
        <v>48</v>
      </c>
      <c r="H49" s="278">
        <f>'Monthly Data'!CD49</f>
        <v>31</v>
      </c>
      <c r="I49" s="278">
        <f>'Monthly Data'!CG49</f>
        <v>0</v>
      </c>
      <c r="J49" s="278">
        <f>'Monthly Data'!CB49</f>
        <v>0</v>
      </c>
      <c r="K49" s="278">
        <f>'Monthly Data'!AX49</f>
        <v>5492</v>
      </c>
      <c r="M49" s="18">
        <f>'Large Use Predicted Monthly'!$Z$10</f>
        <v>877619.90234118199</v>
      </c>
      <c r="N49" s="18">
        <f>E49*'Large Use Predicted Monthly'!$Z$11</f>
        <v>116424.07147669917</v>
      </c>
      <c r="O49" s="18">
        <f>F49*'Large Use Predicted Monthly'!$Z$12</f>
        <v>0</v>
      </c>
      <c r="P49" s="18">
        <f>G49*'Large Use Predicted Monthly'!$Z$13</f>
        <v>0</v>
      </c>
      <c r="Q49" s="18">
        <f>H49*'Large Use Predicted Monthly'!$Z$14</f>
        <v>2169588.3068179414</v>
      </c>
      <c r="R49" s="18">
        <f>I49*'Large Use Predicted Monthly'!$Z$15</f>
        <v>0</v>
      </c>
      <c r="S49" s="18">
        <f>J49*'Large Use Predicted Monthly'!$Z$16</f>
        <v>0</v>
      </c>
      <c r="T49" s="18">
        <f>K49*'Large Use Predicted Monthly'!$Z$17</f>
        <v>11397.782558621142</v>
      </c>
      <c r="U49" s="18">
        <f t="shared" si="5"/>
        <v>3175030.0631944439</v>
      </c>
      <c r="V49" s="18">
        <f t="shared" si="6"/>
        <v>-156804.84558338299</v>
      </c>
      <c r="W49" s="279">
        <f t="shared" si="7"/>
        <v>4.7062609605978842E-2</v>
      </c>
    </row>
    <row r="50" spans="1:25" x14ac:dyDescent="0.25">
      <c r="A50" s="3">
        <f>'Monthly Data'!A50</f>
        <v>43466</v>
      </c>
      <c r="B50" s="1">
        <f t="shared" si="1"/>
        <v>2019</v>
      </c>
      <c r="C50" s="1">
        <f t="shared" si="2"/>
        <v>1</v>
      </c>
      <c r="D50" s="24">
        <f>'Monthly Data'!X50</f>
        <v>3395269.4007415762</v>
      </c>
      <c r="E50" s="278">
        <f>'Monthly Data'!BL50</f>
        <v>469.93333333333328</v>
      </c>
      <c r="F50" s="278">
        <f>'Monthly Data'!BG50</f>
        <v>0</v>
      </c>
      <c r="G50" s="278">
        <f>'Monthly Data'!CC50</f>
        <v>49</v>
      </c>
      <c r="H50" s="278">
        <f>'Monthly Data'!CD50</f>
        <v>31</v>
      </c>
      <c r="I50" s="278">
        <f>'Monthly Data'!CG50</f>
        <v>0</v>
      </c>
      <c r="J50" s="278">
        <f>'Monthly Data'!CB50</f>
        <v>0</v>
      </c>
      <c r="K50" s="278">
        <f>'Monthly Data'!AX50</f>
        <v>1092</v>
      </c>
      <c r="M50" s="18">
        <f>'Large Use Predicted Monthly'!$Z$10</f>
        <v>877619.90234118199</v>
      </c>
      <c r="N50" s="18">
        <f>E50*'Large Use Predicted Monthly'!$Z$11</f>
        <v>199011.40462910032</v>
      </c>
      <c r="O50" s="18">
        <f>F50*'Large Use Predicted Monthly'!$Z$12</f>
        <v>0</v>
      </c>
      <c r="P50" s="18">
        <f>G50*'Large Use Predicted Monthly'!$Z$13</f>
        <v>0</v>
      </c>
      <c r="Q50" s="18">
        <f>H50*'Large Use Predicted Monthly'!$Z$14</f>
        <v>2169588.3068179414</v>
      </c>
      <c r="R50" s="18">
        <f>I50*'Large Use Predicted Monthly'!$Z$15</f>
        <v>0</v>
      </c>
      <c r="S50" s="18">
        <f>J50*'Large Use Predicted Monthly'!$Z$16</f>
        <v>0</v>
      </c>
      <c r="T50" s="18">
        <f>K50*'Large Use Predicted Monthly'!$Z$17</f>
        <v>2266.2743179195718</v>
      </c>
      <c r="U50" s="18">
        <f t="shared" si="5"/>
        <v>3248485.8881061436</v>
      </c>
      <c r="V50" s="18">
        <f t="shared" si="6"/>
        <v>-146783.51263543265</v>
      </c>
      <c r="W50" s="279">
        <f t="shared" si="7"/>
        <v>4.3231772007067536E-2</v>
      </c>
    </row>
    <row r="51" spans="1:25" x14ac:dyDescent="0.25">
      <c r="A51" s="3">
        <f>'Monthly Data'!A51</f>
        <v>43497</v>
      </c>
      <c r="B51" s="1">
        <f t="shared" si="1"/>
        <v>2019</v>
      </c>
      <c r="C51" s="1">
        <f t="shared" si="2"/>
        <v>2</v>
      </c>
      <c r="D51" s="24">
        <f>'Monthly Data'!X51</f>
        <v>2887304.4970666612</v>
      </c>
      <c r="E51" s="278">
        <f>'Monthly Data'!BL51</f>
        <v>359.30416666666662</v>
      </c>
      <c r="F51" s="278">
        <f>'Monthly Data'!BG51</f>
        <v>0</v>
      </c>
      <c r="G51" s="278">
        <f>'Monthly Data'!CC51</f>
        <v>50</v>
      </c>
      <c r="H51" s="278">
        <f>'Monthly Data'!CD51</f>
        <v>28</v>
      </c>
      <c r="I51" s="278">
        <f>'Monthly Data'!CG51</f>
        <v>0</v>
      </c>
      <c r="J51" s="278">
        <f>'Monthly Data'!CB51</f>
        <v>0</v>
      </c>
      <c r="K51" s="278">
        <f>'Monthly Data'!AX51</f>
        <v>1092</v>
      </c>
      <c r="M51" s="18">
        <f>'Large Use Predicted Monthly'!$Z$10</f>
        <v>877619.90234118199</v>
      </c>
      <c r="N51" s="18">
        <f>E51*'Large Use Predicted Monthly'!$Z$11</f>
        <v>152161.21484768414</v>
      </c>
      <c r="O51" s="18">
        <f>F51*'Large Use Predicted Monthly'!$Z$12</f>
        <v>0</v>
      </c>
      <c r="P51" s="18">
        <f>G51*'Large Use Predicted Monthly'!$Z$13</f>
        <v>0</v>
      </c>
      <c r="Q51" s="18">
        <f>H51*'Large Use Predicted Monthly'!$Z$14</f>
        <v>1959628.1480936245</v>
      </c>
      <c r="R51" s="18">
        <f>I51*'Large Use Predicted Monthly'!$Z$15</f>
        <v>0</v>
      </c>
      <c r="S51" s="18">
        <f>J51*'Large Use Predicted Monthly'!$Z$16</f>
        <v>0</v>
      </c>
      <c r="T51" s="18">
        <f>K51*'Large Use Predicted Monthly'!$Z$17</f>
        <v>2266.2743179195718</v>
      </c>
      <c r="U51" s="18">
        <f t="shared" si="5"/>
        <v>2991675.5396004105</v>
      </c>
      <c r="V51" s="18">
        <f t="shared" si="6"/>
        <v>104371.04253374925</v>
      </c>
      <c r="W51" s="279">
        <f t="shared" si="7"/>
        <v>3.6148263073667621E-2</v>
      </c>
    </row>
    <row r="52" spans="1:25" x14ac:dyDescent="0.25">
      <c r="A52" s="3">
        <f>'Monthly Data'!A52</f>
        <v>43525</v>
      </c>
      <c r="B52" s="1">
        <f t="shared" si="1"/>
        <v>2019</v>
      </c>
      <c r="C52" s="1">
        <f t="shared" si="2"/>
        <v>3</v>
      </c>
      <c r="D52" s="24">
        <f>'Monthly Data'!X52</f>
        <v>3294416.6973172254</v>
      </c>
      <c r="E52" s="278">
        <f>'Monthly Data'!BL52</f>
        <v>301.45833333333326</v>
      </c>
      <c r="F52" s="278">
        <f>'Monthly Data'!BG52</f>
        <v>0</v>
      </c>
      <c r="G52" s="278">
        <f>'Monthly Data'!CC52</f>
        <v>51</v>
      </c>
      <c r="H52" s="278">
        <f>'Monthly Data'!CD52</f>
        <v>31</v>
      </c>
      <c r="I52" s="278">
        <f>'Monthly Data'!CG52</f>
        <v>0</v>
      </c>
      <c r="J52" s="278">
        <f>'Monthly Data'!CB52</f>
        <v>1</v>
      </c>
      <c r="K52" s="278">
        <f>'Monthly Data'!AX52</f>
        <v>1092</v>
      </c>
      <c r="M52" s="18">
        <f>'Large Use Predicted Monthly'!$Z$10</f>
        <v>877619.90234118199</v>
      </c>
      <c r="N52" s="18">
        <f>E52*'Large Use Predicted Monthly'!$Z$11</f>
        <v>127664.16446406765</v>
      </c>
      <c r="O52" s="18">
        <f>F52*'Large Use Predicted Monthly'!$Z$12</f>
        <v>0</v>
      </c>
      <c r="P52" s="18">
        <f>G52*'Large Use Predicted Monthly'!$Z$13</f>
        <v>0</v>
      </c>
      <c r="Q52" s="18">
        <f>H52*'Large Use Predicted Monthly'!$Z$14</f>
        <v>2169588.3068179414</v>
      </c>
      <c r="R52" s="18">
        <f>I52*'Large Use Predicted Monthly'!$Z$15</f>
        <v>0</v>
      </c>
      <c r="S52" s="18">
        <f>J52*'Large Use Predicted Monthly'!$Z$16</f>
        <v>177799.47475552099</v>
      </c>
      <c r="T52" s="18">
        <f>K52*'Large Use Predicted Monthly'!$Z$17</f>
        <v>2266.2743179195718</v>
      </c>
      <c r="U52" s="18">
        <f t="shared" si="5"/>
        <v>3354938.1226966316</v>
      </c>
      <c r="V52" s="18">
        <f t="shared" si="6"/>
        <v>60521.425379406195</v>
      </c>
      <c r="W52" s="279">
        <f t="shared" si="7"/>
        <v>1.8370907793386064E-2</v>
      </c>
    </row>
    <row r="53" spans="1:25" x14ac:dyDescent="0.25">
      <c r="A53" s="3">
        <f>'Monthly Data'!A53</f>
        <v>43556</v>
      </c>
      <c r="B53" s="1">
        <f t="shared" si="1"/>
        <v>2019</v>
      </c>
      <c r="C53" s="1">
        <f t="shared" si="2"/>
        <v>4</v>
      </c>
      <c r="D53" s="24">
        <f>'Monthly Data'!X53</f>
        <v>3139158.8880381845</v>
      </c>
      <c r="E53" s="278">
        <f>'Monthly Data'!BL53</f>
        <v>81.245833333333351</v>
      </c>
      <c r="F53" s="278">
        <f>'Monthly Data'!BG53</f>
        <v>0</v>
      </c>
      <c r="G53" s="278">
        <f>'Monthly Data'!CC53</f>
        <v>52</v>
      </c>
      <c r="H53" s="278">
        <f>'Monthly Data'!CD53</f>
        <v>30</v>
      </c>
      <c r="I53" s="278">
        <f>'Monthly Data'!CG53</f>
        <v>0</v>
      </c>
      <c r="J53" s="278">
        <f>'Monthly Data'!CB53</f>
        <v>1</v>
      </c>
      <c r="K53" s="278">
        <f>'Monthly Data'!AX53</f>
        <v>5906</v>
      </c>
      <c r="M53" s="18">
        <f>'Large Use Predicted Monthly'!$Z$10</f>
        <v>877619.90234118199</v>
      </c>
      <c r="N53" s="18">
        <f>E53*'Large Use Predicted Monthly'!$Z$11</f>
        <v>34406.683384725038</v>
      </c>
      <c r="O53" s="18">
        <f>F53*'Large Use Predicted Monthly'!$Z$12</f>
        <v>0</v>
      </c>
      <c r="P53" s="18">
        <f>G53*'Large Use Predicted Monthly'!$Z$13</f>
        <v>0</v>
      </c>
      <c r="Q53" s="18">
        <f>H53*'Large Use Predicted Monthly'!$Z$14</f>
        <v>2099601.5872431691</v>
      </c>
      <c r="R53" s="18">
        <f>I53*'Large Use Predicted Monthly'!$Z$15</f>
        <v>0</v>
      </c>
      <c r="S53" s="18">
        <f>J53*'Large Use Predicted Monthly'!$Z$16</f>
        <v>177799.47475552099</v>
      </c>
      <c r="T53" s="18">
        <f>K53*'Large Use Predicted Monthly'!$Z$17</f>
        <v>12256.974470359881</v>
      </c>
      <c r="U53" s="18">
        <f t="shared" si="5"/>
        <v>3201684.6221949565</v>
      </c>
      <c r="V53" s="18">
        <f t="shared" si="6"/>
        <v>62525.734156772029</v>
      </c>
      <c r="W53" s="279">
        <f t="shared" si="7"/>
        <v>1.9917989622961534E-2</v>
      </c>
    </row>
    <row r="54" spans="1:25" x14ac:dyDescent="0.25">
      <c r="A54" s="3">
        <f>'Monthly Data'!A54</f>
        <v>43586</v>
      </c>
      <c r="B54" s="1">
        <f t="shared" si="1"/>
        <v>2019</v>
      </c>
      <c r="C54" s="1">
        <f t="shared" si="2"/>
        <v>5</v>
      </c>
      <c r="D54" s="24">
        <f>'Monthly Data'!X54</f>
        <v>3185460.1100917053</v>
      </c>
      <c r="E54" s="278">
        <f>'Monthly Data'!BL54</f>
        <v>5.4041666666666659</v>
      </c>
      <c r="F54" s="278">
        <f>'Monthly Data'!BG54</f>
        <v>11.208333333333332</v>
      </c>
      <c r="G54" s="278">
        <f>'Monthly Data'!CC54</f>
        <v>53</v>
      </c>
      <c r="H54" s="278">
        <f>'Monthly Data'!CD54</f>
        <v>31</v>
      </c>
      <c r="I54" s="278">
        <f>'Monthly Data'!CG54</f>
        <v>0</v>
      </c>
      <c r="J54" s="278">
        <f>'Monthly Data'!CB54</f>
        <v>1</v>
      </c>
      <c r="K54" s="278">
        <f>'Monthly Data'!AX54</f>
        <v>5906</v>
      </c>
      <c r="M54" s="18">
        <f>'Large Use Predicted Monthly'!$Z$10</f>
        <v>877619.90234118199</v>
      </c>
      <c r="N54" s="18">
        <f>E54*'Large Use Predicted Monthly'!$Z$11</f>
        <v>2288.602920662001</v>
      </c>
      <c r="O54" s="18">
        <f>F54*'Large Use Predicted Monthly'!$Z$12</f>
        <v>20244.823647147983</v>
      </c>
      <c r="P54" s="18">
        <f>G54*'Large Use Predicted Monthly'!$Z$13</f>
        <v>0</v>
      </c>
      <c r="Q54" s="18">
        <f>H54*'Large Use Predicted Monthly'!$Z$14</f>
        <v>2169588.3068179414</v>
      </c>
      <c r="R54" s="18">
        <f>I54*'Large Use Predicted Monthly'!$Z$15</f>
        <v>0</v>
      </c>
      <c r="S54" s="18">
        <f>J54*'Large Use Predicted Monthly'!$Z$16</f>
        <v>177799.47475552099</v>
      </c>
      <c r="T54" s="18">
        <f>K54*'Large Use Predicted Monthly'!$Z$17</f>
        <v>12256.974470359881</v>
      </c>
      <c r="U54" s="18">
        <f t="shared" si="5"/>
        <v>3259798.084952814</v>
      </c>
      <c r="V54" s="18">
        <f t="shared" si="6"/>
        <v>74337.974861108698</v>
      </c>
      <c r="W54" s="279">
        <f t="shared" si="7"/>
        <v>2.3336652254913531E-2</v>
      </c>
    </row>
    <row r="55" spans="1:25" x14ac:dyDescent="0.25">
      <c r="A55" s="3">
        <f>'Monthly Data'!A55</f>
        <v>43617</v>
      </c>
      <c r="B55" s="1">
        <f t="shared" si="1"/>
        <v>2019</v>
      </c>
      <c r="C55" s="1">
        <f t="shared" si="2"/>
        <v>6</v>
      </c>
      <c r="D55" s="24">
        <f>'Monthly Data'!X55</f>
        <v>3195698.6000678479</v>
      </c>
      <c r="E55" s="278">
        <f>'Monthly Data'!BL55</f>
        <v>0</v>
      </c>
      <c r="F55" s="278">
        <f>'Monthly Data'!BG55</f>
        <v>118.81666666666663</v>
      </c>
      <c r="G55" s="278">
        <f>'Monthly Data'!CC55</f>
        <v>54</v>
      </c>
      <c r="H55" s="278">
        <f>'Monthly Data'!CD55</f>
        <v>30</v>
      </c>
      <c r="I55" s="278">
        <f>'Monthly Data'!CG55</f>
        <v>0</v>
      </c>
      <c r="J55" s="278">
        <f>'Monthly Data'!CB55</f>
        <v>0</v>
      </c>
      <c r="K55" s="278">
        <f>'Monthly Data'!AX55</f>
        <v>5906</v>
      </c>
      <c r="M55" s="18">
        <f>'Large Use Predicted Monthly'!$Z$10</f>
        <v>877619.90234118199</v>
      </c>
      <c r="N55" s="18">
        <f>E55*'Large Use Predicted Monthly'!$Z$11</f>
        <v>0</v>
      </c>
      <c r="O55" s="18">
        <f>F55*'Large Use Predicted Monthly'!$Z$12</f>
        <v>214610.18257326086</v>
      </c>
      <c r="P55" s="18">
        <f>G55*'Large Use Predicted Monthly'!$Z$13</f>
        <v>0</v>
      </c>
      <c r="Q55" s="18">
        <f>H55*'Large Use Predicted Monthly'!$Z$14</f>
        <v>2099601.5872431691</v>
      </c>
      <c r="R55" s="18">
        <f>I55*'Large Use Predicted Monthly'!$Z$15</f>
        <v>0</v>
      </c>
      <c r="S55" s="18">
        <f>J55*'Large Use Predicted Monthly'!$Z$16</f>
        <v>0</v>
      </c>
      <c r="T55" s="18">
        <f>K55*'Large Use Predicted Monthly'!$Z$17</f>
        <v>12256.974470359881</v>
      </c>
      <c r="U55" s="18">
        <f t="shared" si="5"/>
        <v>3204088.6466279714</v>
      </c>
      <c r="V55" s="18">
        <f t="shared" si="6"/>
        <v>8390.0465601235628</v>
      </c>
      <c r="W55" s="279">
        <f t="shared" si="7"/>
        <v>2.6254186048538602E-3</v>
      </c>
    </row>
    <row r="56" spans="1:25" x14ac:dyDescent="0.25">
      <c r="A56" s="3">
        <f>'Monthly Data'!A56</f>
        <v>43647</v>
      </c>
      <c r="B56" s="1">
        <f t="shared" si="1"/>
        <v>2019</v>
      </c>
      <c r="C56" s="1">
        <f t="shared" si="2"/>
        <v>7</v>
      </c>
      <c r="D56" s="24">
        <f>'Monthly Data'!X56</f>
        <v>3490545.2096623592</v>
      </c>
      <c r="E56" s="278">
        <f>'Monthly Data'!BL56</f>
        <v>0</v>
      </c>
      <c r="F56" s="278">
        <f>'Monthly Data'!BG56</f>
        <v>259.60000000000008</v>
      </c>
      <c r="G56" s="278">
        <f>'Monthly Data'!CC56</f>
        <v>55</v>
      </c>
      <c r="H56" s="278">
        <f>'Monthly Data'!CD56</f>
        <v>31</v>
      </c>
      <c r="I56" s="278">
        <f>'Monthly Data'!CG56</f>
        <v>0</v>
      </c>
      <c r="J56" s="278">
        <f>'Monthly Data'!CB56</f>
        <v>0</v>
      </c>
      <c r="K56" s="278">
        <f>'Monthly Data'!AX56</f>
        <v>3717</v>
      </c>
      <c r="M56" s="18">
        <f>'Large Use Predicted Monthly'!$Z$10</f>
        <v>877619.90234118199</v>
      </c>
      <c r="N56" s="18">
        <f>E56*'Large Use Predicted Monthly'!$Z$11</f>
        <v>0</v>
      </c>
      <c r="O56" s="18">
        <f>F56*'Large Use Predicted Monthly'!$Z$12</f>
        <v>468897.2091122336</v>
      </c>
      <c r="P56" s="18">
        <f>G56*'Large Use Predicted Monthly'!$Z$13</f>
        <v>0</v>
      </c>
      <c r="Q56" s="18">
        <f>H56*'Large Use Predicted Monthly'!$Z$14</f>
        <v>2169588.3068179414</v>
      </c>
      <c r="R56" s="18">
        <f>I56*'Large Use Predicted Monthly'!$Z$15</f>
        <v>0</v>
      </c>
      <c r="S56" s="18">
        <f>J56*'Large Use Predicted Monthly'!$Z$16</f>
        <v>0</v>
      </c>
      <c r="T56" s="18">
        <f>K56*'Large Use Predicted Monthly'!$Z$17</f>
        <v>7714.04912061085</v>
      </c>
      <c r="U56" s="18">
        <f t="shared" si="5"/>
        <v>3523819.4673919682</v>
      </c>
      <c r="V56" s="18">
        <f t="shared" si="6"/>
        <v>33274.257729609031</v>
      </c>
      <c r="W56" s="279">
        <f t="shared" si="7"/>
        <v>9.5326820685493006E-3</v>
      </c>
    </row>
    <row r="57" spans="1:25" x14ac:dyDescent="0.25">
      <c r="A57" s="3">
        <f>'Monthly Data'!A57</f>
        <v>43678</v>
      </c>
      <c r="B57" s="1">
        <f t="shared" si="1"/>
        <v>2019</v>
      </c>
      <c r="C57" s="1">
        <f t="shared" si="2"/>
        <v>8</v>
      </c>
      <c r="D57" s="24">
        <f>'Monthly Data'!X57</f>
        <v>3574224.7099011471</v>
      </c>
      <c r="E57" s="278">
        <f>'Monthly Data'!BL57</f>
        <v>0</v>
      </c>
      <c r="F57" s="278">
        <f>'Monthly Data'!BG57</f>
        <v>190.07083333333335</v>
      </c>
      <c r="G57" s="278">
        <f>'Monthly Data'!CC57</f>
        <v>56</v>
      </c>
      <c r="H57" s="278">
        <f>'Monthly Data'!CD57</f>
        <v>31</v>
      </c>
      <c r="I57" s="278">
        <f>'Monthly Data'!CG57</f>
        <v>0</v>
      </c>
      <c r="J57" s="278">
        <f>'Monthly Data'!CB57</f>
        <v>0</v>
      </c>
      <c r="K57" s="278">
        <f>'Monthly Data'!AX57</f>
        <v>3717</v>
      </c>
      <c r="M57" s="18">
        <f>'Large Use Predicted Monthly'!$Z$10</f>
        <v>877619.90234118199</v>
      </c>
      <c r="N57" s="18">
        <f>E57*'Large Use Predicted Monthly'!$Z$11</f>
        <v>0</v>
      </c>
      <c r="O57" s="18">
        <f>F57*'Large Use Predicted Monthly'!$Z$12</f>
        <v>343311.56888920063</v>
      </c>
      <c r="P57" s="18">
        <f>G57*'Large Use Predicted Monthly'!$Z$13</f>
        <v>0</v>
      </c>
      <c r="Q57" s="18">
        <f>H57*'Large Use Predicted Monthly'!$Z$14</f>
        <v>2169588.3068179414</v>
      </c>
      <c r="R57" s="18">
        <f>I57*'Large Use Predicted Monthly'!$Z$15</f>
        <v>0</v>
      </c>
      <c r="S57" s="18">
        <f>J57*'Large Use Predicted Monthly'!$Z$16</f>
        <v>0</v>
      </c>
      <c r="T57" s="18">
        <f>K57*'Large Use Predicted Monthly'!$Z$17</f>
        <v>7714.04912061085</v>
      </c>
      <c r="U57" s="18">
        <f t="shared" si="5"/>
        <v>3398233.827168935</v>
      </c>
      <c r="V57" s="18">
        <f t="shared" si="6"/>
        <v>-175990.88273221208</v>
      </c>
      <c r="W57" s="279">
        <f t="shared" si="7"/>
        <v>4.9238897108145024E-2</v>
      </c>
    </row>
    <row r="58" spans="1:25" x14ac:dyDescent="0.25">
      <c r="A58" s="3">
        <f>'Monthly Data'!A58</f>
        <v>43709</v>
      </c>
      <c r="B58" s="1">
        <f t="shared" si="1"/>
        <v>2019</v>
      </c>
      <c r="C58" s="1">
        <f t="shared" si="2"/>
        <v>9</v>
      </c>
      <c r="D58" s="24">
        <f>'Monthly Data'!X58</f>
        <v>3325099.9908512547</v>
      </c>
      <c r="E58" s="278">
        <f>'Monthly Data'!BL58</f>
        <v>0</v>
      </c>
      <c r="F58" s="278">
        <f>'Monthly Data'!BG58</f>
        <v>76.5</v>
      </c>
      <c r="G58" s="278">
        <f>'Monthly Data'!CC58</f>
        <v>57</v>
      </c>
      <c r="H58" s="278">
        <f>'Monthly Data'!CD58</f>
        <v>30</v>
      </c>
      <c r="I58" s="278">
        <f>'Monthly Data'!CG58</f>
        <v>0</v>
      </c>
      <c r="J58" s="278">
        <f>'Monthly Data'!CB58</f>
        <v>1</v>
      </c>
      <c r="K58" s="278">
        <f>'Monthly Data'!AX58</f>
        <v>3717</v>
      </c>
      <c r="M58" s="18">
        <f>'Large Use Predicted Monthly'!$Z$10</f>
        <v>877619.90234118199</v>
      </c>
      <c r="N58" s="18">
        <f>E58*'Large Use Predicted Monthly'!$Z$11</f>
        <v>0</v>
      </c>
      <c r="O58" s="18">
        <f>F58*'Large Use Predicted Monthly'!$Z$12</f>
        <v>138176.56585934461</v>
      </c>
      <c r="P58" s="18">
        <f>G58*'Large Use Predicted Monthly'!$Z$13</f>
        <v>0</v>
      </c>
      <c r="Q58" s="18">
        <f>H58*'Large Use Predicted Monthly'!$Z$14</f>
        <v>2099601.5872431691</v>
      </c>
      <c r="R58" s="18">
        <f>I58*'Large Use Predicted Monthly'!$Z$15</f>
        <v>0</v>
      </c>
      <c r="S58" s="18">
        <f>J58*'Large Use Predicted Monthly'!$Z$16</f>
        <v>177799.47475552099</v>
      </c>
      <c r="T58" s="18">
        <f>K58*'Large Use Predicted Monthly'!$Z$17</f>
        <v>7714.04912061085</v>
      </c>
      <c r="U58" s="18">
        <f t="shared" si="5"/>
        <v>3300911.5793198277</v>
      </c>
      <c r="V58" s="18">
        <f t="shared" si="6"/>
        <v>-24188.411531426944</v>
      </c>
      <c r="W58" s="279">
        <f t="shared" si="7"/>
        <v>7.2744914733329563E-3</v>
      </c>
    </row>
    <row r="59" spans="1:25" x14ac:dyDescent="0.25">
      <c r="A59" s="3">
        <f>'Monthly Data'!A59</f>
        <v>43739</v>
      </c>
      <c r="B59" s="1">
        <f t="shared" si="1"/>
        <v>2019</v>
      </c>
      <c r="C59" s="1">
        <f t="shared" si="2"/>
        <v>10</v>
      </c>
      <c r="D59" s="24">
        <f>'Monthly Data'!X59</f>
        <v>3258814.2217580262</v>
      </c>
      <c r="E59" s="278">
        <f>'Monthly Data'!BL59</f>
        <v>8.0666666666666664</v>
      </c>
      <c r="F59" s="278">
        <f>'Monthly Data'!BG59</f>
        <v>7.3333333333333357</v>
      </c>
      <c r="G59" s="278">
        <f>'Monthly Data'!CC59</f>
        <v>58</v>
      </c>
      <c r="H59" s="278">
        <f>'Monthly Data'!CD59</f>
        <v>31</v>
      </c>
      <c r="I59" s="278">
        <f>'Monthly Data'!CG59</f>
        <v>0</v>
      </c>
      <c r="J59" s="278">
        <f>'Monthly Data'!CB59</f>
        <v>1</v>
      </c>
      <c r="K59" s="278">
        <f>'Monthly Data'!AX59</f>
        <v>1050</v>
      </c>
      <c r="M59" s="18">
        <f>'Large Use Predicted Monthly'!$Z$10</f>
        <v>877619.90234118199</v>
      </c>
      <c r="N59" s="18">
        <f>E59*'Large Use Predicted Monthly'!$Z$11</f>
        <v>3416.141290980443</v>
      </c>
      <c r="O59" s="18">
        <f>F59*'Large Use Predicted Monthly'!$Z$12</f>
        <v>13245.683873226937</v>
      </c>
      <c r="P59" s="18">
        <f>G59*'Large Use Predicted Monthly'!$Z$13</f>
        <v>0</v>
      </c>
      <c r="Q59" s="18">
        <f>H59*'Large Use Predicted Monthly'!$Z$14</f>
        <v>2169588.3068179414</v>
      </c>
      <c r="R59" s="18">
        <f>I59*'Large Use Predicted Monthly'!$Z$15</f>
        <v>0</v>
      </c>
      <c r="S59" s="18">
        <f>J59*'Large Use Predicted Monthly'!$Z$16</f>
        <v>177799.47475552099</v>
      </c>
      <c r="T59" s="18">
        <f>K59*'Large Use Predicted Monthly'!$Z$17</f>
        <v>2179.1099210765115</v>
      </c>
      <c r="U59" s="18">
        <f t="shared" si="5"/>
        <v>3243848.6189999282</v>
      </c>
      <c r="V59" s="18">
        <f t="shared" si="6"/>
        <v>-14965.602758097928</v>
      </c>
      <c r="W59" s="279">
        <f t="shared" si="7"/>
        <v>4.5923460926914897E-3</v>
      </c>
    </row>
    <row r="60" spans="1:25" x14ac:dyDescent="0.25">
      <c r="A60" s="3">
        <f>'Monthly Data'!A60</f>
        <v>43770</v>
      </c>
      <c r="B60" s="1">
        <f t="shared" si="1"/>
        <v>2019</v>
      </c>
      <c r="C60" s="1">
        <f t="shared" si="2"/>
        <v>11</v>
      </c>
      <c r="D60" s="24">
        <f>'Monthly Data'!X60</f>
        <v>3258812.8122494793</v>
      </c>
      <c r="E60" s="278">
        <f>'Monthly Data'!BL60</f>
        <v>229.72499999999999</v>
      </c>
      <c r="F60" s="278">
        <f>'Monthly Data'!BG60</f>
        <v>0</v>
      </c>
      <c r="G60" s="278">
        <f>'Monthly Data'!CC60</f>
        <v>59</v>
      </c>
      <c r="H60" s="278">
        <f>'Monthly Data'!CD60</f>
        <v>30</v>
      </c>
      <c r="I60" s="278">
        <f>'Monthly Data'!CG60</f>
        <v>0</v>
      </c>
      <c r="J60" s="278">
        <f>'Monthly Data'!CB60</f>
        <v>1</v>
      </c>
      <c r="K60" s="278">
        <f>'Monthly Data'!AX60</f>
        <v>1050</v>
      </c>
      <c r="M60" s="18">
        <f>'Large Use Predicted Monthly'!$Z$10</f>
        <v>877619.90234118199</v>
      </c>
      <c r="N60" s="18">
        <f>E60*'Large Use Predicted Monthly'!$Z$11</f>
        <v>97285.916289729197</v>
      </c>
      <c r="O60" s="18">
        <f>F60*'Large Use Predicted Monthly'!$Z$12</f>
        <v>0</v>
      </c>
      <c r="P60" s="18">
        <f>G60*'Large Use Predicted Monthly'!$Z$13</f>
        <v>0</v>
      </c>
      <c r="Q60" s="18">
        <f>H60*'Large Use Predicted Monthly'!$Z$14</f>
        <v>2099601.5872431691</v>
      </c>
      <c r="R60" s="18">
        <f>I60*'Large Use Predicted Monthly'!$Z$15</f>
        <v>0</v>
      </c>
      <c r="S60" s="18">
        <f>J60*'Large Use Predicted Monthly'!$Z$16</f>
        <v>177799.47475552099</v>
      </c>
      <c r="T60" s="18">
        <f>K60*'Large Use Predicted Monthly'!$Z$17</f>
        <v>2179.1099210765115</v>
      </c>
      <c r="U60" s="18">
        <f t="shared" si="5"/>
        <v>3254485.9905506773</v>
      </c>
      <c r="V60" s="18">
        <f t="shared" si="6"/>
        <v>-4326.8216988020577</v>
      </c>
      <c r="W60" s="279">
        <f t="shared" si="7"/>
        <v>1.3277294364800775E-3</v>
      </c>
    </row>
    <row r="61" spans="1:25" x14ac:dyDescent="0.25">
      <c r="A61" s="3">
        <f>'Monthly Data'!A61</f>
        <v>43800</v>
      </c>
      <c r="B61" s="1">
        <f t="shared" si="1"/>
        <v>2019</v>
      </c>
      <c r="C61" s="1">
        <f t="shared" si="2"/>
        <v>12</v>
      </c>
      <c r="D61" s="24">
        <f>'Monthly Data'!X61</f>
        <v>3152827.0955878673</v>
      </c>
      <c r="E61" s="278">
        <f>'Monthly Data'!BL61</f>
        <v>304.42916666666662</v>
      </c>
      <c r="F61" s="278">
        <f>'Monthly Data'!BG61</f>
        <v>0</v>
      </c>
      <c r="G61" s="278">
        <f>'Monthly Data'!CC61</f>
        <v>60</v>
      </c>
      <c r="H61" s="278">
        <f>'Monthly Data'!CD61</f>
        <v>31</v>
      </c>
      <c r="I61" s="278">
        <f>'Monthly Data'!CG61</f>
        <v>0</v>
      </c>
      <c r="J61" s="278">
        <f>'Monthly Data'!CB61</f>
        <v>0</v>
      </c>
      <c r="K61" s="278">
        <f>'Monthly Data'!AX61</f>
        <v>1050</v>
      </c>
      <c r="M61" s="18">
        <f>'Large Use Predicted Monthly'!$Z$10</f>
        <v>877619.90234118199</v>
      </c>
      <c r="N61" s="18">
        <f>E61*'Large Use Predicted Monthly'!$Z$11</f>
        <v>128922.27848290499</v>
      </c>
      <c r="O61" s="18">
        <f>F61*'Large Use Predicted Monthly'!$Z$12</f>
        <v>0</v>
      </c>
      <c r="P61" s="18">
        <f>G61*'Large Use Predicted Monthly'!$Z$13</f>
        <v>0</v>
      </c>
      <c r="Q61" s="18">
        <f>H61*'Large Use Predicted Monthly'!$Z$14</f>
        <v>2169588.3068179414</v>
      </c>
      <c r="R61" s="18">
        <f>I61*'Large Use Predicted Monthly'!$Z$15</f>
        <v>0</v>
      </c>
      <c r="S61" s="18">
        <f>J61*'Large Use Predicted Monthly'!$Z$16</f>
        <v>0</v>
      </c>
      <c r="T61" s="18">
        <f>K61*'Large Use Predicted Monthly'!$Z$17</f>
        <v>2179.1099210765115</v>
      </c>
      <c r="U61" s="18">
        <f t="shared" si="5"/>
        <v>3178309.5975631047</v>
      </c>
      <c r="V61" s="18">
        <f t="shared" si="6"/>
        <v>25482.501975237392</v>
      </c>
      <c r="W61" s="279">
        <f t="shared" si="7"/>
        <v>8.082429261946569E-3</v>
      </c>
    </row>
    <row r="62" spans="1:25" x14ac:dyDescent="0.25">
      <c r="A62" s="3">
        <f>'Monthly Data'!A62</f>
        <v>43831</v>
      </c>
      <c r="B62" s="1">
        <f t="shared" si="1"/>
        <v>2020</v>
      </c>
      <c r="C62" s="1">
        <f t="shared" si="2"/>
        <v>1</v>
      </c>
      <c r="D62" s="24">
        <f>'Monthly Data'!X62</f>
        <v>3074944.6463091564</v>
      </c>
      <c r="E62" s="278">
        <f>'Monthly Data'!BL62</f>
        <v>318.82083333333333</v>
      </c>
      <c r="F62" s="278">
        <f>'Monthly Data'!BG62</f>
        <v>0</v>
      </c>
      <c r="G62" s="278">
        <f>'Monthly Data'!CC62</f>
        <v>61</v>
      </c>
      <c r="H62" s="278">
        <f>'Monthly Data'!CD62</f>
        <v>31</v>
      </c>
      <c r="I62" s="278">
        <f>'Monthly Data'!CG62</f>
        <v>0</v>
      </c>
      <c r="J62" s="278">
        <f>'Monthly Data'!CB62</f>
        <v>0</v>
      </c>
      <c r="K62" s="278">
        <f>'Monthly Data'!AX62</f>
        <v>-11271</v>
      </c>
      <c r="M62" s="18">
        <f>'Large Use Predicted Monthly'!$Z$10</f>
        <v>877619.90234118199</v>
      </c>
      <c r="N62" s="18">
        <f>E62*'Large Use Predicted Monthly'!$Z$11</f>
        <v>135016.98510431329</v>
      </c>
      <c r="O62" s="18">
        <f>F62*'Large Use Predicted Monthly'!$Z$12</f>
        <v>0</v>
      </c>
      <c r="P62" s="18">
        <f>G62*'Large Use Predicted Monthly'!$Z$13</f>
        <v>0</v>
      </c>
      <c r="Q62" s="18">
        <f>H62*'Large Use Predicted Monthly'!$Z$14</f>
        <v>2169588.3068179414</v>
      </c>
      <c r="R62" s="18">
        <f>I62*'Large Use Predicted Monthly'!$Z$15</f>
        <v>0</v>
      </c>
      <c r="S62" s="18">
        <f>J62*'Large Use Predicted Monthly'!$Z$16</f>
        <v>0</v>
      </c>
      <c r="T62" s="18">
        <f>K62*'Large Use Predicted Monthly'!$Z$17</f>
        <v>-23391.188495669867</v>
      </c>
      <c r="U62" s="18">
        <f t="shared" si="5"/>
        <v>3158834.0057677669</v>
      </c>
      <c r="V62" s="18">
        <f t="shared" si="6"/>
        <v>83889.359458610415</v>
      </c>
      <c r="W62" s="279">
        <f t="shared" si="7"/>
        <v>2.7281583608115507E-2</v>
      </c>
    </row>
    <row r="63" spans="1:25" x14ac:dyDescent="0.25">
      <c r="A63" s="3">
        <f>'Monthly Data'!A63</f>
        <v>43862</v>
      </c>
      <c r="B63" s="1">
        <f t="shared" si="1"/>
        <v>2020</v>
      </c>
      <c r="C63" s="1">
        <f t="shared" si="2"/>
        <v>2</v>
      </c>
      <c r="D63" s="24">
        <f>'Monthly Data'!X63</f>
        <v>2762028.6144291847</v>
      </c>
      <c r="E63" s="278">
        <f>'Monthly Data'!BL63</f>
        <v>330.40000000000003</v>
      </c>
      <c r="F63" s="278">
        <f>'Monthly Data'!BG63</f>
        <v>0</v>
      </c>
      <c r="G63" s="278">
        <f>'Monthly Data'!CC63</f>
        <v>62</v>
      </c>
      <c r="H63" s="278">
        <f>'Monthly Data'!CD63</f>
        <v>29</v>
      </c>
      <c r="I63" s="278">
        <f>'Monthly Data'!CG63</f>
        <v>0</v>
      </c>
      <c r="J63" s="278">
        <f>'Monthly Data'!CB63</f>
        <v>0</v>
      </c>
      <c r="K63" s="278">
        <f>'Monthly Data'!AX63</f>
        <v>-11271</v>
      </c>
      <c r="M63" s="18">
        <f>'Large Use Predicted Monthly'!$Z$10</f>
        <v>877619.90234118199</v>
      </c>
      <c r="N63" s="18">
        <f>E63*'Large Use Predicted Monthly'!$Z$11</f>
        <v>139920.63006693451</v>
      </c>
      <c r="O63" s="18">
        <f>F63*'Large Use Predicted Monthly'!$Z$12</f>
        <v>0</v>
      </c>
      <c r="P63" s="18">
        <f>G63*'Large Use Predicted Monthly'!$Z$13</f>
        <v>0</v>
      </c>
      <c r="Q63" s="18">
        <f>H63*'Large Use Predicted Monthly'!$Z$14</f>
        <v>2029614.8676683968</v>
      </c>
      <c r="R63" s="18">
        <f>I63*'Large Use Predicted Monthly'!$Z$15</f>
        <v>0</v>
      </c>
      <c r="S63" s="18">
        <f>J63*'Large Use Predicted Monthly'!$Z$16</f>
        <v>0</v>
      </c>
      <c r="T63" s="18">
        <f>K63*'Large Use Predicted Monthly'!$Z$17</f>
        <v>-23391.188495669867</v>
      </c>
      <c r="U63" s="18">
        <f t="shared" si="5"/>
        <v>3023764.2115808432</v>
      </c>
      <c r="V63" s="18">
        <f t="shared" si="6"/>
        <v>261735.5971516585</v>
      </c>
      <c r="W63" s="279">
        <f t="shared" si="7"/>
        <v>9.4762087468724554E-2</v>
      </c>
    </row>
    <row r="64" spans="1:25" x14ac:dyDescent="0.25">
      <c r="A64" s="3">
        <f>'Monthly Data'!A64</f>
        <v>43891</v>
      </c>
      <c r="B64" s="1">
        <f t="shared" si="1"/>
        <v>2020</v>
      </c>
      <c r="C64" s="1">
        <f t="shared" si="2"/>
        <v>3</v>
      </c>
      <c r="D64" s="24">
        <f>'Monthly Data'!X64</f>
        <v>2607055.7041125842</v>
      </c>
      <c r="E64" s="278">
        <f>'Monthly Data'!BL64</f>
        <v>174.47500000000005</v>
      </c>
      <c r="F64" s="278">
        <f>'Monthly Data'!BG64</f>
        <v>0</v>
      </c>
      <c r="G64" s="278">
        <f>'Monthly Data'!CC64</f>
        <v>63</v>
      </c>
      <c r="H64" s="278">
        <f>'Monthly Data'!CD64</f>
        <v>31</v>
      </c>
      <c r="I64" s="278">
        <f>'Monthly Data'!CG64</f>
        <v>0.5</v>
      </c>
      <c r="J64" s="278">
        <f>'Monthly Data'!CB64</f>
        <v>1</v>
      </c>
      <c r="K64" s="278">
        <f>'Monthly Data'!AX64</f>
        <v>-11271</v>
      </c>
      <c r="M64" s="18">
        <f>'Large Use Predicted Monthly'!$Z$10</f>
        <v>877619.90234118199</v>
      </c>
      <c r="N64" s="18">
        <f>E64*'Large Use Predicted Monthly'!$Z$11</f>
        <v>73888.171703778469</v>
      </c>
      <c r="O64" s="18">
        <f>F64*'Large Use Predicted Monthly'!$Z$12</f>
        <v>0</v>
      </c>
      <c r="P64" s="18">
        <f>G64*'Large Use Predicted Monthly'!$Z$13</f>
        <v>0</v>
      </c>
      <c r="Q64" s="18">
        <f>H64*'Large Use Predicted Monthly'!$Z$14</f>
        <v>2169588.3068179414</v>
      </c>
      <c r="R64" s="18">
        <f>I64*'Large Use Predicted Monthly'!$Z$15</f>
        <v>-344616.62771173252</v>
      </c>
      <c r="S64" s="18">
        <f>J64*'Large Use Predicted Monthly'!$Z$16</f>
        <v>177799.47475552099</v>
      </c>
      <c r="T64" s="18">
        <f>K64*'Large Use Predicted Monthly'!$Z$17</f>
        <v>-23391.188495669867</v>
      </c>
      <c r="U64" s="18">
        <f t="shared" si="5"/>
        <v>2930888.0394110205</v>
      </c>
      <c r="V64" s="18">
        <f t="shared" si="6"/>
        <v>323832.33529843623</v>
      </c>
      <c r="W64" s="279">
        <f t="shared" si="7"/>
        <v>0.124213815143112</v>
      </c>
      <c r="Y64" s="18"/>
    </row>
    <row r="65" spans="1:30" x14ac:dyDescent="0.25">
      <c r="A65" s="3">
        <f>'Monthly Data'!A65</f>
        <v>43922</v>
      </c>
      <c r="B65" s="1">
        <f t="shared" si="1"/>
        <v>2020</v>
      </c>
      <c r="C65" s="1">
        <f t="shared" si="2"/>
        <v>4</v>
      </c>
      <c r="D65" s="24">
        <f>'Monthly Data'!X65</f>
        <v>2049425.4094162788</v>
      </c>
      <c r="E65" s="278">
        <f>'Monthly Data'!BL65</f>
        <v>89.183333333333337</v>
      </c>
      <c r="F65" s="278">
        <f>'Monthly Data'!BG65</f>
        <v>0</v>
      </c>
      <c r="G65" s="278">
        <f>'Monthly Data'!CC65</f>
        <v>64</v>
      </c>
      <c r="H65" s="278">
        <f>'Monthly Data'!CD65</f>
        <v>30</v>
      </c>
      <c r="I65" s="278">
        <f>'Monthly Data'!CG65</f>
        <v>1</v>
      </c>
      <c r="J65" s="278">
        <f>'Monthly Data'!CB65</f>
        <v>1</v>
      </c>
      <c r="K65" s="278">
        <f>'Monthly Data'!AX65</f>
        <v>-93587</v>
      </c>
      <c r="M65" s="18">
        <f>'Large Use Predicted Monthly'!$Z$10</f>
        <v>877619.90234118199</v>
      </c>
      <c r="N65" s="18">
        <f>E65*'Large Use Predicted Monthly'!$Z$11</f>
        <v>37768.124066190809</v>
      </c>
      <c r="O65" s="18">
        <f>F65*'Large Use Predicted Monthly'!$Z$12</f>
        <v>0</v>
      </c>
      <c r="P65" s="18">
        <f>G65*'Large Use Predicted Monthly'!$Z$13</f>
        <v>0</v>
      </c>
      <c r="Q65" s="18">
        <f>H65*'Large Use Predicted Monthly'!$Z$14</f>
        <v>2099601.5872431691</v>
      </c>
      <c r="R65" s="18">
        <f>I65*'Large Use Predicted Monthly'!$Z$15</f>
        <v>-689233.25542346505</v>
      </c>
      <c r="S65" s="18">
        <f>J65*'Large Use Predicted Monthly'!$Z$16</f>
        <v>177799.47475552099</v>
      </c>
      <c r="T65" s="18">
        <f>K65*'Large Use Predicted Monthly'!$Z$17</f>
        <v>-194225.10493694045</v>
      </c>
      <c r="U65" s="18">
        <f t="shared" si="5"/>
        <v>2309330.7280456573</v>
      </c>
      <c r="V65" s="18">
        <f t="shared" si="6"/>
        <v>259905.31862937845</v>
      </c>
      <c r="W65" s="279">
        <f t="shared" si="7"/>
        <v>0.12681862800920632</v>
      </c>
      <c r="Y65" s="18"/>
    </row>
    <row r="66" spans="1:30" x14ac:dyDescent="0.25">
      <c r="A66" s="3">
        <f>'Monthly Data'!A66</f>
        <v>43952</v>
      </c>
      <c r="B66" s="1">
        <f t="shared" ref="B66:B121" si="8">YEAR(A66)</f>
        <v>2020</v>
      </c>
      <c r="C66" s="1">
        <f t="shared" ref="C66:C121" si="9">MONTH(A66)</f>
        <v>5</v>
      </c>
      <c r="D66" s="24">
        <f>'Monthly Data'!X66</f>
        <v>1973281.7621213137</v>
      </c>
      <c r="E66" s="278">
        <f>'Monthly Data'!BL66</f>
        <v>36.524999999999999</v>
      </c>
      <c r="F66" s="278">
        <f>'Monthly Data'!BG66</f>
        <v>50.900595238095221</v>
      </c>
      <c r="G66" s="278">
        <f>'Monthly Data'!CC66</f>
        <v>65</v>
      </c>
      <c r="H66" s="278">
        <f>'Monthly Data'!CD66</f>
        <v>31</v>
      </c>
      <c r="I66" s="278">
        <f>'Monthly Data'!CG66</f>
        <v>1</v>
      </c>
      <c r="J66" s="278">
        <f>'Monthly Data'!CB66</f>
        <v>1</v>
      </c>
      <c r="K66" s="278">
        <f>'Monthly Data'!AX66</f>
        <v>-93587</v>
      </c>
      <c r="M66" s="18">
        <f>'Large Use Predicted Monthly'!$Z$10</f>
        <v>877619.90234118199</v>
      </c>
      <c r="N66" s="18">
        <f>E66*'Large Use Predicted Monthly'!$Z$11</f>
        <v>15467.92074211496</v>
      </c>
      <c r="O66" s="18">
        <f>F66*'Large Use Predicted Monthly'!$Z$12</f>
        <v>91938.162747666749</v>
      </c>
      <c r="P66" s="18">
        <f>G66*'Large Use Predicted Monthly'!$Z$13</f>
        <v>0</v>
      </c>
      <c r="Q66" s="18">
        <f>H66*'Large Use Predicted Monthly'!$Z$14</f>
        <v>2169588.3068179414</v>
      </c>
      <c r="R66" s="18">
        <f>I66*'Large Use Predicted Monthly'!$Z$15</f>
        <v>-689233.25542346505</v>
      </c>
      <c r="S66" s="18">
        <f>J66*'Large Use Predicted Monthly'!$Z$16</f>
        <v>177799.47475552099</v>
      </c>
      <c r="T66" s="18">
        <f>K66*'Large Use Predicted Monthly'!$Z$17</f>
        <v>-194225.10493694045</v>
      </c>
      <c r="U66" s="18">
        <f t="shared" si="5"/>
        <v>2448955.4070440205</v>
      </c>
      <c r="V66" s="18">
        <f t="shared" ref="V66:V97" si="10">U66-D66</f>
        <v>475673.64492270676</v>
      </c>
      <c r="W66" s="279">
        <f t="shared" ref="W66:W97" si="11">ABS(V66/D66)</f>
        <v>0.24105713337731807</v>
      </c>
      <c r="Y66" s="18"/>
    </row>
    <row r="67" spans="1:30" x14ac:dyDescent="0.25">
      <c r="A67" s="3">
        <f>'Monthly Data'!A67</f>
        <v>43983</v>
      </c>
      <c r="B67" s="1">
        <f t="shared" si="8"/>
        <v>2020</v>
      </c>
      <c r="C67" s="1">
        <f t="shared" si="9"/>
        <v>6</v>
      </c>
      <c r="D67" s="24">
        <f>'Monthly Data'!X67</f>
        <v>2238034.5752989105</v>
      </c>
      <c r="E67" s="278">
        <f>'Monthly Data'!BL67</f>
        <v>0</v>
      </c>
      <c r="F67" s="278">
        <f>'Monthly Data'!BG67</f>
        <v>165.96956521739128</v>
      </c>
      <c r="G67" s="278">
        <f>'Monthly Data'!CC67</f>
        <v>66</v>
      </c>
      <c r="H67" s="278">
        <f>'Monthly Data'!CD67</f>
        <v>30</v>
      </c>
      <c r="I67" s="278">
        <f>'Monthly Data'!CG67</f>
        <v>0.5</v>
      </c>
      <c r="J67" s="278">
        <f>'Monthly Data'!CB67</f>
        <v>0</v>
      </c>
      <c r="K67" s="278">
        <f>'Monthly Data'!AX67</f>
        <v>-93587</v>
      </c>
      <c r="M67" s="18">
        <f>'Large Use Predicted Monthly'!$Z$10</f>
        <v>877619.90234118199</v>
      </c>
      <c r="N67" s="18">
        <f>E67*'Large Use Predicted Monthly'!$Z$11</f>
        <v>0</v>
      </c>
      <c r="O67" s="18">
        <f>F67*'Large Use Predicted Monthly'!$Z$12</f>
        <v>299779.14456088439</v>
      </c>
      <c r="P67" s="18">
        <f>G67*'Large Use Predicted Monthly'!$Z$13</f>
        <v>0</v>
      </c>
      <c r="Q67" s="18">
        <f>H67*'Large Use Predicted Monthly'!$Z$14</f>
        <v>2099601.5872431691</v>
      </c>
      <c r="R67" s="18">
        <f>I67*'Large Use Predicted Monthly'!$Z$15</f>
        <v>-344616.62771173252</v>
      </c>
      <c r="S67" s="18">
        <f>J67*'Large Use Predicted Monthly'!$Z$16</f>
        <v>0</v>
      </c>
      <c r="T67" s="18">
        <f>K67*'Large Use Predicted Monthly'!$Z$17</f>
        <v>-194225.10493694045</v>
      </c>
      <c r="U67" s="18">
        <f t="shared" ref="U67:U121" si="12">SUM(M67:T67)</f>
        <v>2738158.9014965626</v>
      </c>
      <c r="V67" s="18">
        <f t="shared" si="10"/>
        <v>500124.32619765215</v>
      </c>
      <c r="W67" s="279">
        <f t="shared" si="11"/>
        <v>0.22346586228716142</v>
      </c>
      <c r="Y67" s="18"/>
    </row>
    <row r="68" spans="1:30" x14ac:dyDescent="0.25">
      <c r="A68" s="3">
        <f>'Monthly Data'!A68</f>
        <v>44013</v>
      </c>
      <c r="B68" s="1">
        <f t="shared" si="8"/>
        <v>2020</v>
      </c>
      <c r="C68" s="1">
        <f t="shared" si="9"/>
        <v>7</v>
      </c>
      <c r="D68" s="24">
        <f>'Monthly Data'!X68</f>
        <v>2794912.6777092903</v>
      </c>
      <c r="E68" s="278">
        <f>'Monthly Data'!BL68</f>
        <v>0</v>
      </c>
      <c r="F68" s="278">
        <f>'Monthly Data'!BG68</f>
        <v>308.88750000000005</v>
      </c>
      <c r="G68" s="278">
        <f>'Monthly Data'!CC68</f>
        <v>67</v>
      </c>
      <c r="H68" s="278">
        <f>'Monthly Data'!CD68</f>
        <v>31</v>
      </c>
      <c r="I68" s="278">
        <f>'Monthly Data'!CG68</f>
        <v>0.5</v>
      </c>
      <c r="J68" s="278">
        <f>'Monthly Data'!CB68</f>
        <v>0</v>
      </c>
      <c r="K68" s="278">
        <f>'Monthly Data'!AX68</f>
        <v>70686</v>
      </c>
      <c r="M68" s="18">
        <f>'Large Use Predicted Monthly'!$Z$10</f>
        <v>877619.90234118199</v>
      </c>
      <c r="N68" s="18">
        <f>E68*'Large Use Predicted Monthly'!$Z$11</f>
        <v>0</v>
      </c>
      <c r="O68" s="18">
        <f>F68*'Large Use Predicted Monthly'!$Z$12</f>
        <v>557921.75146246154</v>
      </c>
      <c r="P68" s="18">
        <f>G68*'Large Use Predicted Monthly'!$Z$13</f>
        <v>0</v>
      </c>
      <c r="Q68" s="18">
        <f>H68*'Large Use Predicted Monthly'!$Z$14</f>
        <v>2169588.3068179414</v>
      </c>
      <c r="R68" s="18">
        <f>I68*'Large Use Predicted Monthly'!$Z$15</f>
        <v>-344616.62771173252</v>
      </c>
      <c r="S68" s="18">
        <f>J68*'Large Use Predicted Monthly'!$Z$16</f>
        <v>0</v>
      </c>
      <c r="T68" s="18">
        <f>K68*'Large Use Predicted Monthly'!$Z$17</f>
        <v>146697.67988687073</v>
      </c>
      <c r="U68" s="18">
        <f t="shared" si="12"/>
        <v>3407211.0127967233</v>
      </c>
      <c r="V68" s="18">
        <f t="shared" si="10"/>
        <v>612298.33508743299</v>
      </c>
      <c r="W68" s="279">
        <f t="shared" si="11"/>
        <v>0.21907601621002076</v>
      </c>
      <c r="Y68" s="18"/>
    </row>
    <row r="69" spans="1:30" x14ac:dyDescent="0.25">
      <c r="A69" s="3">
        <f>'Monthly Data'!A69</f>
        <v>44044</v>
      </c>
      <c r="B69" s="1">
        <f t="shared" si="8"/>
        <v>2020</v>
      </c>
      <c r="C69" s="1">
        <f t="shared" si="9"/>
        <v>8</v>
      </c>
      <c r="D69" s="24">
        <f>'Monthly Data'!X69</f>
        <v>2846971.9201273769</v>
      </c>
      <c r="E69" s="278">
        <f>'Monthly Data'!BL69</f>
        <v>0</v>
      </c>
      <c r="F69" s="278">
        <f>'Monthly Data'!BG69</f>
        <v>216.93106060606064</v>
      </c>
      <c r="G69" s="278">
        <f>'Monthly Data'!CC69</f>
        <v>68</v>
      </c>
      <c r="H69" s="278">
        <f>'Monthly Data'!CD69</f>
        <v>31</v>
      </c>
      <c r="I69" s="278">
        <f>'Monthly Data'!CG69</f>
        <v>0.5</v>
      </c>
      <c r="J69" s="278">
        <f>'Monthly Data'!CB69</f>
        <v>0</v>
      </c>
      <c r="K69" s="278">
        <f>'Monthly Data'!AX69</f>
        <v>70686</v>
      </c>
      <c r="M69" s="18">
        <f>'Large Use Predicted Monthly'!$Z$10</f>
        <v>877619.90234118199</v>
      </c>
      <c r="N69" s="18">
        <f>E69*'Large Use Predicted Monthly'!$Z$11</f>
        <v>0</v>
      </c>
      <c r="O69" s="18">
        <f>F69*'Large Use Predicted Monthly'!$Z$12</f>
        <v>391827.30696432438</v>
      </c>
      <c r="P69" s="18">
        <f>G69*'Large Use Predicted Monthly'!$Z$13</f>
        <v>0</v>
      </c>
      <c r="Q69" s="18">
        <f>H69*'Large Use Predicted Monthly'!$Z$14</f>
        <v>2169588.3068179414</v>
      </c>
      <c r="R69" s="18">
        <f>I69*'Large Use Predicted Monthly'!$Z$15</f>
        <v>-344616.62771173252</v>
      </c>
      <c r="S69" s="18">
        <f>J69*'Large Use Predicted Monthly'!$Z$16</f>
        <v>0</v>
      </c>
      <c r="T69" s="18">
        <f>K69*'Large Use Predicted Monthly'!$Z$17</f>
        <v>146697.67988687073</v>
      </c>
      <c r="U69" s="18">
        <f t="shared" si="12"/>
        <v>3241116.5682985857</v>
      </c>
      <c r="V69" s="18">
        <f t="shared" si="10"/>
        <v>394144.6481712088</v>
      </c>
      <c r="W69" s="279">
        <f t="shared" si="11"/>
        <v>0.13844346176536027</v>
      </c>
      <c r="Y69" s="18"/>
    </row>
    <row r="70" spans="1:30" x14ac:dyDescent="0.25">
      <c r="A70" s="3">
        <f>'Monthly Data'!A70</f>
        <v>44075</v>
      </c>
      <c r="B70" s="1">
        <f t="shared" si="8"/>
        <v>2020</v>
      </c>
      <c r="C70" s="1">
        <f t="shared" si="9"/>
        <v>9</v>
      </c>
      <c r="D70" s="24">
        <f>'Monthly Data'!X70</f>
        <v>2796480.6781213125</v>
      </c>
      <c r="E70" s="278">
        <f>'Monthly Data'!BL70</f>
        <v>0</v>
      </c>
      <c r="F70" s="278">
        <f>'Monthly Data'!BG70</f>
        <v>75.812499999999972</v>
      </c>
      <c r="G70" s="278">
        <f>'Monthly Data'!CC70</f>
        <v>69</v>
      </c>
      <c r="H70" s="278">
        <f>'Monthly Data'!CD70</f>
        <v>30</v>
      </c>
      <c r="I70" s="278">
        <f>'Monthly Data'!CG70</f>
        <v>0.5</v>
      </c>
      <c r="J70" s="278">
        <f>'Monthly Data'!CB70</f>
        <v>1</v>
      </c>
      <c r="K70" s="278">
        <f>'Monthly Data'!AX70</f>
        <v>70686</v>
      </c>
      <c r="M70" s="18">
        <f>'Large Use Predicted Monthly'!$Z$10</f>
        <v>877619.90234118199</v>
      </c>
      <c r="N70" s="18">
        <f>E70*'Large Use Predicted Monthly'!$Z$11</f>
        <v>0</v>
      </c>
      <c r="O70" s="18">
        <f>F70*'Large Use Predicted Monthly'!$Z$12</f>
        <v>136934.78299622954</v>
      </c>
      <c r="P70" s="18">
        <f>G70*'Large Use Predicted Monthly'!$Z$13</f>
        <v>0</v>
      </c>
      <c r="Q70" s="18">
        <f>H70*'Large Use Predicted Monthly'!$Z$14</f>
        <v>2099601.5872431691</v>
      </c>
      <c r="R70" s="18">
        <f>I70*'Large Use Predicted Monthly'!$Z$15</f>
        <v>-344616.62771173252</v>
      </c>
      <c r="S70" s="18">
        <f>J70*'Large Use Predicted Monthly'!$Z$16</f>
        <v>177799.47475552099</v>
      </c>
      <c r="T70" s="18">
        <f>K70*'Large Use Predicted Monthly'!$Z$17</f>
        <v>146697.67988687073</v>
      </c>
      <c r="U70" s="18">
        <f t="shared" si="12"/>
        <v>3094036.7995112399</v>
      </c>
      <c r="V70" s="18">
        <f t="shared" si="10"/>
        <v>297556.12138992734</v>
      </c>
      <c r="W70" s="279">
        <f t="shared" si="11"/>
        <v>0.10640378233895997</v>
      </c>
      <c r="Y70" s="18"/>
    </row>
    <row r="71" spans="1:30" x14ac:dyDescent="0.25">
      <c r="A71" s="3">
        <f>'Monthly Data'!A71</f>
        <v>44105</v>
      </c>
      <c r="B71" s="1">
        <f t="shared" si="8"/>
        <v>2020</v>
      </c>
      <c r="C71" s="1">
        <f t="shared" si="9"/>
        <v>10</v>
      </c>
      <c r="D71" s="24">
        <f>'Monthly Data'!X71</f>
        <v>2572644.9041530807</v>
      </c>
      <c r="E71" s="278">
        <f>'Monthly Data'!BL71</f>
        <v>38.454166666666666</v>
      </c>
      <c r="F71" s="278">
        <f>'Monthly Data'!BG71</f>
        <v>3.9291666666666654</v>
      </c>
      <c r="G71" s="278">
        <f>'Monthly Data'!CC71</f>
        <v>70</v>
      </c>
      <c r="H71" s="278">
        <f>'Monthly Data'!CD71</f>
        <v>31</v>
      </c>
      <c r="I71" s="278">
        <f>'Monthly Data'!CG71</f>
        <v>0.5</v>
      </c>
      <c r="J71" s="278">
        <f>'Monthly Data'!CB71</f>
        <v>1</v>
      </c>
      <c r="K71" s="278">
        <f>'Monthly Data'!AX71</f>
        <v>18654</v>
      </c>
      <c r="M71" s="18">
        <f>'Large Use Predicted Monthly'!$Z$10</f>
        <v>877619.90234118199</v>
      </c>
      <c r="N71" s="18">
        <f>E71*'Large Use Predicted Monthly'!$Z$11</f>
        <v>16284.900813253362</v>
      </c>
      <c r="O71" s="18">
        <f>F71*'Large Use Predicted Monthly'!$Z$12</f>
        <v>7096.9772116210197</v>
      </c>
      <c r="P71" s="18">
        <f>G71*'Large Use Predicted Monthly'!$Z$13</f>
        <v>0</v>
      </c>
      <c r="Q71" s="18">
        <f>H71*'Large Use Predicted Monthly'!$Z$14</f>
        <v>2169588.3068179414</v>
      </c>
      <c r="R71" s="18">
        <f>I71*'Large Use Predicted Monthly'!$Z$15</f>
        <v>-344616.62771173252</v>
      </c>
      <c r="S71" s="18">
        <f>J71*'Large Use Predicted Monthly'!$Z$16</f>
        <v>177799.47475552099</v>
      </c>
      <c r="T71" s="18">
        <f>K71*'Large Use Predicted Monthly'!$Z$17</f>
        <v>38713.444255010705</v>
      </c>
      <c r="U71" s="18">
        <f t="shared" si="12"/>
        <v>2942486.3784827972</v>
      </c>
      <c r="V71" s="18">
        <f t="shared" si="10"/>
        <v>369841.47432971653</v>
      </c>
      <c r="W71" s="279">
        <f t="shared" si="11"/>
        <v>0.14375923926876688</v>
      </c>
      <c r="Y71" s="18"/>
    </row>
    <row r="72" spans="1:30" x14ac:dyDescent="0.25">
      <c r="A72" s="3">
        <f>'Monthly Data'!A72</f>
        <v>44136</v>
      </c>
      <c r="B72" s="1">
        <f t="shared" si="8"/>
        <v>2020</v>
      </c>
      <c r="C72" s="1">
        <f t="shared" si="9"/>
        <v>11</v>
      </c>
      <c r="D72" s="24">
        <f>'Monthly Data'!X72</f>
        <v>2636145.3575018547</v>
      </c>
      <c r="E72" s="278">
        <f>'Monthly Data'!BL72</f>
        <v>92.875724637681159</v>
      </c>
      <c r="F72" s="278">
        <f>'Monthly Data'!BG72</f>
        <v>0</v>
      </c>
      <c r="G72" s="278">
        <f>'Monthly Data'!CC72</f>
        <v>71</v>
      </c>
      <c r="H72" s="278">
        <f>'Monthly Data'!CD72</f>
        <v>30</v>
      </c>
      <c r="I72" s="278">
        <f>'Monthly Data'!CG72</f>
        <v>0.5</v>
      </c>
      <c r="J72" s="278">
        <f>'Monthly Data'!CB72</f>
        <v>1</v>
      </c>
      <c r="K72" s="278">
        <f>'Monthly Data'!AX72</f>
        <v>18654</v>
      </c>
      <c r="M72" s="18">
        <f>'Large Use Predicted Monthly'!$Z$10</f>
        <v>877619.90234118199</v>
      </c>
      <c r="N72" s="18">
        <f>E72*'Large Use Predicted Monthly'!$Z$11</f>
        <v>39331.809652625489</v>
      </c>
      <c r="O72" s="18">
        <f>F72*'Large Use Predicted Monthly'!$Z$12</f>
        <v>0</v>
      </c>
      <c r="P72" s="18">
        <f>G72*'Large Use Predicted Monthly'!$Z$13</f>
        <v>0</v>
      </c>
      <c r="Q72" s="18">
        <f>H72*'Large Use Predicted Monthly'!$Z$14</f>
        <v>2099601.5872431691</v>
      </c>
      <c r="R72" s="18">
        <f>I72*'Large Use Predicted Monthly'!$Z$15</f>
        <v>-344616.62771173252</v>
      </c>
      <c r="S72" s="18">
        <f>J72*'Large Use Predicted Monthly'!$Z$16</f>
        <v>177799.47475552099</v>
      </c>
      <c r="T72" s="18">
        <f>K72*'Large Use Predicted Monthly'!$Z$17</f>
        <v>38713.444255010705</v>
      </c>
      <c r="U72" s="18">
        <f t="shared" si="12"/>
        <v>2888449.5905357758</v>
      </c>
      <c r="V72" s="18">
        <f t="shared" si="10"/>
        <v>252304.2330339211</v>
      </c>
      <c r="W72" s="279">
        <f t="shared" si="11"/>
        <v>9.5709529945274874E-2</v>
      </c>
      <c r="Y72" s="18"/>
    </row>
    <row r="73" spans="1:30" x14ac:dyDescent="0.25">
      <c r="A73" s="3">
        <f>'Monthly Data'!A73</f>
        <v>44166</v>
      </c>
      <c r="B73" s="1">
        <f t="shared" si="8"/>
        <v>2020</v>
      </c>
      <c r="C73" s="1">
        <f t="shared" si="9"/>
        <v>12</v>
      </c>
      <c r="D73" s="24">
        <f>'Monthly Data'!X73</f>
        <v>2725064.1006996538</v>
      </c>
      <c r="E73" s="278">
        <f>'Monthly Data'!BL73</f>
        <v>272.9041666666667</v>
      </c>
      <c r="F73" s="278">
        <f>'Monthly Data'!BG73</f>
        <v>0</v>
      </c>
      <c r="G73" s="278">
        <f>'Monthly Data'!CC73</f>
        <v>72</v>
      </c>
      <c r="H73" s="278">
        <f>'Monthly Data'!CD73</f>
        <v>31</v>
      </c>
      <c r="I73" s="278">
        <f>'Monthly Data'!CG73</f>
        <v>0.5</v>
      </c>
      <c r="J73" s="278">
        <f>'Monthly Data'!CB73</f>
        <v>0</v>
      </c>
      <c r="K73" s="278">
        <f>'Monthly Data'!AX73</f>
        <v>18654</v>
      </c>
      <c r="M73" s="18">
        <f>'Large Use Predicted Monthly'!$Z$10</f>
        <v>877619.90234118199</v>
      </c>
      <c r="N73" s="18">
        <f>E73*'Large Use Predicted Monthly'!$Z$11</f>
        <v>115571.80068974488</v>
      </c>
      <c r="O73" s="18">
        <f>F73*'Large Use Predicted Monthly'!$Z$12</f>
        <v>0</v>
      </c>
      <c r="P73" s="18">
        <f>G73*'Large Use Predicted Monthly'!$Z$13</f>
        <v>0</v>
      </c>
      <c r="Q73" s="18">
        <f>H73*'Large Use Predicted Monthly'!$Z$14</f>
        <v>2169588.3068179414</v>
      </c>
      <c r="R73" s="18">
        <f>I73*'Large Use Predicted Monthly'!$Z$15</f>
        <v>-344616.62771173252</v>
      </c>
      <c r="S73" s="18">
        <f>J73*'Large Use Predicted Monthly'!$Z$16</f>
        <v>0</v>
      </c>
      <c r="T73" s="18">
        <f>K73*'Large Use Predicted Monthly'!$Z$17</f>
        <v>38713.444255010705</v>
      </c>
      <c r="U73" s="18">
        <f t="shared" si="12"/>
        <v>2856876.8263921468</v>
      </c>
      <c r="V73" s="18">
        <f t="shared" si="10"/>
        <v>131812.72569249291</v>
      </c>
      <c r="W73" s="279">
        <f t="shared" si="11"/>
        <v>4.8370504627267413E-2</v>
      </c>
      <c r="Y73" s="18"/>
    </row>
    <row r="74" spans="1:30" x14ac:dyDescent="0.25">
      <c r="A74" s="3">
        <f>'Monthly Data'!A74</f>
        <v>44197</v>
      </c>
      <c r="B74" s="1">
        <f t="shared" si="8"/>
        <v>2021</v>
      </c>
      <c r="C74" s="1">
        <f t="shared" si="9"/>
        <v>1</v>
      </c>
      <c r="D74" s="24">
        <f>'Monthly Data'!X74</f>
        <v>2862610.8080001106</v>
      </c>
      <c r="E74" s="278">
        <f>'Monthly Data'!BL74</f>
        <v>343.50416666666661</v>
      </c>
      <c r="F74" s="278">
        <f>'Monthly Data'!BG74</f>
        <v>0</v>
      </c>
      <c r="G74" s="278">
        <f>'Monthly Data'!CC74</f>
        <v>73</v>
      </c>
      <c r="H74" s="278">
        <f>'Monthly Data'!CD74</f>
        <v>31</v>
      </c>
      <c r="I74" s="278">
        <f>'Monthly Data'!CG74</f>
        <v>0.5</v>
      </c>
      <c r="J74" s="278">
        <f>'Monthly Data'!CB74</f>
        <v>0</v>
      </c>
      <c r="K74" s="278">
        <f>'Monthly Data'!AX74</f>
        <v>12705</v>
      </c>
      <c r="M74" s="18">
        <f>'Large Use Predicted Monthly'!$Z$10</f>
        <v>877619.90234118199</v>
      </c>
      <c r="N74" s="18">
        <f>E74*'Large Use Predicted Monthly'!$Z$11</f>
        <v>145470.0951289869</v>
      </c>
      <c r="O74" s="18">
        <f>F74*'Large Use Predicted Monthly'!$Z$12</f>
        <v>0</v>
      </c>
      <c r="P74" s="18">
        <f>G74*'Large Use Predicted Monthly'!$Z$13</f>
        <v>0</v>
      </c>
      <c r="Q74" s="18">
        <f>H74*'Large Use Predicted Monthly'!$Z$14</f>
        <v>2169588.3068179414</v>
      </c>
      <c r="R74" s="18">
        <f>I74*'Large Use Predicted Monthly'!$Z$15</f>
        <v>-344616.62771173252</v>
      </c>
      <c r="S74" s="18">
        <f>J74*'Large Use Predicted Monthly'!$Z$16</f>
        <v>0</v>
      </c>
      <c r="T74" s="18">
        <f>K74*'Large Use Predicted Monthly'!$Z$17</f>
        <v>26367.230045025786</v>
      </c>
      <c r="U74" s="18">
        <f t="shared" si="12"/>
        <v>2874428.9066214035</v>
      </c>
      <c r="V74" s="18">
        <f t="shared" si="10"/>
        <v>11818.098621292971</v>
      </c>
      <c r="W74" s="279">
        <f t="shared" si="11"/>
        <v>4.1284335922525846E-3</v>
      </c>
      <c r="Y74" s="18"/>
    </row>
    <row r="75" spans="1:30" x14ac:dyDescent="0.25">
      <c r="A75" s="3">
        <f>'Monthly Data'!A75</f>
        <v>44228</v>
      </c>
      <c r="B75" s="1">
        <f t="shared" si="8"/>
        <v>2021</v>
      </c>
      <c r="C75" s="1">
        <f t="shared" si="9"/>
        <v>2</v>
      </c>
      <c r="D75" s="24">
        <f>'Monthly Data'!X75</f>
        <v>2496647.5562890139</v>
      </c>
      <c r="E75" s="278">
        <f>'Monthly Data'!BL75</f>
        <v>373.45416666666665</v>
      </c>
      <c r="F75" s="278">
        <f>'Monthly Data'!BG75</f>
        <v>0</v>
      </c>
      <c r="G75" s="278">
        <f>'Monthly Data'!CC75</f>
        <v>74</v>
      </c>
      <c r="H75" s="278">
        <f>'Monthly Data'!CD75</f>
        <v>28</v>
      </c>
      <c r="I75" s="278">
        <f>'Monthly Data'!CG75</f>
        <v>0.5</v>
      </c>
      <c r="J75" s="278">
        <f>'Monthly Data'!CB75</f>
        <v>0</v>
      </c>
      <c r="K75" s="278">
        <f>'Monthly Data'!AX75</f>
        <v>12705</v>
      </c>
      <c r="M75" s="18">
        <f>'Large Use Predicted Monthly'!$Z$10</f>
        <v>877619.90234118199</v>
      </c>
      <c r="N75" s="18">
        <f>E75*'Large Use Predicted Monthly'!$Z$11</f>
        <v>158153.57839322629</v>
      </c>
      <c r="O75" s="18">
        <f>F75*'Large Use Predicted Monthly'!$Z$12</f>
        <v>0</v>
      </c>
      <c r="P75" s="18">
        <f>G75*'Large Use Predicted Monthly'!$Z$13</f>
        <v>0</v>
      </c>
      <c r="Q75" s="18">
        <f>H75*'Large Use Predicted Monthly'!$Z$14</f>
        <v>1959628.1480936245</v>
      </c>
      <c r="R75" s="18">
        <f>I75*'Large Use Predicted Monthly'!$Z$15</f>
        <v>-344616.62771173252</v>
      </c>
      <c r="S75" s="18">
        <f>J75*'Large Use Predicted Monthly'!$Z$16</f>
        <v>0</v>
      </c>
      <c r="T75" s="18">
        <f>K75*'Large Use Predicted Monthly'!$Z$17</f>
        <v>26367.230045025786</v>
      </c>
      <c r="U75" s="18">
        <f t="shared" si="12"/>
        <v>2677152.2311613262</v>
      </c>
      <c r="V75" s="18">
        <f t="shared" si="10"/>
        <v>180504.67487231223</v>
      </c>
      <c r="W75" s="279">
        <f t="shared" si="11"/>
        <v>7.2298821040087904E-2</v>
      </c>
      <c r="Y75" s="18"/>
    </row>
    <row r="76" spans="1:30" x14ac:dyDescent="0.25">
      <c r="A76" s="3">
        <f>'Monthly Data'!A76</f>
        <v>44256</v>
      </c>
      <c r="B76" s="1">
        <f t="shared" si="8"/>
        <v>2021</v>
      </c>
      <c r="C76" s="1">
        <f t="shared" si="9"/>
        <v>3</v>
      </c>
      <c r="D76" s="24">
        <f>'Monthly Data'!X76</f>
        <v>3029147.3045779178</v>
      </c>
      <c r="E76" s="278">
        <f>'Monthly Data'!BL76</f>
        <v>194.65054347826086</v>
      </c>
      <c r="F76" s="278">
        <f>'Monthly Data'!BG76</f>
        <v>0</v>
      </c>
      <c r="G76" s="278">
        <f>'Monthly Data'!CC76</f>
        <v>75</v>
      </c>
      <c r="H76" s="278">
        <f>'Monthly Data'!CD76</f>
        <v>31</v>
      </c>
      <c r="I76" s="278">
        <f>'Monthly Data'!CG76</f>
        <v>0.5</v>
      </c>
      <c r="J76" s="278">
        <f>'Monthly Data'!CB76</f>
        <v>1</v>
      </c>
      <c r="K76" s="278">
        <f>'Monthly Data'!AX76</f>
        <v>12705</v>
      </c>
      <c r="M76" s="18">
        <f>'Large Use Predicted Monthly'!$Z$10</f>
        <v>877619.90234118199</v>
      </c>
      <c r="N76" s="18">
        <f>E76*'Large Use Predicted Monthly'!$Z$11</f>
        <v>82432.284159653413</v>
      </c>
      <c r="O76" s="18">
        <f>F76*'Large Use Predicted Monthly'!$Z$12</f>
        <v>0</v>
      </c>
      <c r="P76" s="18">
        <f>G76*'Large Use Predicted Monthly'!$Z$13</f>
        <v>0</v>
      </c>
      <c r="Q76" s="18">
        <f>H76*'Large Use Predicted Monthly'!$Z$14</f>
        <v>2169588.3068179414</v>
      </c>
      <c r="R76" s="18">
        <f>I76*'Large Use Predicted Monthly'!$Z$15</f>
        <v>-344616.62771173252</v>
      </c>
      <c r="S76" s="18">
        <f>J76*'Large Use Predicted Monthly'!$Z$16</f>
        <v>177799.47475552099</v>
      </c>
      <c r="T76" s="18">
        <f>K76*'Large Use Predicted Monthly'!$Z$17</f>
        <v>26367.230045025786</v>
      </c>
      <c r="U76" s="18">
        <f t="shared" si="12"/>
        <v>2989190.5704075908</v>
      </c>
      <c r="V76" s="18">
        <f t="shared" si="10"/>
        <v>-39956.734170326963</v>
      </c>
      <c r="W76" s="279">
        <f t="shared" si="11"/>
        <v>1.3190753090792508E-2</v>
      </c>
    </row>
    <row r="77" spans="1:30" x14ac:dyDescent="0.25">
      <c r="A77" s="3">
        <f>'Monthly Data'!A77</f>
        <v>44287</v>
      </c>
      <c r="B77" s="1">
        <f t="shared" si="8"/>
        <v>2021</v>
      </c>
      <c r="C77" s="1">
        <f t="shared" si="9"/>
        <v>4</v>
      </c>
      <c r="D77" s="24">
        <f>'Monthly Data'!X77</f>
        <v>2752785.0528668212</v>
      </c>
      <c r="E77" s="278">
        <f>'Monthly Data'!BL77</f>
        <v>60.454166666666659</v>
      </c>
      <c r="F77" s="278">
        <f>'Monthly Data'!BG77</f>
        <v>3.7083333333333339</v>
      </c>
      <c r="G77" s="278">
        <f>'Monthly Data'!CC77</f>
        <v>76</v>
      </c>
      <c r="H77" s="278">
        <f>'Monthly Data'!CD77</f>
        <v>30</v>
      </c>
      <c r="I77" s="278">
        <f>'Monthly Data'!CG77</f>
        <v>0.5</v>
      </c>
      <c r="J77" s="278">
        <f>'Monthly Data'!CB77</f>
        <v>1</v>
      </c>
      <c r="K77" s="278">
        <f>'Monthly Data'!AX77</f>
        <v>-6066</v>
      </c>
      <c r="M77" s="18">
        <f>'Large Use Predicted Monthly'!$Z$10</f>
        <v>877619.90234118199</v>
      </c>
      <c r="N77" s="18">
        <f>E77*'Large Use Predicted Monthly'!$Z$11</f>
        <v>25601.649788654566</v>
      </c>
      <c r="O77" s="18">
        <f>F77*'Large Use Predicted Monthly'!$Z$12</f>
        <v>6698.1015040749844</v>
      </c>
      <c r="P77" s="18">
        <f>G77*'Large Use Predicted Monthly'!$Z$13</f>
        <v>0</v>
      </c>
      <c r="Q77" s="18">
        <f>H77*'Large Use Predicted Monthly'!$Z$14</f>
        <v>2099601.5872431691</v>
      </c>
      <c r="R77" s="18">
        <f>I77*'Large Use Predicted Monthly'!$Z$15</f>
        <v>-344616.62771173252</v>
      </c>
      <c r="S77" s="18">
        <f>J77*'Large Use Predicted Monthly'!$Z$16</f>
        <v>177799.47475552099</v>
      </c>
      <c r="T77" s="18">
        <f>K77*'Large Use Predicted Monthly'!$Z$17</f>
        <v>-12589.029315476302</v>
      </c>
      <c r="U77" s="18">
        <f t="shared" si="12"/>
        <v>2830115.0586053929</v>
      </c>
      <c r="V77" s="18">
        <f t="shared" si="10"/>
        <v>77330.005738571752</v>
      </c>
      <c r="W77" s="279">
        <f t="shared" si="11"/>
        <v>2.8091552465398014E-2</v>
      </c>
      <c r="Y77" s="18"/>
    </row>
    <row r="78" spans="1:30" x14ac:dyDescent="0.25">
      <c r="A78" s="3">
        <f>'Monthly Data'!A78</f>
        <v>44317</v>
      </c>
      <c r="B78" s="1">
        <f t="shared" si="8"/>
        <v>2021</v>
      </c>
      <c r="C78" s="1">
        <f t="shared" si="9"/>
        <v>5</v>
      </c>
      <c r="D78" s="24">
        <f>'Monthly Data'!X78</f>
        <v>2872505.801155725</v>
      </c>
      <c r="E78" s="278">
        <f>'Monthly Data'!BL78</f>
        <v>8.125</v>
      </c>
      <c r="F78" s="278">
        <f>'Monthly Data'!BG78</f>
        <v>53.908333333333317</v>
      </c>
      <c r="G78" s="278">
        <f>'Monthly Data'!CC78</f>
        <v>77</v>
      </c>
      <c r="H78" s="278">
        <f>'Monthly Data'!CD78</f>
        <v>31</v>
      </c>
      <c r="I78" s="278">
        <f>'Monthly Data'!CG78</f>
        <v>0.5</v>
      </c>
      <c r="J78" s="278">
        <f>'Monthly Data'!CB78</f>
        <v>1</v>
      </c>
      <c r="K78" s="278">
        <f>'Monthly Data'!AX78</f>
        <v>-6066</v>
      </c>
      <c r="M78" s="18">
        <f>'Large Use Predicted Monthly'!$Z$10</f>
        <v>877619.90234118199</v>
      </c>
      <c r="N78" s="18">
        <f>E78*'Large Use Predicted Monthly'!$Z$11</f>
        <v>3440.8447920515823</v>
      </c>
      <c r="O78" s="18">
        <f>F78*'Large Use Predicted Monthly'!$Z$12</f>
        <v>97370.828381710235</v>
      </c>
      <c r="P78" s="18">
        <f>G78*'Large Use Predicted Monthly'!$Z$13</f>
        <v>0</v>
      </c>
      <c r="Q78" s="18">
        <f>H78*'Large Use Predicted Monthly'!$Z$14</f>
        <v>2169588.3068179414</v>
      </c>
      <c r="R78" s="18">
        <f>I78*'Large Use Predicted Monthly'!$Z$15</f>
        <v>-344616.62771173252</v>
      </c>
      <c r="S78" s="18">
        <f>J78*'Large Use Predicted Monthly'!$Z$16</f>
        <v>177799.47475552099</v>
      </c>
      <c r="T78" s="18">
        <f>K78*'Large Use Predicted Monthly'!$Z$17</f>
        <v>-12589.029315476302</v>
      </c>
      <c r="U78" s="18">
        <f t="shared" si="12"/>
        <v>2968613.7000611974</v>
      </c>
      <c r="V78" s="18">
        <f t="shared" si="10"/>
        <v>96107.898905472364</v>
      </c>
      <c r="W78" s="279">
        <f t="shared" si="11"/>
        <v>3.3457860682754505E-2</v>
      </c>
      <c r="Y78" s="18"/>
      <c r="AB78" s="18"/>
      <c r="AC78" s="18"/>
      <c r="AD78" s="240"/>
    </row>
    <row r="79" spans="1:30" x14ac:dyDescent="0.25">
      <c r="A79" s="3">
        <f>'Monthly Data'!A79</f>
        <v>44348</v>
      </c>
      <c r="B79" s="1">
        <f t="shared" si="8"/>
        <v>2021</v>
      </c>
      <c r="C79" s="1">
        <f t="shared" si="9"/>
        <v>6</v>
      </c>
      <c r="D79" s="24">
        <f>'Monthly Data'!X79</f>
        <v>3094658.5494446284</v>
      </c>
      <c r="E79" s="278">
        <f>'Monthly Data'!BL79</f>
        <v>0</v>
      </c>
      <c r="F79" s="278">
        <f>'Monthly Data'!BG79</f>
        <v>181.67499999999995</v>
      </c>
      <c r="G79" s="278">
        <f>'Monthly Data'!CC79</f>
        <v>78</v>
      </c>
      <c r="H79" s="278">
        <f>'Monthly Data'!CD79</f>
        <v>30</v>
      </c>
      <c r="I79" s="278">
        <f>'Monthly Data'!CG79</f>
        <v>0.5</v>
      </c>
      <c r="J79" s="278">
        <f>'Monthly Data'!CB79</f>
        <v>0</v>
      </c>
      <c r="K79" s="278">
        <f>'Monthly Data'!AX79</f>
        <v>-6066</v>
      </c>
      <c r="M79" s="18">
        <f>'Large Use Predicted Monthly'!$Z$10</f>
        <v>877619.90234118199</v>
      </c>
      <c r="N79" s="18">
        <f>E79*'Large Use Predicted Monthly'!$Z$11</f>
        <v>0</v>
      </c>
      <c r="O79" s="18">
        <f>F79*'Large Use Predicted Monthly'!$Z$12</f>
        <v>328146.76604570489</v>
      </c>
      <c r="P79" s="18">
        <f>G79*'Large Use Predicted Monthly'!$Z$13</f>
        <v>0</v>
      </c>
      <c r="Q79" s="18">
        <f>H79*'Large Use Predicted Monthly'!$Z$14</f>
        <v>2099601.5872431691</v>
      </c>
      <c r="R79" s="18">
        <f>I79*'Large Use Predicted Monthly'!$Z$15</f>
        <v>-344616.62771173252</v>
      </c>
      <c r="S79" s="18">
        <f>J79*'Large Use Predicted Monthly'!$Z$16</f>
        <v>0</v>
      </c>
      <c r="T79" s="18">
        <f>K79*'Large Use Predicted Monthly'!$Z$17</f>
        <v>-12589.029315476302</v>
      </c>
      <c r="U79" s="18">
        <f t="shared" si="12"/>
        <v>2948162.5986028472</v>
      </c>
      <c r="V79" s="18">
        <f t="shared" si="10"/>
        <v>-146495.95084178122</v>
      </c>
      <c r="W79" s="279">
        <f t="shared" si="11"/>
        <v>4.7338324568334554E-2</v>
      </c>
      <c r="Y79" s="18"/>
      <c r="AB79" s="18"/>
      <c r="AC79" s="18"/>
      <c r="AD79" s="240"/>
    </row>
    <row r="80" spans="1:30" x14ac:dyDescent="0.25">
      <c r="A80" s="3">
        <f>'Monthly Data'!A80</f>
        <v>44378</v>
      </c>
      <c r="B80" s="1">
        <f t="shared" si="8"/>
        <v>2021</v>
      </c>
      <c r="C80" s="1">
        <f t="shared" si="9"/>
        <v>7</v>
      </c>
      <c r="D80" s="24">
        <f>'Monthly Data'!X80</f>
        <v>3232065.2977335323</v>
      </c>
      <c r="E80" s="278">
        <f>'Monthly Data'!BL80</f>
        <v>0</v>
      </c>
      <c r="F80" s="278">
        <f>'Monthly Data'!BG80</f>
        <v>192.87499999999994</v>
      </c>
      <c r="G80" s="278">
        <f>'Monthly Data'!CC80</f>
        <v>79</v>
      </c>
      <c r="H80" s="278">
        <f>'Monthly Data'!CD80</f>
        <v>31</v>
      </c>
      <c r="I80" s="278">
        <f>'Monthly Data'!CG80</f>
        <v>0.5</v>
      </c>
      <c r="J80" s="278">
        <f>'Monthly Data'!CB80</f>
        <v>0</v>
      </c>
      <c r="K80" s="278">
        <f>'Monthly Data'!AX80</f>
        <v>17046</v>
      </c>
      <c r="M80" s="18">
        <f>'Large Use Predicted Monthly'!$Z$10</f>
        <v>877619.90234118199</v>
      </c>
      <c r="N80" s="18">
        <f>E80*'Large Use Predicted Monthly'!$Z$11</f>
        <v>0</v>
      </c>
      <c r="O80" s="18">
        <f>F80*'Large Use Predicted Monthly'!$Z$12</f>
        <v>348376.53777936054</v>
      </c>
      <c r="P80" s="18">
        <f>G80*'Large Use Predicted Monthly'!$Z$13</f>
        <v>0</v>
      </c>
      <c r="Q80" s="18">
        <f>H80*'Large Use Predicted Monthly'!$Z$14</f>
        <v>2169588.3068179414</v>
      </c>
      <c r="R80" s="18">
        <f>I80*'Large Use Predicted Monthly'!$Z$15</f>
        <v>-344616.62771173252</v>
      </c>
      <c r="S80" s="18">
        <f>J80*'Large Use Predicted Monthly'!$Z$16</f>
        <v>0</v>
      </c>
      <c r="T80" s="18">
        <f>K80*'Large Use Predicted Monthly'!$Z$17</f>
        <v>35376.293061590681</v>
      </c>
      <c r="U80" s="18">
        <f t="shared" si="12"/>
        <v>3086344.4122883421</v>
      </c>
      <c r="V80" s="18">
        <f t="shared" si="10"/>
        <v>-145720.88544519013</v>
      </c>
      <c r="W80" s="279">
        <f t="shared" si="11"/>
        <v>4.5085996730132923E-2</v>
      </c>
      <c r="Y80" s="18"/>
      <c r="AB80" s="18"/>
      <c r="AC80" s="18"/>
      <c r="AD80" s="240"/>
    </row>
    <row r="81" spans="1:30" x14ac:dyDescent="0.25">
      <c r="A81" s="3">
        <f>'Monthly Data'!A81</f>
        <v>44409</v>
      </c>
      <c r="B81" s="1">
        <f t="shared" si="8"/>
        <v>2021</v>
      </c>
      <c r="C81" s="1">
        <f t="shared" si="9"/>
        <v>8</v>
      </c>
      <c r="D81" s="24">
        <f>'Monthly Data'!X81</f>
        <v>3571651.0460224357</v>
      </c>
      <c r="E81" s="278">
        <f>'Monthly Data'!BL81</f>
        <v>0</v>
      </c>
      <c r="F81" s="278">
        <f>'Monthly Data'!BG81</f>
        <v>266.0625</v>
      </c>
      <c r="G81" s="278">
        <f>'Monthly Data'!CC81</f>
        <v>80</v>
      </c>
      <c r="H81" s="278">
        <f>'Monthly Data'!CD81</f>
        <v>31</v>
      </c>
      <c r="I81" s="278">
        <f>'Monthly Data'!CG81</f>
        <v>0.5</v>
      </c>
      <c r="J81" s="278">
        <f>'Monthly Data'!CB81</f>
        <v>0</v>
      </c>
      <c r="K81" s="278">
        <f>'Monthly Data'!AX81</f>
        <v>17046</v>
      </c>
      <c r="M81" s="18">
        <f>'Large Use Predicted Monthly'!$Z$10</f>
        <v>877619.90234118199</v>
      </c>
      <c r="N81" s="18">
        <f>E81*'Large Use Predicted Monthly'!$Z$11</f>
        <v>0</v>
      </c>
      <c r="O81" s="18">
        <f>F81*'Large Use Predicted Monthly'!$Z$12</f>
        <v>480569.96802551468</v>
      </c>
      <c r="P81" s="18">
        <f>G81*'Large Use Predicted Monthly'!$Z$13</f>
        <v>0</v>
      </c>
      <c r="Q81" s="18">
        <f>H81*'Large Use Predicted Monthly'!$Z$14</f>
        <v>2169588.3068179414</v>
      </c>
      <c r="R81" s="18">
        <f>I81*'Large Use Predicted Monthly'!$Z$15</f>
        <v>-344616.62771173252</v>
      </c>
      <c r="S81" s="18">
        <f>J81*'Large Use Predicted Monthly'!$Z$16</f>
        <v>0</v>
      </c>
      <c r="T81" s="18">
        <f>K81*'Large Use Predicted Monthly'!$Z$17</f>
        <v>35376.293061590681</v>
      </c>
      <c r="U81" s="18">
        <f t="shared" si="12"/>
        <v>3218537.8425344964</v>
      </c>
      <c r="V81" s="18">
        <f t="shared" si="10"/>
        <v>-353113.2034879392</v>
      </c>
      <c r="W81" s="279">
        <f t="shared" si="11"/>
        <v>9.8865538356884899E-2</v>
      </c>
      <c r="Y81" s="18"/>
      <c r="AB81" s="18"/>
      <c r="AC81" s="18"/>
      <c r="AD81" s="240"/>
    </row>
    <row r="82" spans="1:30" x14ac:dyDescent="0.25">
      <c r="A82" s="3">
        <f>'Monthly Data'!A82</f>
        <v>44440</v>
      </c>
      <c r="B82" s="1">
        <f t="shared" si="8"/>
        <v>2021</v>
      </c>
      <c r="C82" s="1">
        <f t="shared" si="9"/>
        <v>9</v>
      </c>
      <c r="D82" s="24">
        <f>'Monthly Data'!X82</f>
        <v>3258678.794311339</v>
      </c>
      <c r="E82" s="278">
        <f>'Monthly Data'!BL82</f>
        <v>0</v>
      </c>
      <c r="F82" s="278">
        <f>'Monthly Data'!BG82</f>
        <v>95.25833333333334</v>
      </c>
      <c r="G82" s="278">
        <f>'Monthly Data'!CC82</f>
        <v>81</v>
      </c>
      <c r="H82" s="278">
        <f>'Monthly Data'!CD82</f>
        <v>30</v>
      </c>
      <c r="I82" s="278">
        <f>'Monthly Data'!CG82</f>
        <v>0.5</v>
      </c>
      <c r="J82" s="278">
        <f>'Monthly Data'!CB82</f>
        <v>1</v>
      </c>
      <c r="K82" s="278">
        <f>'Monthly Data'!AX82</f>
        <v>17046</v>
      </c>
      <c r="M82" s="18">
        <f>'Large Use Predicted Monthly'!$Z$10</f>
        <v>877619.90234118199</v>
      </c>
      <c r="N82" s="18">
        <f>E82*'Large Use Predicted Monthly'!$Z$11</f>
        <v>0</v>
      </c>
      <c r="O82" s="18">
        <f>F82*'Large Use Predicted Monthly'!$Z$12</f>
        <v>172058.42313051943</v>
      </c>
      <c r="P82" s="18">
        <f>G82*'Large Use Predicted Monthly'!$Z$13</f>
        <v>0</v>
      </c>
      <c r="Q82" s="18">
        <f>H82*'Large Use Predicted Monthly'!$Z$14</f>
        <v>2099601.5872431691</v>
      </c>
      <c r="R82" s="18">
        <f>I82*'Large Use Predicted Monthly'!$Z$15</f>
        <v>-344616.62771173252</v>
      </c>
      <c r="S82" s="18">
        <f>J82*'Large Use Predicted Monthly'!$Z$16</f>
        <v>177799.47475552099</v>
      </c>
      <c r="T82" s="18">
        <f>K82*'Large Use Predicted Monthly'!$Z$17</f>
        <v>35376.293061590681</v>
      </c>
      <c r="U82" s="18">
        <f t="shared" si="12"/>
        <v>3017839.0528202499</v>
      </c>
      <c r="V82" s="18">
        <f t="shared" si="10"/>
        <v>-240839.74149108911</v>
      </c>
      <c r="W82" s="279">
        <f t="shared" si="11"/>
        <v>7.3907174254646379E-2</v>
      </c>
      <c r="Y82" s="18"/>
      <c r="AB82" s="18"/>
      <c r="AC82" s="18"/>
      <c r="AD82" s="240"/>
    </row>
    <row r="83" spans="1:30" x14ac:dyDescent="0.25">
      <c r="A83" s="3">
        <f>'Monthly Data'!A83</f>
        <v>44470</v>
      </c>
      <c r="B83" s="1">
        <f t="shared" si="8"/>
        <v>2021</v>
      </c>
      <c r="C83" s="1">
        <f t="shared" si="9"/>
        <v>10</v>
      </c>
      <c r="D83" s="24">
        <f>'Monthly Data'!X83</f>
        <v>3127562.5426002429</v>
      </c>
      <c r="E83" s="278">
        <f>'Monthly Data'!BL83</f>
        <v>6.6666666666666643</v>
      </c>
      <c r="F83" s="278">
        <f>'Monthly Data'!BG83</f>
        <v>44.562500000000028</v>
      </c>
      <c r="G83" s="278">
        <f>'Monthly Data'!CC83</f>
        <v>82</v>
      </c>
      <c r="H83" s="278">
        <f>'Monthly Data'!CD83</f>
        <v>31</v>
      </c>
      <c r="I83" s="278">
        <f>'Monthly Data'!CG83</f>
        <v>0.5</v>
      </c>
      <c r="J83" s="278">
        <f>'Monthly Data'!CB83</f>
        <v>1</v>
      </c>
      <c r="K83" s="278">
        <f>'Monthly Data'!AX83</f>
        <v>18833</v>
      </c>
      <c r="M83" s="18">
        <f>'Large Use Predicted Monthly'!$Z$10</f>
        <v>877619.90234118199</v>
      </c>
      <c r="N83" s="18">
        <f>E83*'Large Use Predicted Monthly'!$Z$11</f>
        <v>2823.2572652730923</v>
      </c>
      <c r="O83" s="18">
        <f>F83*'Large Use Predicted Monthly'!$Z$12</f>
        <v>80490.107400092122</v>
      </c>
      <c r="P83" s="18">
        <f>G83*'Large Use Predicted Monthly'!$Z$13</f>
        <v>0</v>
      </c>
      <c r="Q83" s="18">
        <f>H83*'Large Use Predicted Monthly'!$Z$14</f>
        <v>2169588.3068179414</v>
      </c>
      <c r="R83" s="18">
        <f>I83*'Large Use Predicted Monthly'!$Z$15</f>
        <v>-344616.62771173252</v>
      </c>
      <c r="S83" s="18">
        <f>J83*'Large Use Predicted Monthly'!$Z$16</f>
        <v>177799.47475552099</v>
      </c>
      <c r="T83" s="18">
        <f>K83*'Large Use Predicted Monthly'!$Z$17</f>
        <v>39084.930612984703</v>
      </c>
      <c r="U83" s="18">
        <f t="shared" si="12"/>
        <v>3002789.3514812617</v>
      </c>
      <c r="V83" s="18">
        <f t="shared" si="10"/>
        <v>-124773.19111898122</v>
      </c>
      <c r="W83" s="279">
        <f t="shared" si="11"/>
        <v>3.9894706954523539E-2</v>
      </c>
      <c r="Y83" s="18"/>
      <c r="AB83" s="18"/>
      <c r="AC83" s="18"/>
      <c r="AD83" s="240"/>
    </row>
    <row r="84" spans="1:30" x14ac:dyDescent="0.25">
      <c r="A84" s="3">
        <f>'Monthly Data'!A84</f>
        <v>44501</v>
      </c>
      <c r="B84" s="1">
        <f t="shared" si="8"/>
        <v>2021</v>
      </c>
      <c r="C84" s="1">
        <f t="shared" si="9"/>
        <v>11</v>
      </c>
      <c r="D84" s="24">
        <f>'Monthly Data'!X84</f>
        <v>3069952.2908891463</v>
      </c>
      <c r="E84" s="278">
        <f>'Monthly Data'!BL84</f>
        <v>148.50427018633536</v>
      </c>
      <c r="F84" s="278">
        <f>'Monthly Data'!BG84</f>
        <v>0</v>
      </c>
      <c r="G84" s="278">
        <f>'Monthly Data'!CC84</f>
        <v>83</v>
      </c>
      <c r="H84" s="278">
        <f>'Monthly Data'!CD84</f>
        <v>30</v>
      </c>
      <c r="I84" s="278">
        <f>'Monthly Data'!CG84</f>
        <v>0.5</v>
      </c>
      <c r="J84" s="278">
        <f>'Monthly Data'!CB84</f>
        <v>1</v>
      </c>
      <c r="K84" s="278">
        <f>'Monthly Data'!AX84</f>
        <v>18833</v>
      </c>
      <c r="M84" s="18">
        <f>'Large Use Predicted Monthly'!$Z$10</f>
        <v>877619.90234118199</v>
      </c>
      <c r="N84" s="18">
        <f>E84*'Large Use Predicted Monthly'!$Z$11</f>
        <v>62889.863959147464</v>
      </c>
      <c r="O84" s="18">
        <f>F84*'Large Use Predicted Monthly'!$Z$12</f>
        <v>0</v>
      </c>
      <c r="P84" s="18">
        <f>G84*'Large Use Predicted Monthly'!$Z$13</f>
        <v>0</v>
      </c>
      <c r="Q84" s="18">
        <f>H84*'Large Use Predicted Monthly'!$Z$14</f>
        <v>2099601.5872431691</v>
      </c>
      <c r="R84" s="18">
        <f>I84*'Large Use Predicted Monthly'!$Z$15</f>
        <v>-344616.62771173252</v>
      </c>
      <c r="S84" s="18">
        <f>J84*'Large Use Predicted Monthly'!$Z$16</f>
        <v>177799.47475552099</v>
      </c>
      <c r="T84" s="18">
        <f>K84*'Large Use Predicted Monthly'!$Z$17</f>
        <v>39084.930612984703</v>
      </c>
      <c r="U84" s="18">
        <f t="shared" si="12"/>
        <v>2912379.1312002717</v>
      </c>
      <c r="V84" s="18">
        <f t="shared" si="10"/>
        <v>-157573.15968887461</v>
      </c>
      <c r="W84" s="279">
        <f t="shared" si="11"/>
        <v>5.132755976583496E-2</v>
      </c>
      <c r="Y84" s="18"/>
      <c r="AB84" s="18"/>
      <c r="AC84" s="18"/>
      <c r="AD84" s="240"/>
    </row>
    <row r="85" spans="1:30" x14ac:dyDescent="0.25">
      <c r="A85" s="3">
        <f>'Monthly Data'!A85</f>
        <v>44531</v>
      </c>
      <c r="B85" s="1">
        <f t="shared" si="8"/>
        <v>2021</v>
      </c>
      <c r="C85" s="1">
        <f t="shared" si="9"/>
        <v>12</v>
      </c>
      <c r="D85" s="24">
        <f>'Monthly Data'!X85</f>
        <v>3092838.0391780501</v>
      </c>
      <c r="E85" s="278">
        <f>'Monthly Data'!BL85</f>
        <v>225.45833333333331</v>
      </c>
      <c r="F85" s="278">
        <f>'Monthly Data'!BG85</f>
        <v>0</v>
      </c>
      <c r="G85" s="278">
        <f>'Monthly Data'!CC85</f>
        <v>84</v>
      </c>
      <c r="H85" s="278">
        <f>'Monthly Data'!CD85</f>
        <v>31</v>
      </c>
      <c r="I85" s="278">
        <f>'Monthly Data'!CG85</f>
        <v>0.5</v>
      </c>
      <c r="J85" s="278">
        <f>'Monthly Data'!CB85</f>
        <v>0</v>
      </c>
      <c r="K85" s="278">
        <f>'Monthly Data'!AX85</f>
        <v>18833</v>
      </c>
      <c r="M85" s="18">
        <f>'Large Use Predicted Monthly'!$Z$10</f>
        <v>877619.90234118199</v>
      </c>
      <c r="N85" s="18">
        <f>E85*'Large Use Predicted Monthly'!$Z$11</f>
        <v>95479.03163995441</v>
      </c>
      <c r="O85" s="18">
        <f>F85*'Large Use Predicted Monthly'!$Z$12</f>
        <v>0</v>
      </c>
      <c r="P85" s="18">
        <f>G85*'Large Use Predicted Monthly'!$Z$13</f>
        <v>0</v>
      </c>
      <c r="Q85" s="18">
        <f>H85*'Large Use Predicted Monthly'!$Z$14</f>
        <v>2169588.3068179414</v>
      </c>
      <c r="R85" s="18">
        <f>I85*'Large Use Predicted Monthly'!$Z$15</f>
        <v>-344616.62771173252</v>
      </c>
      <c r="S85" s="18">
        <f>J85*'Large Use Predicted Monthly'!$Z$16</f>
        <v>0</v>
      </c>
      <c r="T85" s="18">
        <f>K85*'Large Use Predicted Monthly'!$Z$17</f>
        <v>39084.930612984703</v>
      </c>
      <c r="U85" s="18">
        <f t="shared" si="12"/>
        <v>2837155.54370033</v>
      </c>
      <c r="V85" s="18">
        <f t="shared" si="10"/>
        <v>-255682.49547772016</v>
      </c>
      <c r="W85" s="279">
        <f t="shared" si="11"/>
        <v>8.2669215858994713E-2</v>
      </c>
      <c r="Y85" s="18"/>
      <c r="AB85" s="18"/>
      <c r="AC85" s="18"/>
      <c r="AD85" s="240"/>
    </row>
    <row r="86" spans="1:30" x14ac:dyDescent="0.25">
      <c r="A86" s="3">
        <f>'Monthly Data'!A86</f>
        <v>44562</v>
      </c>
      <c r="B86" s="1">
        <f t="shared" si="8"/>
        <v>2022</v>
      </c>
      <c r="C86" s="1">
        <f t="shared" si="9"/>
        <v>1</v>
      </c>
      <c r="D86" s="24">
        <f>'Monthly Data'!X86</f>
        <v>3049438.0035374709</v>
      </c>
      <c r="E86" s="278">
        <f>'Monthly Data'!BL86</f>
        <v>515.49166666666679</v>
      </c>
      <c r="F86" s="278">
        <f>'Monthly Data'!BG86</f>
        <v>0</v>
      </c>
      <c r="G86" s="278">
        <f>'Monthly Data'!CC86</f>
        <v>85</v>
      </c>
      <c r="H86" s="278">
        <f>'Monthly Data'!CD86</f>
        <v>31</v>
      </c>
      <c r="I86" s="278">
        <f>'Monthly Data'!CG86</f>
        <v>0.25</v>
      </c>
      <c r="J86" s="278">
        <f>'Monthly Data'!CB86</f>
        <v>0</v>
      </c>
      <c r="K86" s="278">
        <f>'Monthly Data'!AX86</f>
        <v>6821</v>
      </c>
      <c r="M86" s="18">
        <f>'Large Use Predicted Monthly'!$Z$10</f>
        <v>877619.90234118199</v>
      </c>
      <c r="N86" s="18">
        <f>E86*'Large Use Predicted Monthly'!$Z$11</f>
        <v>218304.8389656604</v>
      </c>
      <c r="O86" s="18">
        <f>F86*'Large Use Predicted Monthly'!$Z$12</f>
        <v>0</v>
      </c>
      <c r="P86" s="18">
        <f>G86*'Large Use Predicted Monthly'!$Z$13</f>
        <v>0</v>
      </c>
      <c r="Q86" s="18">
        <f>H86*'Large Use Predicted Monthly'!$Z$14</f>
        <v>2169588.3068179414</v>
      </c>
      <c r="R86" s="18">
        <f>I86*'Large Use Predicted Monthly'!$Z$15</f>
        <v>-172308.31385586626</v>
      </c>
      <c r="S86" s="18">
        <f>J86*'Large Use Predicted Monthly'!$Z$16</f>
        <v>0</v>
      </c>
      <c r="T86" s="18">
        <f>K86*'Large Use Predicted Monthly'!$Z$17</f>
        <v>14155.913115869413</v>
      </c>
      <c r="U86" s="18">
        <f t="shared" si="12"/>
        <v>3107360.6473847865</v>
      </c>
      <c r="V86" s="18">
        <f t="shared" si="10"/>
        <v>57922.643847315572</v>
      </c>
      <c r="W86" s="279">
        <f t="shared" si="11"/>
        <v>1.8994530723406403E-2</v>
      </c>
      <c r="Y86" s="18"/>
      <c r="AB86" s="18"/>
      <c r="AC86" s="18"/>
      <c r="AD86" s="240"/>
    </row>
    <row r="87" spans="1:30" x14ac:dyDescent="0.25">
      <c r="A87" s="3">
        <f>'Monthly Data'!A87</f>
        <v>44593</v>
      </c>
      <c r="B87" s="1">
        <f t="shared" si="8"/>
        <v>2022</v>
      </c>
      <c r="C87" s="1">
        <f t="shared" si="9"/>
        <v>2</v>
      </c>
      <c r="D87" s="24">
        <f>'Monthly Data'!X87</f>
        <v>2727477.014197256</v>
      </c>
      <c r="E87" s="278">
        <f>'Monthly Data'!BL87</f>
        <v>356.85</v>
      </c>
      <c r="F87" s="278">
        <f>'Monthly Data'!BG87</f>
        <v>0</v>
      </c>
      <c r="G87" s="278">
        <f>'Monthly Data'!CC87</f>
        <v>86</v>
      </c>
      <c r="H87" s="278">
        <f>'Monthly Data'!CD87</f>
        <v>28</v>
      </c>
      <c r="I87" s="278">
        <f>'Monthly Data'!CG87</f>
        <v>0.25</v>
      </c>
      <c r="J87" s="278">
        <f>'Monthly Data'!CB87</f>
        <v>0</v>
      </c>
      <c r="K87" s="278">
        <f>'Monthly Data'!AX87</f>
        <v>6821</v>
      </c>
      <c r="M87" s="18">
        <f>'Large Use Predicted Monthly'!$Z$10</f>
        <v>877619.90234118199</v>
      </c>
      <c r="N87" s="18">
        <f>E87*'Large Use Predicted Monthly'!$Z$11</f>
        <v>151121.90326690552</v>
      </c>
      <c r="O87" s="18">
        <f>F87*'Large Use Predicted Monthly'!$Z$12</f>
        <v>0</v>
      </c>
      <c r="P87" s="18">
        <f>G87*'Large Use Predicted Monthly'!$Z$13</f>
        <v>0</v>
      </c>
      <c r="Q87" s="18">
        <f>H87*'Large Use Predicted Monthly'!$Z$14</f>
        <v>1959628.1480936245</v>
      </c>
      <c r="R87" s="18">
        <f>I87*'Large Use Predicted Monthly'!$Z$15</f>
        <v>-172308.31385586626</v>
      </c>
      <c r="S87" s="18">
        <f>J87*'Large Use Predicted Monthly'!$Z$16</f>
        <v>0</v>
      </c>
      <c r="T87" s="18">
        <f>K87*'Large Use Predicted Monthly'!$Z$17</f>
        <v>14155.913115869413</v>
      </c>
      <c r="U87" s="18">
        <f t="shared" si="12"/>
        <v>2830217.552961715</v>
      </c>
      <c r="V87" s="18">
        <f t="shared" si="10"/>
        <v>102740.53876445908</v>
      </c>
      <c r="W87" s="279">
        <f t="shared" si="11"/>
        <v>3.7668709297884739E-2</v>
      </c>
      <c r="Y87" s="18"/>
      <c r="AB87" s="18"/>
      <c r="AC87" s="18"/>
      <c r="AD87" s="240"/>
    </row>
    <row r="88" spans="1:30" x14ac:dyDescent="0.25">
      <c r="A88" s="3">
        <f>'Monthly Data'!A88</f>
        <v>44621</v>
      </c>
      <c r="B88" s="1">
        <f t="shared" si="8"/>
        <v>2022</v>
      </c>
      <c r="C88" s="1">
        <f t="shared" si="9"/>
        <v>3</v>
      </c>
      <c r="D88" s="24">
        <f>'Monthly Data'!X88</f>
        <v>3178812.0248570414</v>
      </c>
      <c r="E88" s="278">
        <f>'Monthly Data'!BL88</f>
        <v>236.04166666666666</v>
      </c>
      <c r="F88" s="278">
        <f>'Monthly Data'!BG88</f>
        <v>0</v>
      </c>
      <c r="G88" s="278">
        <f>'Monthly Data'!CC88</f>
        <v>87</v>
      </c>
      <c r="H88" s="278">
        <f>'Monthly Data'!CD88</f>
        <v>31</v>
      </c>
      <c r="I88" s="278">
        <f>'Monthly Data'!CG88</f>
        <v>0.25</v>
      </c>
      <c r="J88" s="278">
        <f>'Monthly Data'!CB88</f>
        <v>1</v>
      </c>
      <c r="K88" s="278">
        <f>'Monthly Data'!AX88</f>
        <v>6821</v>
      </c>
      <c r="M88" s="18">
        <f>'Large Use Predicted Monthly'!$Z$10</f>
        <v>877619.90234118199</v>
      </c>
      <c r="N88" s="18">
        <f>E88*'Large Use Predicted Monthly'!$Z$11</f>
        <v>99960.952548575457</v>
      </c>
      <c r="O88" s="18">
        <f>F88*'Large Use Predicted Monthly'!$Z$12</f>
        <v>0</v>
      </c>
      <c r="P88" s="18">
        <f>G88*'Large Use Predicted Monthly'!$Z$13</f>
        <v>0</v>
      </c>
      <c r="Q88" s="18">
        <f>H88*'Large Use Predicted Monthly'!$Z$14</f>
        <v>2169588.3068179414</v>
      </c>
      <c r="R88" s="18">
        <f>I88*'Large Use Predicted Monthly'!$Z$15</f>
        <v>-172308.31385586626</v>
      </c>
      <c r="S88" s="18">
        <f>J88*'Large Use Predicted Monthly'!$Z$16</f>
        <v>177799.47475552099</v>
      </c>
      <c r="T88" s="18">
        <f>K88*'Large Use Predicted Monthly'!$Z$17</f>
        <v>14155.913115869413</v>
      </c>
      <c r="U88" s="18">
        <f t="shared" si="12"/>
        <v>3166816.2357232226</v>
      </c>
      <c r="V88" s="18">
        <f t="shared" si="10"/>
        <v>-11995.78913381882</v>
      </c>
      <c r="W88" s="279">
        <f t="shared" si="11"/>
        <v>3.7736704907419929E-3</v>
      </c>
      <c r="Y88" s="18"/>
    </row>
    <row r="89" spans="1:30" x14ac:dyDescent="0.25">
      <c r="A89" s="3">
        <f>'Monthly Data'!A89</f>
        <v>44652</v>
      </c>
      <c r="B89" s="1">
        <f t="shared" si="8"/>
        <v>2022</v>
      </c>
      <c r="C89" s="1">
        <f t="shared" si="9"/>
        <v>4</v>
      </c>
      <c r="D89" s="24">
        <f>'Monthly Data'!X89</f>
        <v>3002298.0355168269</v>
      </c>
      <c r="E89" s="278">
        <f>'Monthly Data'!BL89</f>
        <v>75.575000000000003</v>
      </c>
      <c r="F89" s="278">
        <f>'Monthly Data'!BG89</f>
        <v>0</v>
      </c>
      <c r="G89" s="278">
        <f>'Monthly Data'!CC89</f>
        <v>88</v>
      </c>
      <c r="H89" s="278">
        <f>'Monthly Data'!CD89</f>
        <v>30</v>
      </c>
      <c r="I89" s="278">
        <f>'Monthly Data'!CG89</f>
        <v>0.25</v>
      </c>
      <c r="J89" s="278">
        <f>'Monthly Data'!CB89</f>
        <v>1</v>
      </c>
      <c r="K89" s="278">
        <f>'Monthly Data'!AX89</f>
        <v>6403</v>
      </c>
      <c r="M89" s="18">
        <f>'Large Use Predicted Monthly'!$Z$10</f>
        <v>877619.90234118199</v>
      </c>
      <c r="N89" s="18">
        <f>E89*'Large Use Predicted Monthly'!$Z$11</f>
        <v>32005.150173452104</v>
      </c>
      <c r="O89" s="18">
        <f>F89*'Large Use Predicted Monthly'!$Z$12</f>
        <v>0</v>
      </c>
      <c r="P89" s="18">
        <f>G89*'Large Use Predicted Monthly'!$Z$13</f>
        <v>0</v>
      </c>
      <c r="Q89" s="18">
        <f>H89*'Large Use Predicted Monthly'!$Z$14</f>
        <v>2099601.5872431691</v>
      </c>
      <c r="R89" s="18">
        <f>I89*'Large Use Predicted Monthly'!$Z$15</f>
        <v>-172308.31385586626</v>
      </c>
      <c r="S89" s="18">
        <f>J89*'Large Use Predicted Monthly'!$Z$16</f>
        <v>177799.47475552099</v>
      </c>
      <c r="T89" s="18">
        <f>K89*'Large Use Predicted Monthly'!$Z$17</f>
        <v>13288.419833002763</v>
      </c>
      <c r="U89" s="18">
        <f t="shared" si="12"/>
        <v>3028006.2204904603</v>
      </c>
      <c r="V89" s="18">
        <f t="shared" si="10"/>
        <v>25708.184973633382</v>
      </c>
      <c r="W89" s="279">
        <f t="shared" si="11"/>
        <v>8.5628357576458519E-3</v>
      </c>
      <c r="AD89" s="286"/>
    </row>
    <row r="90" spans="1:30" x14ac:dyDescent="0.25">
      <c r="A90" s="3">
        <f>'Monthly Data'!A90</f>
        <v>44682</v>
      </c>
      <c r="B90" s="1">
        <f t="shared" si="8"/>
        <v>2022</v>
      </c>
      <c r="C90" s="1">
        <f t="shared" si="9"/>
        <v>5</v>
      </c>
      <c r="D90" s="24">
        <f>'Monthly Data'!X90</f>
        <v>3110762.0461766124</v>
      </c>
      <c r="E90" s="278">
        <f>'Monthly Data'!BL90</f>
        <v>0</v>
      </c>
      <c r="F90" s="278">
        <f>'Monthly Data'!BG90</f>
        <v>72.362499999999997</v>
      </c>
      <c r="G90" s="278">
        <f>'Monthly Data'!CC90</f>
        <v>89</v>
      </c>
      <c r="H90" s="278">
        <f>'Monthly Data'!CD90</f>
        <v>31</v>
      </c>
      <c r="I90" s="278">
        <f>'Monthly Data'!CG90</f>
        <v>0.25</v>
      </c>
      <c r="J90" s="278">
        <f>'Monthly Data'!CB90</f>
        <v>1</v>
      </c>
      <c r="K90" s="278">
        <f>'Monthly Data'!AX90</f>
        <v>6403</v>
      </c>
      <c r="M90" s="18">
        <f>'Large Use Predicted Monthly'!$Z$10</f>
        <v>877619.90234118199</v>
      </c>
      <c r="N90" s="18">
        <f>E90*'Large Use Predicted Monthly'!$Z$11</f>
        <v>0</v>
      </c>
      <c r="O90" s="18">
        <f>F90*'Large Use Predicted Monthly'!$Z$12</f>
        <v>130703.29081041599</v>
      </c>
      <c r="P90" s="18">
        <f>G90*'Large Use Predicted Monthly'!$Z$13</f>
        <v>0</v>
      </c>
      <c r="Q90" s="18">
        <f>H90*'Large Use Predicted Monthly'!$Z$14</f>
        <v>2169588.3068179414</v>
      </c>
      <c r="R90" s="18">
        <f>I90*'Large Use Predicted Monthly'!$Z$15</f>
        <v>-172308.31385586626</v>
      </c>
      <c r="S90" s="18">
        <f>J90*'Large Use Predicted Monthly'!$Z$16</f>
        <v>177799.47475552099</v>
      </c>
      <c r="T90" s="18">
        <f>K90*'Large Use Predicted Monthly'!$Z$17</f>
        <v>13288.419833002763</v>
      </c>
      <c r="U90" s="18">
        <f t="shared" si="12"/>
        <v>3196691.0807021963</v>
      </c>
      <c r="V90" s="18">
        <f t="shared" si="10"/>
        <v>85929.034525583964</v>
      </c>
      <c r="W90" s="279">
        <f t="shared" si="11"/>
        <v>2.7623146113409078E-2</v>
      </c>
    </row>
    <row r="91" spans="1:30" x14ac:dyDescent="0.25">
      <c r="A91" s="3">
        <f>'Monthly Data'!A91</f>
        <v>44713</v>
      </c>
      <c r="B91" s="1">
        <f t="shared" si="8"/>
        <v>2022</v>
      </c>
      <c r="C91" s="1">
        <f t="shared" si="9"/>
        <v>6</v>
      </c>
      <c r="D91" s="24">
        <f>'Monthly Data'!X91</f>
        <v>3099287.0568363979</v>
      </c>
      <c r="E91" s="278">
        <f>'Monthly Data'!BL91</f>
        <v>0</v>
      </c>
      <c r="F91" s="278">
        <f>'Monthly Data'!BG91</f>
        <v>120.92250416250417</v>
      </c>
      <c r="G91" s="278">
        <f>'Monthly Data'!CC91</f>
        <v>90</v>
      </c>
      <c r="H91" s="278">
        <f>'Monthly Data'!CD91</f>
        <v>30</v>
      </c>
      <c r="I91" s="278">
        <f>'Monthly Data'!CG91</f>
        <v>0.25</v>
      </c>
      <c r="J91" s="278">
        <f>'Monthly Data'!CB91</f>
        <v>0</v>
      </c>
      <c r="K91" s="278">
        <f>'Monthly Data'!AX91</f>
        <v>6403</v>
      </c>
      <c r="M91" s="18">
        <f>'Large Use Predicted Monthly'!$Z$10</f>
        <v>877619.90234118199</v>
      </c>
      <c r="N91" s="18">
        <f>E91*'Large Use Predicted Monthly'!$Z$11</f>
        <v>0</v>
      </c>
      <c r="O91" s="18">
        <f>F91*'Large Use Predicted Monthly'!$Z$12</f>
        <v>218413.8086312043</v>
      </c>
      <c r="P91" s="18">
        <f>G91*'Large Use Predicted Monthly'!$Z$13</f>
        <v>0</v>
      </c>
      <c r="Q91" s="18">
        <f>H91*'Large Use Predicted Monthly'!$Z$14</f>
        <v>2099601.5872431691</v>
      </c>
      <c r="R91" s="18">
        <f>I91*'Large Use Predicted Monthly'!$Z$15</f>
        <v>-172308.31385586626</v>
      </c>
      <c r="S91" s="18">
        <f>J91*'Large Use Predicted Monthly'!$Z$16</f>
        <v>0</v>
      </c>
      <c r="T91" s="18">
        <f>K91*'Large Use Predicted Monthly'!$Z$17</f>
        <v>13288.419833002763</v>
      </c>
      <c r="U91" s="18">
        <f t="shared" si="12"/>
        <v>3036615.4041926917</v>
      </c>
      <c r="V91" s="18">
        <f t="shared" si="10"/>
        <v>-62671.652643706184</v>
      </c>
      <c r="W91" s="279">
        <f t="shared" si="11"/>
        <v>2.022131267430206E-2</v>
      </c>
    </row>
    <row r="92" spans="1:30" x14ac:dyDescent="0.25">
      <c r="A92" s="3">
        <f>'Monthly Data'!A92</f>
        <v>44743</v>
      </c>
      <c r="B92" s="1">
        <f t="shared" si="8"/>
        <v>2022</v>
      </c>
      <c r="C92" s="1">
        <f t="shared" si="9"/>
        <v>7</v>
      </c>
      <c r="D92" s="24">
        <f>'Monthly Data'!X92</f>
        <v>2815983.0674961833</v>
      </c>
      <c r="E92" s="278">
        <f>'Monthly Data'!BL92</f>
        <v>0</v>
      </c>
      <c r="F92" s="278">
        <f>'Monthly Data'!BG92</f>
        <v>221.8543382913806</v>
      </c>
      <c r="G92" s="278">
        <f>'Monthly Data'!CC92</f>
        <v>91</v>
      </c>
      <c r="H92" s="278">
        <f>'Monthly Data'!CD92</f>
        <v>31</v>
      </c>
      <c r="I92" s="278">
        <f>'Monthly Data'!CG92</f>
        <v>0.25</v>
      </c>
      <c r="J92" s="278">
        <f>'Monthly Data'!CB92</f>
        <v>0</v>
      </c>
      <c r="K92" s="278">
        <f>'Monthly Data'!AX92</f>
        <v>1358</v>
      </c>
      <c r="M92" s="18">
        <f>'Large Use Predicted Monthly'!$Z$10</f>
        <v>877619.90234118199</v>
      </c>
      <c r="N92" s="18">
        <f>E92*'Large Use Predicted Monthly'!$Z$11</f>
        <v>0</v>
      </c>
      <c r="O92" s="18">
        <f>F92*'Large Use Predicted Monthly'!$Z$12</f>
        <v>400719.87694248714</v>
      </c>
      <c r="P92" s="18">
        <f>G92*'Large Use Predicted Monthly'!$Z$13</f>
        <v>0</v>
      </c>
      <c r="Q92" s="18">
        <f>H92*'Large Use Predicted Monthly'!$Z$14</f>
        <v>2169588.3068179414</v>
      </c>
      <c r="R92" s="18">
        <f>I92*'Large Use Predicted Monthly'!$Z$15</f>
        <v>-172308.31385586626</v>
      </c>
      <c r="S92" s="18">
        <f>J92*'Large Use Predicted Monthly'!$Z$16</f>
        <v>0</v>
      </c>
      <c r="T92" s="18">
        <f>K92*'Large Use Predicted Monthly'!$Z$17</f>
        <v>2818.3154979256215</v>
      </c>
      <c r="U92" s="18">
        <f t="shared" si="12"/>
        <v>3278438.0877436693</v>
      </c>
      <c r="V92" s="18">
        <f t="shared" si="10"/>
        <v>462455.02024748595</v>
      </c>
      <c r="W92" s="279">
        <f t="shared" si="11"/>
        <v>0.16422507137398218</v>
      </c>
    </row>
    <row r="93" spans="1:30" x14ac:dyDescent="0.25">
      <c r="A93" s="3">
        <f>'Monthly Data'!A93</f>
        <v>44774</v>
      </c>
      <c r="B93" s="1">
        <f t="shared" si="8"/>
        <v>2022</v>
      </c>
      <c r="C93" s="1">
        <f t="shared" si="9"/>
        <v>8</v>
      </c>
      <c r="D93" s="24">
        <f>'Monthly Data'!X93</f>
        <v>2754259.0781559683</v>
      </c>
      <c r="E93" s="278">
        <f>'Monthly Data'!BL93</f>
        <v>0</v>
      </c>
      <c r="F93" s="278">
        <f>'Monthly Data'!BG93</f>
        <v>228.28333333333333</v>
      </c>
      <c r="G93" s="278">
        <f>'Monthly Data'!CC93</f>
        <v>92</v>
      </c>
      <c r="H93" s="278">
        <f>'Monthly Data'!CD93</f>
        <v>31</v>
      </c>
      <c r="I93" s="278">
        <f>'Monthly Data'!CG93</f>
        <v>0.25</v>
      </c>
      <c r="J93" s="278">
        <f>'Monthly Data'!CB93</f>
        <v>0</v>
      </c>
      <c r="K93" s="278">
        <f>'Monthly Data'!AX93</f>
        <v>1358</v>
      </c>
      <c r="M93" s="18">
        <f>'Large Use Predicted Monthly'!$Z$10</f>
        <v>877619.90234118199</v>
      </c>
      <c r="N93" s="18">
        <f>E93*'Large Use Predicted Monthly'!$Z$11</f>
        <v>0</v>
      </c>
      <c r="O93" s="18">
        <f>F93*'Large Use Predicted Monthly'!$Z$12</f>
        <v>412332.11820815754</v>
      </c>
      <c r="P93" s="18">
        <f>G93*'Large Use Predicted Monthly'!$Z$13</f>
        <v>0</v>
      </c>
      <c r="Q93" s="18">
        <f>H93*'Large Use Predicted Monthly'!$Z$14</f>
        <v>2169588.3068179414</v>
      </c>
      <c r="R93" s="18">
        <f>I93*'Large Use Predicted Monthly'!$Z$15</f>
        <v>-172308.31385586626</v>
      </c>
      <c r="S93" s="18">
        <f>J93*'Large Use Predicted Monthly'!$Z$16</f>
        <v>0</v>
      </c>
      <c r="T93" s="18">
        <f>K93*'Large Use Predicted Monthly'!$Z$17</f>
        <v>2818.3154979256215</v>
      </c>
      <c r="U93" s="18">
        <f t="shared" si="12"/>
        <v>3290050.3290093397</v>
      </c>
      <c r="V93" s="18">
        <f t="shared" si="10"/>
        <v>535791.25085337134</v>
      </c>
      <c r="W93" s="279">
        <f t="shared" si="11"/>
        <v>0.19453189974128879</v>
      </c>
    </row>
    <row r="94" spans="1:30" x14ac:dyDescent="0.25">
      <c r="A94" s="3">
        <f>'Monthly Data'!A94</f>
        <v>44805</v>
      </c>
      <c r="B94" s="1">
        <f t="shared" si="8"/>
        <v>2022</v>
      </c>
      <c r="C94" s="1">
        <f t="shared" si="9"/>
        <v>9</v>
      </c>
      <c r="D94" s="24">
        <f>'Monthly Data'!X94</f>
        <v>2773577.0888157538</v>
      </c>
      <c r="E94" s="278">
        <f>'Monthly Data'!BL94</f>
        <v>0</v>
      </c>
      <c r="F94" s="278">
        <f>'Monthly Data'!BG94</f>
        <v>94.054166666666674</v>
      </c>
      <c r="G94" s="278">
        <f>'Monthly Data'!CC94</f>
        <v>93</v>
      </c>
      <c r="H94" s="278">
        <f>'Monthly Data'!CD94</f>
        <v>30</v>
      </c>
      <c r="I94" s="278">
        <f>'Monthly Data'!CG94</f>
        <v>0.25</v>
      </c>
      <c r="J94" s="278">
        <f>'Monthly Data'!CB94</f>
        <v>1</v>
      </c>
      <c r="K94" s="278">
        <f>'Monthly Data'!AX94</f>
        <v>1358</v>
      </c>
      <c r="M94" s="18">
        <f>'Large Use Predicted Monthly'!$Z$10</f>
        <v>877619.90234118199</v>
      </c>
      <c r="N94" s="18">
        <f>E94*'Large Use Predicted Monthly'!$Z$11</f>
        <v>0</v>
      </c>
      <c r="O94" s="18">
        <f>F94*'Large Use Predicted Monthly'!$Z$12</f>
        <v>169883.42163088158</v>
      </c>
      <c r="P94" s="18">
        <f>G94*'Large Use Predicted Monthly'!$Z$13</f>
        <v>0</v>
      </c>
      <c r="Q94" s="18">
        <f>H94*'Large Use Predicted Monthly'!$Z$14</f>
        <v>2099601.5872431691</v>
      </c>
      <c r="R94" s="18">
        <f>I94*'Large Use Predicted Monthly'!$Z$15</f>
        <v>-172308.31385586626</v>
      </c>
      <c r="S94" s="18">
        <f>J94*'Large Use Predicted Monthly'!$Z$16</f>
        <v>177799.47475552099</v>
      </c>
      <c r="T94" s="18">
        <f>K94*'Large Use Predicted Monthly'!$Z$17</f>
        <v>2818.3154979256215</v>
      </c>
      <c r="U94" s="18">
        <f t="shared" si="12"/>
        <v>3155414.3876128127</v>
      </c>
      <c r="V94" s="18">
        <f t="shared" si="10"/>
        <v>381837.29879705887</v>
      </c>
      <c r="W94" s="279">
        <f t="shared" si="11"/>
        <v>0.13766961817531223</v>
      </c>
    </row>
    <row r="95" spans="1:30" x14ac:dyDescent="0.25">
      <c r="A95" s="3">
        <f>'Monthly Data'!A95</f>
        <v>44835</v>
      </c>
      <c r="B95" s="1">
        <f t="shared" si="8"/>
        <v>2022</v>
      </c>
      <c r="C95" s="1">
        <f t="shared" si="9"/>
        <v>10</v>
      </c>
      <c r="D95" s="24">
        <f>'Monthly Data'!X95</f>
        <v>2676345.0994755393</v>
      </c>
      <c r="E95" s="278">
        <f>'Monthly Data'!BL95</f>
        <v>23.659782608695654</v>
      </c>
      <c r="F95" s="278">
        <f>'Monthly Data'!BG95</f>
        <v>2.4208333333333307</v>
      </c>
      <c r="G95" s="278">
        <f>'Monthly Data'!CC95</f>
        <v>94</v>
      </c>
      <c r="H95" s="278">
        <f>'Monthly Data'!CD95</f>
        <v>31</v>
      </c>
      <c r="I95" s="278">
        <f>'Monthly Data'!CG95</f>
        <v>0.25</v>
      </c>
      <c r="J95" s="278">
        <f>'Monthly Data'!CB95</f>
        <v>1</v>
      </c>
      <c r="K95" s="278">
        <f>'Monthly Data'!AX95</f>
        <v>-950</v>
      </c>
      <c r="M95" s="18">
        <f>'Large Use Predicted Monthly'!$Z$10</f>
        <v>877619.90234118199</v>
      </c>
      <c r="N95" s="18">
        <f>E95*'Large Use Predicted Monthly'!$Z$11</f>
        <v>10019.647971717297</v>
      </c>
      <c r="O95" s="18">
        <f>F95*'Large Use Predicted Monthly'!$Z$12</f>
        <v>4372.5808695141141</v>
      </c>
      <c r="P95" s="18">
        <f>G95*'Large Use Predicted Monthly'!$Z$13</f>
        <v>0</v>
      </c>
      <c r="Q95" s="18">
        <f>H95*'Large Use Predicted Monthly'!$Z$14</f>
        <v>2169588.3068179414</v>
      </c>
      <c r="R95" s="18">
        <f>I95*'Large Use Predicted Monthly'!$Z$15</f>
        <v>-172308.31385586626</v>
      </c>
      <c r="S95" s="18">
        <f>J95*'Large Use Predicted Monthly'!$Z$16</f>
        <v>177799.47475552099</v>
      </c>
      <c r="T95" s="18">
        <f>K95*'Large Use Predicted Monthly'!$Z$17</f>
        <v>-1971.5756428787483</v>
      </c>
      <c r="U95" s="18">
        <f t="shared" si="12"/>
        <v>3065120.0232571308</v>
      </c>
      <c r="V95" s="18">
        <f t="shared" si="10"/>
        <v>388774.92378159147</v>
      </c>
      <c r="W95" s="279">
        <f t="shared" si="11"/>
        <v>0.14526337573498141</v>
      </c>
    </row>
    <row r="96" spans="1:30" x14ac:dyDescent="0.25">
      <c r="A96" s="3">
        <f>'Monthly Data'!A96</f>
        <v>44866</v>
      </c>
      <c r="B96" s="1">
        <f t="shared" si="8"/>
        <v>2022</v>
      </c>
      <c r="C96" s="1">
        <f t="shared" si="9"/>
        <v>11</v>
      </c>
      <c r="D96" s="24">
        <f>'Monthly Data'!X96</f>
        <v>2618900.1101353248</v>
      </c>
      <c r="E96" s="278">
        <f>'Monthly Data'!BL96</f>
        <v>138.80000000000001</v>
      </c>
      <c r="F96" s="278">
        <f>'Monthly Data'!BG96</f>
        <v>2.3083333333333318</v>
      </c>
      <c r="G96" s="278">
        <f>'Monthly Data'!CC96</f>
        <v>95</v>
      </c>
      <c r="H96" s="278">
        <f>'Monthly Data'!CD96</f>
        <v>30</v>
      </c>
      <c r="I96" s="278">
        <f>'Monthly Data'!CG96</f>
        <v>0.25</v>
      </c>
      <c r="J96" s="278">
        <f>'Monthly Data'!CB96</f>
        <v>1</v>
      </c>
      <c r="K96" s="278">
        <f>'Monthly Data'!AX96</f>
        <v>-950</v>
      </c>
      <c r="M96" s="18">
        <f>'Large Use Predicted Monthly'!$Z$10</f>
        <v>877619.90234118199</v>
      </c>
      <c r="N96" s="18">
        <f>E96*'Large Use Predicted Monthly'!$Z$11</f>
        <v>58780.216262985807</v>
      </c>
      <c r="O96" s="18">
        <f>F96*'Large Use Predicted Monthly'!$Z$12</f>
        <v>4169.3800373680206</v>
      </c>
      <c r="P96" s="18">
        <f>G96*'Large Use Predicted Monthly'!$Z$13</f>
        <v>0</v>
      </c>
      <c r="Q96" s="18">
        <f>H96*'Large Use Predicted Monthly'!$Z$14</f>
        <v>2099601.5872431691</v>
      </c>
      <c r="R96" s="18">
        <f>I96*'Large Use Predicted Monthly'!$Z$15</f>
        <v>-172308.31385586626</v>
      </c>
      <c r="S96" s="18">
        <f>J96*'Large Use Predicted Monthly'!$Z$16</f>
        <v>177799.47475552099</v>
      </c>
      <c r="T96" s="18">
        <f>K96*'Large Use Predicted Monthly'!$Z$17</f>
        <v>-1971.5756428787483</v>
      </c>
      <c r="U96" s="18">
        <f t="shared" si="12"/>
        <v>3043690.671141481</v>
      </c>
      <c r="V96" s="18">
        <f t="shared" si="10"/>
        <v>424790.56100615626</v>
      </c>
      <c r="W96" s="279">
        <f t="shared" si="11"/>
        <v>0.16220189512466984</v>
      </c>
    </row>
    <row r="97" spans="1:23" x14ac:dyDescent="0.25">
      <c r="A97" s="3">
        <f>'Monthly Data'!A97</f>
        <v>44896</v>
      </c>
      <c r="B97" s="1">
        <f t="shared" si="8"/>
        <v>2022</v>
      </c>
      <c r="C97" s="1">
        <f t="shared" si="9"/>
        <v>12</v>
      </c>
      <c r="D97" s="24">
        <f>'Monthly Data'!X97</f>
        <v>2433934.1207951102</v>
      </c>
      <c r="E97" s="278">
        <f>'Monthly Data'!BL97</f>
        <v>275.12083333333322</v>
      </c>
      <c r="F97" s="278">
        <f>'Monthly Data'!BG97</f>
        <v>0</v>
      </c>
      <c r="G97" s="278">
        <f>'Monthly Data'!CC97</f>
        <v>96</v>
      </c>
      <c r="H97" s="278">
        <f>'Monthly Data'!CD97</f>
        <v>31</v>
      </c>
      <c r="I97" s="278">
        <f>'Monthly Data'!CG97</f>
        <v>0.25</v>
      </c>
      <c r="J97" s="278">
        <f>'Monthly Data'!CB97</f>
        <v>0</v>
      </c>
      <c r="K97" s="278">
        <f>'Monthly Data'!AX97</f>
        <v>-950</v>
      </c>
      <c r="M97" s="18">
        <f>'Large Use Predicted Monthly'!$Z$10</f>
        <v>877619.90234118199</v>
      </c>
      <c r="N97" s="18">
        <f>E97*'Large Use Predicted Monthly'!$Z$11</f>
        <v>116510.53373044812</v>
      </c>
      <c r="O97" s="18">
        <f>F97*'Large Use Predicted Monthly'!$Z$12</f>
        <v>0</v>
      </c>
      <c r="P97" s="18">
        <f>G97*'Large Use Predicted Monthly'!$Z$13</f>
        <v>0</v>
      </c>
      <c r="Q97" s="18">
        <f>H97*'Large Use Predicted Monthly'!$Z$14</f>
        <v>2169588.3068179414</v>
      </c>
      <c r="R97" s="18">
        <f>I97*'Large Use Predicted Monthly'!$Z$15</f>
        <v>-172308.31385586626</v>
      </c>
      <c r="S97" s="18">
        <f>J97*'Large Use Predicted Monthly'!$Z$16</f>
        <v>0</v>
      </c>
      <c r="T97" s="18">
        <f>K97*'Large Use Predicted Monthly'!$Z$17</f>
        <v>-1971.5756428787483</v>
      </c>
      <c r="U97" s="18">
        <f t="shared" si="12"/>
        <v>2989438.8533908264</v>
      </c>
      <c r="V97" s="18">
        <f t="shared" si="10"/>
        <v>555504.73259571614</v>
      </c>
      <c r="W97" s="279">
        <f t="shared" si="11"/>
        <v>0.22823326558002546</v>
      </c>
    </row>
    <row r="98" spans="1:23" x14ac:dyDescent="0.25">
      <c r="A98" s="3">
        <f>'Monthly Data'!A98</f>
        <v>44927</v>
      </c>
      <c r="B98" s="1">
        <f t="shared" si="8"/>
        <v>2023</v>
      </c>
      <c r="C98" s="1">
        <f t="shared" si="9"/>
        <v>1</v>
      </c>
      <c r="D98" s="24">
        <f>'Monthly Data'!X98</f>
        <v>2758482.2645629239</v>
      </c>
      <c r="E98" s="278">
        <f>'Monthly Data'!BL98</f>
        <v>294.07083333333327</v>
      </c>
      <c r="F98" s="278">
        <f>'Monthly Data'!BG98</f>
        <v>0</v>
      </c>
      <c r="G98" s="278">
        <f>'Monthly Data'!CC98</f>
        <v>97</v>
      </c>
      <c r="H98" s="278">
        <f>'Monthly Data'!CD98</f>
        <v>31</v>
      </c>
      <c r="I98" s="278">
        <f>'Monthly Data'!CG98</f>
        <v>0</v>
      </c>
      <c r="J98" s="278">
        <f>'Monthly Data'!CB98</f>
        <v>0</v>
      </c>
      <c r="K98" s="278">
        <f>'Monthly Data'!AX98</f>
        <v>8629</v>
      </c>
      <c r="M98" s="18">
        <f>'Large Use Predicted Monthly'!$Z$10</f>
        <v>877619.90234118199</v>
      </c>
      <c r="N98" s="18">
        <f>E98*'Large Use Predicted Monthly'!$Z$11</f>
        <v>124535.64250698691</v>
      </c>
      <c r="O98" s="18">
        <f>F98*'Large Use Predicted Monthly'!$Z$12</f>
        <v>0</v>
      </c>
      <c r="P98" s="18">
        <f>G98*'Large Use Predicted Monthly'!$Z$13</f>
        <v>0</v>
      </c>
      <c r="Q98" s="18">
        <f>H98*'Large Use Predicted Monthly'!$Z$14</f>
        <v>2169588.3068179414</v>
      </c>
      <c r="R98" s="18">
        <f>I98*'Large Use Predicted Monthly'!$Z$15</f>
        <v>0</v>
      </c>
      <c r="S98" s="18">
        <f>J98*'Large Use Predicted Monthly'!$Z$16</f>
        <v>0</v>
      </c>
      <c r="T98" s="18">
        <f>K98*'Large Use Predicted Monthly'!$Z$17</f>
        <v>17908.132865684969</v>
      </c>
      <c r="U98" s="18">
        <f t="shared" si="12"/>
        <v>3189651.9845317956</v>
      </c>
      <c r="V98" s="18">
        <f t="shared" ref="V98:V121" si="13">U98-D98</f>
        <v>431169.71996887168</v>
      </c>
      <c r="W98" s="279">
        <f t="shared" ref="W98:W121" si="14">ABS(V98/D98)</f>
        <v>0.15630686682598255</v>
      </c>
    </row>
    <row r="99" spans="1:23" x14ac:dyDescent="0.25">
      <c r="A99" s="3">
        <f>'Monthly Data'!A99</f>
        <v>44958</v>
      </c>
      <c r="B99" s="1">
        <f t="shared" si="8"/>
        <v>2023</v>
      </c>
      <c r="C99" s="1">
        <f t="shared" si="9"/>
        <v>2</v>
      </c>
      <c r="D99" s="24">
        <f>'Monthly Data'!X99</f>
        <v>2616521.0488678562</v>
      </c>
      <c r="E99" s="278">
        <f>'Monthly Data'!BL99</f>
        <v>293.51666666666665</v>
      </c>
      <c r="F99" s="278">
        <f>'Monthly Data'!BG99</f>
        <v>0</v>
      </c>
      <c r="G99" s="278">
        <f>'Monthly Data'!CC99</f>
        <v>98</v>
      </c>
      <c r="H99" s="278">
        <f>'Monthly Data'!CD99</f>
        <v>28</v>
      </c>
      <c r="I99" s="278">
        <f>'Monthly Data'!CG99</f>
        <v>0</v>
      </c>
      <c r="J99" s="278">
        <f>'Monthly Data'!CB99</f>
        <v>0</v>
      </c>
      <c r="K99" s="278">
        <f>'Monthly Data'!AX99</f>
        <v>8629</v>
      </c>
      <c r="M99" s="18">
        <f>'Large Use Predicted Monthly'!$Z$10</f>
        <v>877619.90234118199</v>
      </c>
      <c r="N99" s="18">
        <f>E99*'Large Use Predicted Monthly'!$Z$11</f>
        <v>124300.95924681111</v>
      </c>
      <c r="O99" s="18">
        <f>F99*'Large Use Predicted Monthly'!$Z$12</f>
        <v>0</v>
      </c>
      <c r="P99" s="18">
        <f>G99*'Large Use Predicted Monthly'!$Z$13</f>
        <v>0</v>
      </c>
      <c r="Q99" s="18">
        <f>H99*'Large Use Predicted Monthly'!$Z$14</f>
        <v>1959628.1480936245</v>
      </c>
      <c r="R99" s="18">
        <f>I99*'Large Use Predicted Monthly'!$Z$15</f>
        <v>0</v>
      </c>
      <c r="S99" s="18">
        <f>J99*'Large Use Predicted Monthly'!$Z$16</f>
        <v>0</v>
      </c>
      <c r="T99" s="18">
        <f>K99*'Large Use Predicted Monthly'!$Z$17</f>
        <v>17908.132865684969</v>
      </c>
      <c r="U99" s="18">
        <f t="shared" si="12"/>
        <v>2979457.1425473029</v>
      </c>
      <c r="V99" s="18">
        <f t="shared" si="13"/>
        <v>362936.09367944673</v>
      </c>
      <c r="W99" s="279">
        <f t="shared" si="14"/>
        <v>0.13870941104658255</v>
      </c>
    </row>
    <row r="100" spans="1:23" x14ac:dyDescent="0.25">
      <c r="A100" s="3">
        <f>'Monthly Data'!A100</f>
        <v>44986</v>
      </c>
      <c r="B100" s="1">
        <f t="shared" si="8"/>
        <v>2023</v>
      </c>
      <c r="C100" s="1">
        <f t="shared" si="9"/>
        <v>3</v>
      </c>
      <c r="D100" s="24">
        <f>'Monthly Data'!X100</f>
        <v>2781148.9606493996</v>
      </c>
      <c r="E100" s="278">
        <f>'Monthly Data'!BL100</f>
        <v>241.03333333333333</v>
      </c>
      <c r="F100" s="278">
        <f>'Monthly Data'!BG100</f>
        <v>0</v>
      </c>
      <c r="G100" s="278">
        <f>'Monthly Data'!CC100</f>
        <v>99</v>
      </c>
      <c r="H100" s="278">
        <f>'Monthly Data'!CD100</f>
        <v>31</v>
      </c>
      <c r="I100" s="278">
        <f>'Monthly Data'!CG100</f>
        <v>0</v>
      </c>
      <c r="J100" s="278">
        <f>'Monthly Data'!CB100</f>
        <v>1</v>
      </c>
      <c r="K100" s="278">
        <f>'Monthly Data'!AX100</f>
        <v>8629</v>
      </c>
      <c r="M100" s="18">
        <f>'Large Use Predicted Monthly'!$Z$10</f>
        <v>877619.90234118199</v>
      </c>
      <c r="N100" s="18">
        <f>E100*'Large Use Predicted Monthly'!$Z$11</f>
        <v>102074.86642594868</v>
      </c>
      <c r="O100" s="18">
        <f>F100*'Large Use Predicted Monthly'!$Z$12</f>
        <v>0</v>
      </c>
      <c r="P100" s="18">
        <f>G100*'Large Use Predicted Monthly'!$Z$13</f>
        <v>0</v>
      </c>
      <c r="Q100" s="18">
        <f>H100*'Large Use Predicted Monthly'!$Z$14</f>
        <v>2169588.3068179414</v>
      </c>
      <c r="R100" s="18">
        <f>I100*'Large Use Predicted Monthly'!$Z$15</f>
        <v>0</v>
      </c>
      <c r="S100" s="18">
        <f>J100*'Large Use Predicted Monthly'!$Z$16</f>
        <v>177799.47475552099</v>
      </c>
      <c r="T100" s="18">
        <f>K100*'Large Use Predicted Monthly'!$Z$17</f>
        <v>17908.132865684969</v>
      </c>
      <c r="U100" s="18">
        <f t="shared" si="12"/>
        <v>3344990.6832062779</v>
      </c>
      <c r="V100" s="18">
        <f t="shared" si="13"/>
        <v>563841.72255687835</v>
      </c>
      <c r="W100" s="279">
        <f t="shared" si="14"/>
        <v>0.20273697329222562</v>
      </c>
    </row>
    <row r="101" spans="1:23" x14ac:dyDescent="0.25">
      <c r="A101" s="3">
        <f>'Monthly Data'!A101</f>
        <v>45017</v>
      </c>
      <c r="B101" s="1">
        <f t="shared" si="8"/>
        <v>2023</v>
      </c>
      <c r="C101" s="1">
        <f t="shared" si="9"/>
        <v>4</v>
      </c>
      <c r="D101" s="24">
        <f>'Monthly Data'!X101</f>
        <v>2559753.6758419713</v>
      </c>
      <c r="E101" s="278">
        <f>'Monthly Data'!BL101</f>
        <v>58.116666666666674</v>
      </c>
      <c r="F101" s="278">
        <f>'Monthly Data'!BG101</f>
        <v>11.71666666666667</v>
      </c>
      <c r="G101" s="278">
        <f>'Monthly Data'!CC101</f>
        <v>100</v>
      </c>
      <c r="H101" s="278">
        <f>'Monthly Data'!CD101</f>
        <v>30</v>
      </c>
      <c r="I101" s="278">
        <f>'Monthly Data'!CG101</f>
        <v>0</v>
      </c>
      <c r="J101" s="278">
        <f>'Monthly Data'!CB101</f>
        <v>1</v>
      </c>
      <c r="K101" s="278">
        <f>'Monthly Data'!AX101</f>
        <v>4845</v>
      </c>
      <c r="M101" s="18">
        <f>'Large Use Predicted Monthly'!$Z$10</f>
        <v>877619.90234118199</v>
      </c>
      <c r="N101" s="18">
        <f>E101*'Large Use Predicted Monthly'!$Z$11</f>
        <v>24611.745210018194</v>
      </c>
      <c r="O101" s="18">
        <f>F101*'Large Use Predicted Monthly'!$Z$12</f>
        <v>21162.990370178493</v>
      </c>
      <c r="P101" s="18">
        <f>G101*'Large Use Predicted Monthly'!$Z$13</f>
        <v>0</v>
      </c>
      <c r="Q101" s="18">
        <f>H101*'Large Use Predicted Monthly'!$Z$14</f>
        <v>2099601.5872431691</v>
      </c>
      <c r="R101" s="18">
        <f>I101*'Large Use Predicted Monthly'!$Z$15</f>
        <v>0</v>
      </c>
      <c r="S101" s="18">
        <f>J101*'Large Use Predicted Monthly'!$Z$16</f>
        <v>177799.47475552099</v>
      </c>
      <c r="T101" s="18">
        <f>K101*'Large Use Predicted Monthly'!$Z$17</f>
        <v>10055.035778681617</v>
      </c>
      <c r="U101" s="18">
        <f t="shared" si="12"/>
        <v>3210850.7356987502</v>
      </c>
      <c r="V101" s="18">
        <f t="shared" si="13"/>
        <v>651097.05985677894</v>
      </c>
      <c r="W101" s="279">
        <f t="shared" si="14"/>
        <v>0.25435926355008193</v>
      </c>
    </row>
    <row r="102" spans="1:23" x14ac:dyDescent="0.25">
      <c r="A102" s="3">
        <f>'Monthly Data'!A102</f>
        <v>45047</v>
      </c>
      <c r="B102" s="1">
        <f t="shared" si="8"/>
        <v>2023</v>
      </c>
      <c r="C102" s="1">
        <f t="shared" si="9"/>
        <v>5</v>
      </c>
      <c r="D102" s="24">
        <f>'Monthly Data'!X102</f>
        <v>2656087.4936269652</v>
      </c>
      <c r="E102" s="278">
        <f>'Monthly Data'!BL102</f>
        <v>7.2058333333333309</v>
      </c>
      <c r="F102" s="278">
        <f>'Monthly Data'!BG102</f>
        <v>37.345833333333331</v>
      </c>
      <c r="G102" s="278">
        <f>'Monthly Data'!CC102</f>
        <v>101</v>
      </c>
      <c r="H102" s="278">
        <f>'Monthly Data'!CD102</f>
        <v>31</v>
      </c>
      <c r="I102" s="278">
        <f>'Monthly Data'!CG102</f>
        <v>0</v>
      </c>
      <c r="J102" s="278">
        <f>'Monthly Data'!CB102</f>
        <v>1</v>
      </c>
      <c r="K102" s="278">
        <f>'Monthly Data'!AX102</f>
        <v>4845</v>
      </c>
      <c r="M102" s="18">
        <f>'Large Use Predicted Monthly'!$Z$10</f>
        <v>877619.90234118199</v>
      </c>
      <c r="N102" s="18">
        <f>E102*'Large Use Predicted Monthly'!$Z$11</f>
        <v>3051.5881966020538</v>
      </c>
      <c r="O102" s="18">
        <f>F102*'Large Use Predicted Monthly'!$Z$12</f>
        <v>67455.15031575739</v>
      </c>
      <c r="P102" s="18">
        <f>G102*'Large Use Predicted Monthly'!$Z$13</f>
        <v>0</v>
      </c>
      <c r="Q102" s="18">
        <f>H102*'Large Use Predicted Monthly'!$Z$14</f>
        <v>2169588.3068179414</v>
      </c>
      <c r="R102" s="18">
        <f>I102*'Large Use Predicted Monthly'!$Z$15</f>
        <v>0</v>
      </c>
      <c r="S102" s="18">
        <f>J102*'Large Use Predicted Monthly'!$Z$16</f>
        <v>177799.47475552099</v>
      </c>
      <c r="T102" s="18">
        <f>K102*'Large Use Predicted Monthly'!$Z$17</f>
        <v>10055.035778681617</v>
      </c>
      <c r="U102" s="18">
        <f t="shared" si="12"/>
        <v>3305569.4582056855</v>
      </c>
      <c r="V102" s="18">
        <f t="shared" si="13"/>
        <v>649481.96457872028</v>
      </c>
      <c r="W102" s="279">
        <f t="shared" si="14"/>
        <v>0.24452581706630216</v>
      </c>
    </row>
    <row r="103" spans="1:23" x14ac:dyDescent="0.25">
      <c r="A103" s="3">
        <f>'Monthly Data'!A103</f>
        <v>45078</v>
      </c>
      <c r="B103" s="1">
        <f t="shared" si="8"/>
        <v>2023</v>
      </c>
      <c r="C103" s="1">
        <f t="shared" si="9"/>
        <v>6</v>
      </c>
      <c r="D103" s="24">
        <f>'Monthly Data'!X103</f>
        <v>2596571.3173193499</v>
      </c>
      <c r="E103" s="278">
        <f>'Monthly Data'!BL103</f>
        <v>0</v>
      </c>
      <c r="F103" s="278">
        <f>'Monthly Data'!BG103</f>
        <v>145.54166666666666</v>
      </c>
      <c r="G103" s="278">
        <f>'Monthly Data'!CC103</f>
        <v>102</v>
      </c>
      <c r="H103" s="278">
        <f>'Monthly Data'!CD103</f>
        <v>30</v>
      </c>
      <c r="I103" s="278">
        <f>'Monthly Data'!CG103</f>
        <v>0</v>
      </c>
      <c r="J103" s="278">
        <f>'Monthly Data'!CB103</f>
        <v>0</v>
      </c>
      <c r="K103" s="278">
        <f>'Monthly Data'!AX103</f>
        <v>4845</v>
      </c>
      <c r="M103" s="18">
        <f>'Large Use Predicted Monthly'!$Z$10</f>
        <v>877619.90234118199</v>
      </c>
      <c r="N103" s="18">
        <f>E103*'Large Use Predicted Monthly'!$Z$11</f>
        <v>0</v>
      </c>
      <c r="O103" s="18">
        <f>F103*'Large Use Predicted Monthly'!$Z$12</f>
        <v>262881.66914307768</v>
      </c>
      <c r="P103" s="18">
        <f>G103*'Large Use Predicted Monthly'!$Z$13</f>
        <v>0</v>
      </c>
      <c r="Q103" s="18">
        <f>H103*'Large Use Predicted Monthly'!$Z$14</f>
        <v>2099601.5872431691</v>
      </c>
      <c r="R103" s="18">
        <f>I103*'Large Use Predicted Monthly'!$Z$15</f>
        <v>0</v>
      </c>
      <c r="S103" s="18">
        <f>J103*'Large Use Predicted Monthly'!$Z$16</f>
        <v>0</v>
      </c>
      <c r="T103" s="18">
        <f>K103*'Large Use Predicted Monthly'!$Z$17</f>
        <v>10055.035778681617</v>
      </c>
      <c r="U103" s="18">
        <f t="shared" si="12"/>
        <v>3250158.1945061106</v>
      </c>
      <c r="V103" s="18">
        <f t="shared" si="13"/>
        <v>653586.87718676077</v>
      </c>
      <c r="W103" s="279">
        <f t="shared" si="14"/>
        <v>0.25171150618020044</v>
      </c>
    </row>
    <row r="104" spans="1:23" x14ac:dyDescent="0.25">
      <c r="A104" s="3">
        <f>'Monthly Data'!A104</f>
        <v>45108</v>
      </c>
      <c r="B104" s="1">
        <f t="shared" si="8"/>
        <v>2023</v>
      </c>
      <c r="C104" s="1">
        <f t="shared" si="9"/>
        <v>7</v>
      </c>
      <c r="D104" s="24">
        <f>'Monthly Data'!X104</f>
        <v>2717050.2881612428</v>
      </c>
      <c r="E104" s="278">
        <f>'Monthly Data'!BL104</f>
        <v>0</v>
      </c>
      <c r="F104" s="278">
        <f>'Monthly Data'!BG104</f>
        <v>223.78333333333336</v>
      </c>
      <c r="G104" s="278">
        <f>'Monthly Data'!CC104</f>
        <v>103</v>
      </c>
      <c r="H104" s="278">
        <f>'Monthly Data'!CD104</f>
        <v>31</v>
      </c>
      <c r="I104" s="278">
        <f>'Monthly Data'!CG104</f>
        <v>0</v>
      </c>
      <c r="J104" s="278">
        <f>'Monthly Data'!CB104</f>
        <v>0</v>
      </c>
      <c r="K104" s="278">
        <f>'Monthly Data'!AX104</f>
        <v>2198</v>
      </c>
      <c r="M104" s="18">
        <f>'Large Use Predicted Monthly'!$Z$10</f>
        <v>877619.90234118199</v>
      </c>
      <c r="N104" s="18">
        <f>E104*'Large Use Predicted Monthly'!$Z$11</f>
        <v>0</v>
      </c>
      <c r="O104" s="18">
        <f>F104*'Large Use Predicted Monthly'!$Z$12</f>
        <v>404204.08492231375</v>
      </c>
      <c r="P104" s="18">
        <f>G104*'Large Use Predicted Monthly'!$Z$13</f>
        <v>0</v>
      </c>
      <c r="Q104" s="18">
        <f>H104*'Large Use Predicted Monthly'!$Z$14</f>
        <v>2169588.3068179414</v>
      </c>
      <c r="R104" s="18">
        <f>I104*'Large Use Predicted Monthly'!$Z$15</f>
        <v>0</v>
      </c>
      <c r="S104" s="18">
        <f>J104*'Large Use Predicted Monthly'!$Z$16</f>
        <v>0</v>
      </c>
      <c r="T104" s="18">
        <f>K104*'Large Use Predicted Monthly'!$Z$17</f>
        <v>4561.6034347868299</v>
      </c>
      <c r="U104" s="18">
        <f t="shared" si="12"/>
        <v>3455973.8975162241</v>
      </c>
      <c r="V104" s="18">
        <f t="shared" si="13"/>
        <v>738923.60935498122</v>
      </c>
      <c r="W104" s="279">
        <f t="shared" si="14"/>
        <v>0.27195801733027397</v>
      </c>
    </row>
    <row r="105" spans="1:23" x14ac:dyDescent="0.25">
      <c r="A105" s="3">
        <f>'Monthly Data'!A105</f>
        <v>45139</v>
      </c>
      <c r="B105" s="1">
        <f t="shared" si="8"/>
        <v>2023</v>
      </c>
      <c r="C105" s="1">
        <f t="shared" si="9"/>
        <v>8</v>
      </c>
      <c r="D105" s="24">
        <f>'Monthly Data'!X105</f>
        <v>2983763.2101783892</v>
      </c>
      <c r="E105" s="278">
        <f>'Monthly Data'!BL105</f>
        <v>0</v>
      </c>
      <c r="F105" s="278">
        <f>'Monthly Data'!BG105</f>
        <v>165.80489130434788</v>
      </c>
      <c r="G105" s="278">
        <f>'Monthly Data'!CC105</f>
        <v>104</v>
      </c>
      <c r="H105" s="278">
        <f>'Monthly Data'!CD105</f>
        <v>31</v>
      </c>
      <c r="I105" s="278">
        <f>'Monthly Data'!CG105</f>
        <v>0</v>
      </c>
      <c r="J105" s="278">
        <f>'Monthly Data'!CB105</f>
        <v>0</v>
      </c>
      <c r="K105" s="278">
        <f>'Monthly Data'!AX105</f>
        <v>2198</v>
      </c>
      <c r="M105" s="18">
        <f>'Large Use Predicted Monthly'!$Z$10</f>
        <v>877619.90234118199</v>
      </c>
      <c r="N105" s="18">
        <f>E105*'Large Use Predicted Monthly'!$Z$11</f>
        <v>0</v>
      </c>
      <c r="O105" s="18">
        <f>F105*'Large Use Predicted Monthly'!$Z$12</f>
        <v>299481.70566165616</v>
      </c>
      <c r="P105" s="18">
        <f>G105*'Large Use Predicted Monthly'!$Z$13</f>
        <v>0</v>
      </c>
      <c r="Q105" s="18">
        <f>H105*'Large Use Predicted Monthly'!$Z$14</f>
        <v>2169588.3068179414</v>
      </c>
      <c r="R105" s="18">
        <f>I105*'Large Use Predicted Monthly'!$Z$15</f>
        <v>0</v>
      </c>
      <c r="S105" s="18">
        <f>J105*'Large Use Predicted Monthly'!$Z$16</f>
        <v>0</v>
      </c>
      <c r="T105" s="18">
        <f>K105*'Large Use Predicted Monthly'!$Z$17</f>
        <v>4561.6034347868299</v>
      </c>
      <c r="U105" s="18">
        <f t="shared" si="12"/>
        <v>3351251.5182555662</v>
      </c>
      <c r="V105" s="18">
        <f t="shared" si="13"/>
        <v>367488.30807717703</v>
      </c>
      <c r="W105" s="279">
        <f t="shared" si="14"/>
        <v>0.12316269160487643</v>
      </c>
    </row>
    <row r="106" spans="1:23" x14ac:dyDescent="0.25">
      <c r="A106" s="3">
        <f>'Monthly Data'!A106</f>
        <v>45170</v>
      </c>
      <c r="B106" s="1">
        <f t="shared" si="8"/>
        <v>2023</v>
      </c>
      <c r="C106" s="1">
        <f t="shared" si="9"/>
        <v>9</v>
      </c>
      <c r="D106" s="24">
        <f>'Monthly Data'!X106</f>
        <v>2992173.2114858548</v>
      </c>
      <c r="E106" s="278">
        <f>'Monthly Data'!BL106</f>
        <v>0</v>
      </c>
      <c r="F106" s="278">
        <f>'Monthly Data'!BG106</f>
        <v>105.35</v>
      </c>
      <c r="G106" s="278">
        <f>'Monthly Data'!CC106</f>
        <v>105</v>
      </c>
      <c r="H106" s="278">
        <f>'Monthly Data'!CD106</f>
        <v>30</v>
      </c>
      <c r="I106" s="278">
        <f>'Monthly Data'!CG106</f>
        <v>0</v>
      </c>
      <c r="J106" s="278">
        <f>'Monthly Data'!CB106</f>
        <v>1</v>
      </c>
      <c r="K106" s="278">
        <f>'Monthly Data'!AX106</f>
        <v>2198</v>
      </c>
      <c r="M106" s="18">
        <f>'Large Use Predicted Monthly'!$Z$10</f>
        <v>877619.90234118199</v>
      </c>
      <c r="N106" s="18">
        <f>E106*'Large Use Predicted Monthly'!$Z$11</f>
        <v>0</v>
      </c>
      <c r="O106" s="18">
        <f>F106*'Large Use Predicted Monthly'!$Z$12</f>
        <v>190286.29036969872</v>
      </c>
      <c r="P106" s="18">
        <f>G106*'Large Use Predicted Monthly'!$Z$13</f>
        <v>0</v>
      </c>
      <c r="Q106" s="18">
        <f>H106*'Large Use Predicted Monthly'!$Z$14</f>
        <v>2099601.5872431691</v>
      </c>
      <c r="R106" s="18">
        <f>I106*'Large Use Predicted Monthly'!$Z$15</f>
        <v>0</v>
      </c>
      <c r="S106" s="18">
        <f>J106*'Large Use Predicted Monthly'!$Z$16</f>
        <v>177799.47475552099</v>
      </c>
      <c r="T106" s="18">
        <f>K106*'Large Use Predicted Monthly'!$Z$17</f>
        <v>4561.6034347868299</v>
      </c>
      <c r="U106" s="18">
        <f t="shared" si="12"/>
        <v>3349868.8581443573</v>
      </c>
      <c r="V106" s="18">
        <f t="shared" si="13"/>
        <v>357695.64665850252</v>
      </c>
      <c r="W106" s="279">
        <f t="shared" si="14"/>
        <v>0.11954376347112533</v>
      </c>
    </row>
    <row r="107" spans="1:23" x14ac:dyDescent="0.25">
      <c r="A107" s="3">
        <f>'Monthly Data'!A107</f>
        <v>45200</v>
      </c>
      <c r="B107" s="1">
        <f t="shared" si="8"/>
        <v>2023</v>
      </c>
      <c r="C107" s="1">
        <f t="shared" si="9"/>
        <v>10</v>
      </c>
      <c r="D107" s="24">
        <f>'Monthly Data'!X107</f>
        <v>2996465.4188636672</v>
      </c>
      <c r="E107" s="278">
        <f>'Monthly Data'!BL107</f>
        <v>17.783333333333335</v>
      </c>
      <c r="F107" s="278">
        <f>'Monthly Data'!BG107</f>
        <v>35.333333333333343</v>
      </c>
      <c r="G107" s="278">
        <f>'Monthly Data'!CC107</f>
        <v>106</v>
      </c>
      <c r="H107" s="278">
        <f>'Monthly Data'!CD107</f>
        <v>31</v>
      </c>
      <c r="I107" s="278">
        <f>'Monthly Data'!CG107</f>
        <v>0</v>
      </c>
      <c r="J107" s="278">
        <f>'Monthly Data'!CB107</f>
        <v>1</v>
      </c>
      <c r="K107" s="278">
        <f>'Monthly Data'!AX107</f>
        <v>1875</v>
      </c>
      <c r="M107" s="18">
        <f>'Large Use Predicted Monthly'!$Z$10</f>
        <v>877619.90234118199</v>
      </c>
      <c r="N107" s="18">
        <f>E107*'Large Use Predicted Monthly'!$Z$11</f>
        <v>7531.0387551159774</v>
      </c>
      <c r="O107" s="18">
        <f>F107*'Large Use Predicted Monthly'!$Z$12</f>
        <v>63820.11320736615</v>
      </c>
      <c r="P107" s="18">
        <f>G107*'Large Use Predicted Monthly'!$Z$13</f>
        <v>0</v>
      </c>
      <c r="Q107" s="18">
        <f>H107*'Large Use Predicted Monthly'!$Z$14</f>
        <v>2169588.3068179414</v>
      </c>
      <c r="R107" s="18">
        <f>I107*'Large Use Predicted Monthly'!$Z$15</f>
        <v>0</v>
      </c>
      <c r="S107" s="18">
        <f>J107*'Large Use Predicted Monthly'!$Z$16</f>
        <v>177799.47475552099</v>
      </c>
      <c r="T107" s="18">
        <f>K107*'Large Use Predicted Monthly'!$Z$17</f>
        <v>3891.2677162080558</v>
      </c>
      <c r="U107" s="18">
        <f t="shared" si="12"/>
        <v>3300250.1035933346</v>
      </c>
      <c r="V107" s="18">
        <f t="shared" si="13"/>
        <v>303784.68472966738</v>
      </c>
      <c r="W107" s="279">
        <f t="shared" si="14"/>
        <v>0.10138100804275924</v>
      </c>
    </row>
    <row r="108" spans="1:23" x14ac:dyDescent="0.25">
      <c r="A108" s="3">
        <f>'Monthly Data'!A108</f>
        <v>45231</v>
      </c>
      <c r="B108" s="1">
        <f t="shared" si="8"/>
        <v>2023</v>
      </c>
      <c r="C108" s="1">
        <f t="shared" si="9"/>
        <v>11</v>
      </c>
      <c r="D108" s="24">
        <f>'Monthly Data'!X108</f>
        <v>3414621.5370895229</v>
      </c>
      <c r="E108" s="278">
        <f>'Monthly Data'!BL108</f>
        <v>153.42644927536227</v>
      </c>
      <c r="F108" s="278">
        <f>'Monthly Data'!BG108</f>
        <v>0</v>
      </c>
      <c r="G108" s="278">
        <f>'Monthly Data'!CC108</f>
        <v>107</v>
      </c>
      <c r="H108" s="278">
        <f>'Monthly Data'!CD108</f>
        <v>30</v>
      </c>
      <c r="I108" s="278">
        <f>'Monthly Data'!CG108</f>
        <v>0</v>
      </c>
      <c r="J108" s="278">
        <f>'Monthly Data'!CB108</f>
        <v>1</v>
      </c>
      <c r="K108" s="278">
        <f>'Monthly Data'!AX108</f>
        <v>1875</v>
      </c>
      <c r="M108" s="18">
        <f>'Large Use Predicted Monthly'!$Z$10</f>
        <v>877619.90234118199</v>
      </c>
      <c r="N108" s="18">
        <f>E108*'Large Use Predicted Monthly'!$Z$11</f>
        <v>64974.350640258039</v>
      </c>
      <c r="O108" s="18">
        <f>F108*'Large Use Predicted Monthly'!$Z$12</f>
        <v>0</v>
      </c>
      <c r="P108" s="18">
        <f>G108*'Large Use Predicted Monthly'!$Z$13</f>
        <v>0</v>
      </c>
      <c r="Q108" s="18">
        <f>H108*'Large Use Predicted Monthly'!$Z$14</f>
        <v>2099601.5872431691</v>
      </c>
      <c r="R108" s="18">
        <f>I108*'Large Use Predicted Monthly'!$Z$15</f>
        <v>0</v>
      </c>
      <c r="S108" s="18">
        <f>J108*'Large Use Predicted Monthly'!$Z$16</f>
        <v>177799.47475552099</v>
      </c>
      <c r="T108" s="18">
        <f>K108*'Large Use Predicted Monthly'!$Z$17</f>
        <v>3891.2677162080558</v>
      </c>
      <c r="U108" s="18">
        <f t="shared" si="12"/>
        <v>3223886.5826963382</v>
      </c>
      <c r="V108" s="18">
        <f t="shared" si="13"/>
        <v>-190734.95439318474</v>
      </c>
      <c r="W108" s="279">
        <f t="shared" si="14"/>
        <v>5.5858300055050623E-2</v>
      </c>
    </row>
    <row r="109" spans="1:23" x14ac:dyDescent="0.25">
      <c r="A109" s="3">
        <f>'Monthly Data'!A109</f>
        <v>45261</v>
      </c>
      <c r="B109" s="1">
        <f t="shared" si="8"/>
        <v>2023</v>
      </c>
      <c r="C109" s="1">
        <f t="shared" si="9"/>
        <v>12</v>
      </c>
      <c r="D109" s="24">
        <f>'Monthly Data'!X109</f>
        <v>3312670.9716701088</v>
      </c>
      <c r="E109" s="278">
        <f>'Monthly Data'!BL109</f>
        <v>180.36666666666662</v>
      </c>
      <c r="F109" s="278">
        <f>'Monthly Data'!BG109</f>
        <v>0</v>
      </c>
      <c r="G109" s="278">
        <f>'Monthly Data'!CC109</f>
        <v>108</v>
      </c>
      <c r="H109" s="278">
        <f>'Monthly Data'!CD109</f>
        <v>31</v>
      </c>
      <c r="I109" s="278">
        <f>'Monthly Data'!CG109</f>
        <v>0</v>
      </c>
      <c r="J109" s="278">
        <f>'Monthly Data'!CB109</f>
        <v>0</v>
      </c>
      <c r="K109" s="278">
        <f>'Monthly Data'!AX109</f>
        <v>1875</v>
      </c>
      <c r="M109" s="18">
        <f>'Large Use Predicted Monthly'!$Z$10</f>
        <v>877619.90234118199</v>
      </c>
      <c r="N109" s="18">
        <f>E109*'Large Use Predicted Monthly'!$Z$11</f>
        <v>76383.225311963513</v>
      </c>
      <c r="O109" s="18">
        <f>F109*'Large Use Predicted Monthly'!$Z$12</f>
        <v>0</v>
      </c>
      <c r="P109" s="18">
        <f>G109*'Large Use Predicted Monthly'!$Z$13</f>
        <v>0</v>
      </c>
      <c r="Q109" s="18">
        <f>H109*'Large Use Predicted Monthly'!$Z$14</f>
        <v>2169588.3068179414</v>
      </c>
      <c r="R109" s="18">
        <f>I109*'Large Use Predicted Monthly'!$Z$15</f>
        <v>0</v>
      </c>
      <c r="S109" s="18">
        <f>J109*'Large Use Predicted Monthly'!$Z$16</f>
        <v>0</v>
      </c>
      <c r="T109" s="18">
        <f>K109*'Large Use Predicted Monthly'!$Z$17</f>
        <v>3891.2677162080558</v>
      </c>
      <c r="U109" s="18">
        <f t="shared" si="12"/>
        <v>3127482.7021872946</v>
      </c>
      <c r="V109" s="18">
        <f t="shared" si="13"/>
        <v>-185188.26948281424</v>
      </c>
      <c r="W109" s="279">
        <f t="shared" si="14"/>
        <v>5.5903007291258432E-2</v>
      </c>
    </row>
    <row r="110" spans="1:23" x14ac:dyDescent="0.25">
      <c r="A110" s="3">
        <f>'Monthly Data'!A110</f>
        <v>45292</v>
      </c>
      <c r="B110" s="1">
        <f t="shared" si="8"/>
        <v>2024</v>
      </c>
      <c r="C110" s="1">
        <f t="shared" si="9"/>
        <v>1</v>
      </c>
      <c r="D110" s="24">
        <f>'Monthly Data'!X110</f>
        <v>3544718.830319657</v>
      </c>
      <c r="E110" s="278">
        <f>'Monthly Data'!BL110</f>
        <v>326.99583333333317</v>
      </c>
      <c r="F110" s="278">
        <f>'Monthly Data'!BG110</f>
        <v>0</v>
      </c>
      <c r="G110" s="278">
        <f>'Monthly Data'!CC110</f>
        <v>109</v>
      </c>
      <c r="H110" s="278">
        <f>'Monthly Data'!CD110</f>
        <v>31</v>
      </c>
      <c r="I110" s="278">
        <f>'Monthly Data'!CG110</f>
        <v>0</v>
      </c>
      <c r="J110" s="278">
        <f>'Monthly Data'!CB110</f>
        <v>0</v>
      </c>
      <c r="K110" s="278">
        <f>'Monthly Data'!AX110</f>
        <v>4826</v>
      </c>
      <c r="M110" s="18">
        <f>'Large Use Predicted Monthly'!$Z$10</f>
        <v>877619.90234118199</v>
      </c>
      <c r="N110" s="18">
        <f>E110*'Large Use Predicted Monthly'!$Z$11</f>
        <v>138479.00432585436</v>
      </c>
      <c r="O110" s="18">
        <f>F110*'Large Use Predicted Monthly'!$Z$12</f>
        <v>0</v>
      </c>
      <c r="P110" s="18">
        <f>G110*'Large Use Predicted Monthly'!$Z$13</f>
        <v>0</v>
      </c>
      <c r="Q110" s="18">
        <f>H110*'Large Use Predicted Monthly'!$Z$14</f>
        <v>2169588.3068179414</v>
      </c>
      <c r="R110" s="18">
        <f>I110*'Large Use Predicted Monthly'!$Z$15</f>
        <v>0</v>
      </c>
      <c r="S110" s="18">
        <f>J110*'Large Use Predicted Monthly'!$Z$16</f>
        <v>0</v>
      </c>
      <c r="T110" s="18">
        <f>K110*'Large Use Predicted Monthly'!$Z$17</f>
        <v>10015.604265824042</v>
      </c>
      <c r="U110" s="18">
        <f t="shared" si="12"/>
        <v>3195702.8177508018</v>
      </c>
      <c r="V110" s="18">
        <f t="shared" si="13"/>
        <v>-349016.01256885519</v>
      </c>
      <c r="W110" s="279">
        <f t="shared" si="14"/>
        <v>9.846084535212106E-2</v>
      </c>
    </row>
    <row r="111" spans="1:23" x14ac:dyDescent="0.25">
      <c r="A111" s="3">
        <f>'Monthly Data'!A111</f>
        <v>45323</v>
      </c>
      <c r="B111" s="1">
        <f t="shared" si="8"/>
        <v>2024</v>
      </c>
      <c r="C111" s="1">
        <f t="shared" si="9"/>
        <v>2</v>
      </c>
      <c r="D111" s="24">
        <f>'Monthly Data'!X111</f>
        <v>3378375.6366031975</v>
      </c>
      <c r="E111" s="278">
        <f>'Monthly Data'!BL111</f>
        <v>252.9666666666667</v>
      </c>
      <c r="F111" s="278">
        <f>'Monthly Data'!BG111</f>
        <v>0</v>
      </c>
      <c r="G111" s="278">
        <f>'Monthly Data'!CC111</f>
        <v>110</v>
      </c>
      <c r="H111" s="278">
        <f>'Monthly Data'!CD111</f>
        <v>29</v>
      </c>
      <c r="I111" s="278">
        <f>'Monthly Data'!CG111</f>
        <v>0</v>
      </c>
      <c r="J111" s="278">
        <f>'Monthly Data'!CB111</f>
        <v>0</v>
      </c>
      <c r="K111" s="278">
        <f>'Monthly Data'!AX111</f>
        <v>4826</v>
      </c>
      <c r="M111" s="18">
        <f>'Large Use Predicted Monthly'!$Z$10</f>
        <v>877619.90234118199</v>
      </c>
      <c r="N111" s="18">
        <f>E111*'Large Use Predicted Monthly'!$Z$11</f>
        <v>107128.49693078754</v>
      </c>
      <c r="O111" s="18">
        <f>F111*'Large Use Predicted Monthly'!$Z$12</f>
        <v>0</v>
      </c>
      <c r="P111" s="18">
        <f>G111*'Large Use Predicted Monthly'!$Z$13</f>
        <v>0</v>
      </c>
      <c r="Q111" s="18">
        <f>H111*'Large Use Predicted Monthly'!$Z$14</f>
        <v>2029614.8676683968</v>
      </c>
      <c r="R111" s="18">
        <f>I111*'Large Use Predicted Monthly'!$Z$15</f>
        <v>0</v>
      </c>
      <c r="S111" s="18">
        <f>J111*'Large Use Predicted Monthly'!$Z$16</f>
        <v>0</v>
      </c>
      <c r="T111" s="18">
        <f>K111*'Large Use Predicted Monthly'!$Z$17</f>
        <v>10015.604265824042</v>
      </c>
      <c r="U111" s="18">
        <f t="shared" si="12"/>
        <v>3024378.8712061904</v>
      </c>
      <c r="V111" s="18">
        <f t="shared" si="13"/>
        <v>-353996.76539700711</v>
      </c>
      <c r="W111" s="279">
        <f t="shared" si="14"/>
        <v>0.10478312759588057</v>
      </c>
    </row>
    <row r="112" spans="1:23" x14ac:dyDescent="0.25">
      <c r="A112" s="3">
        <f>'Monthly Data'!A112</f>
        <v>45352</v>
      </c>
      <c r="B112" s="1">
        <f t="shared" si="8"/>
        <v>2024</v>
      </c>
      <c r="C112" s="1">
        <f t="shared" si="9"/>
        <v>3</v>
      </c>
      <c r="D112" s="24">
        <f>'Monthly Data'!X112</f>
        <v>3523856.4428867381</v>
      </c>
      <c r="E112" s="278">
        <f>'Monthly Data'!BL112</f>
        <v>154.69166666666669</v>
      </c>
      <c r="F112" s="278">
        <f>'Monthly Data'!BG112</f>
        <v>0</v>
      </c>
      <c r="G112" s="278">
        <f>'Monthly Data'!CC112</f>
        <v>111</v>
      </c>
      <c r="H112" s="278">
        <f>'Monthly Data'!CD112</f>
        <v>31</v>
      </c>
      <c r="I112" s="278">
        <f>'Monthly Data'!CG112</f>
        <v>0</v>
      </c>
      <c r="J112" s="278">
        <f>'Monthly Data'!CB112</f>
        <v>1</v>
      </c>
      <c r="K112" s="278">
        <f>'Monthly Data'!AX112</f>
        <v>4826</v>
      </c>
      <c r="M112" s="18">
        <f>'Large Use Predicted Monthly'!$Z$10</f>
        <v>877619.90234118199</v>
      </c>
      <c r="N112" s="18">
        <f>E112*'Large Use Predicted Monthly'!$Z$11</f>
        <v>65510.155769080549</v>
      </c>
      <c r="O112" s="18">
        <f>F112*'Large Use Predicted Monthly'!$Z$12</f>
        <v>0</v>
      </c>
      <c r="P112" s="18">
        <f>G112*'Large Use Predicted Monthly'!$Z$13</f>
        <v>0</v>
      </c>
      <c r="Q112" s="18">
        <f>H112*'Large Use Predicted Monthly'!$Z$14</f>
        <v>2169588.3068179414</v>
      </c>
      <c r="R112" s="18">
        <f>I112*'Large Use Predicted Monthly'!$Z$15</f>
        <v>0</v>
      </c>
      <c r="S112" s="18">
        <f>J112*'Large Use Predicted Monthly'!$Z$16</f>
        <v>177799.47475552099</v>
      </c>
      <c r="T112" s="18">
        <f>K112*'Large Use Predicted Monthly'!$Z$17</f>
        <v>10015.604265824042</v>
      </c>
      <c r="U112" s="18">
        <f t="shared" si="12"/>
        <v>3300533.4439495485</v>
      </c>
      <c r="V112" s="18">
        <f t="shared" si="13"/>
        <v>-223322.99893718958</v>
      </c>
      <c r="W112" s="279">
        <f t="shared" si="14"/>
        <v>6.3374601819546225E-2</v>
      </c>
    </row>
    <row r="113" spans="1:23" x14ac:dyDescent="0.25">
      <c r="A113" s="3">
        <f>'Monthly Data'!A113</f>
        <v>45383</v>
      </c>
      <c r="B113" s="1">
        <f t="shared" si="8"/>
        <v>2024</v>
      </c>
      <c r="C113" s="1">
        <f t="shared" si="9"/>
        <v>4</v>
      </c>
      <c r="D113" s="24">
        <f>'Monthly Data'!X113</f>
        <v>3248621.2491702782</v>
      </c>
      <c r="E113" s="278">
        <f>'Monthly Data'!BL113</f>
        <v>41.093749999999993</v>
      </c>
      <c r="F113" s="278">
        <f>'Monthly Data'!BG113</f>
        <v>0</v>
      </c>
      <c r="G113" s="278">
        <f>'Monthly Data'!CC113</f>
        <v>112</v>
      </c>
      <c r="H113" s="278">
        <f>'Monthly Data'!CD113</f>
        <v>30</v>
      </c>
      <c r="I113" s="278">
        <f>'Monthly Data'!CG113</f>
        <v>0</v>
      </c>
      <c r="J113" s="278">
        <f>'Monthly Data'!CB113</f>
        <v>1</v>
      </c>
      <c r="K113" s="278">
        <f>'Monthly Data'!AX113</f>
        <v>2733</v>
      </c>
      <c r="M113" s="18">
        <f>'Large Use Predicted Monthly'!$Z$10</f>
        <v>877619.90234118199</v>
      </c>
      <c r="N113" s="18">
        <f>E113*'Large Use Predicted Monthly'!$Z$11</f>
        <v>17402.734236722423</v>
      </c>
      <c r="O113" s="18">
        <f>F113*'Large Use Predicted Monthly'!$Z$12</f>
        <v>0</v>
      </c>
      <c r="P113" s="18">
        <f>G113*'Large Use Predicted Monthly'!$Z$13</f>
        <v>0</v>
      </c>
      <c r="Q113" s="18">
        <f>H113*'Large Use Predicted Monthly'!$Z$14</f>
        <v>2099601.5872431691</v>
      </c>
      <c r="R113" s="18">
        <f>I113*'Large Use Predicted Monthly'!$Z$15</f>
        <v>0</v>
      </c>
      <c r="S113" s="18">
        <f>J113*'Large Use Predicted Monthly'!$Z$16</f>
        <v>177799.47475552099</v>
      </c>
      <c r="T113" s="18">
        <f>K113*'Large Use Predicted Monthly'!$Z$17</f>
        <v>5671.911823144862</v>
      </c>
      <c r="U113" s="18">
        <f t="shared" si="12"/>
        <v>3178095.6103997394</v>
      </c>
      <c r="V113" s="18">
        <f t="shared" si="13"/>
        <v>-70525.638770538848</v>
      </c>
      <c r="W113" s="279">
        <f t="shared" si="14"/>
        <v>2.1709406348478334E-2</v>
      </c>
    </row>
    <row r="114" spans="1:23" x14ac:dyDescent="0.25">
      <c r="A114" s="3">
        <f>'Monthly Data'!A114</f>
        <v>45413</v>
      </c>
      <c r="B114" s="1">
        <f t="shared" si="8"/>
        <v>2024</v>
      </c>
      <c r="C114" s="1">
        <f t="shared" si="9"/>
        <v>5</v>
      </c>
      <c r="D114" s="24">
        <f>'Monthly Data'!X114</f>
        <v>3425904.0554538188</v>
      </c>
      <c r="E114" s="278">
        <f>'Monthly Data'!BL114</f>
        <v>0</v>
      </c>
      <c r="F114" s="278">
        <f>'Monthly Data'!BG114</f>
        <v>60.691666666666663</v>
      </c>
      <c r="G114" s="278">
        <f>'Monthly Data'!CC114</f>
        <v>113</v>
      </c>
      <c r="H114" s="278">
        <f>'Monthly Data'!CD114</f>
        <v>31</v>
      </c>
      <c r="I114" s="278">
        <f>'Monthly Data'!CG114</f>
        <v>0</v>
      </c>
      <c r="J114" s="278">
        <f>'Monthly Data'!CB114</f>
        <v>1</v>
      </c>
      <c r="K114" s="278">
        <f>'Monthly Data'!AX114</f>
        <v>2733</v>
      </c>
      <c r="M114" s="18">
        <f>'Large Use Predicted Monthly'!$Z$10</f>
        <v>877619.90234118199</v>
      </c>
      <c r="N114" s="18">
        <f>E114*'Large Use Predicted Monthly'!$Z$11</f>
        <v>0</v>
      </c>
      <c r="O114" s="18">
        <f>F114*'Large Use Predicted Monthly'!$Z$12</f>
        <v>109623.08596444517</v>
      </c>
      <c r="P114" s="18">
        <f>G114*'Large Use Predicted Monthly'!$Z$13</f>
        <v>0</v>
      </c>
      <c r="Q114" s="18">
        <f>H114*'Large Use Predicted Monthly'!$Z$14</f>
        <v>2169588.3068179414</v>
      </c>
      <c r="R114" s="18">
        <f>I114*'Large Use Predicted Monthly'!$Z$15</f>
        <v>0</v>
      </c>
      <c r="S114" s="18">
        <f>J114*'Large Use Predicted Monthly'!$Z$16</f>
        <v>177799.47475552099</v>
      </c>
      <c r="T114" s="18">
        <f>K114*'Large Use Predicted Monthly'!$Z$17</f>
        <v>5671.911823144862</v>
      </c>
      <c r="U114" s="18">
        <f t="shared" si="12"/>
        <v>3340302.6817022343</v>
      </c>
      <c r="V114" s="18">
        <f t="shared" si="13"/>
        <v>-85601.37375158444</v>
      </c>
      <c r="W114" s="279">
        <f t="shared" si="14"/>
        <v>2.498650644209156E-2</v>
      </c>
    </row>
    <row r="115" spans="1:23" x14ac:dyDescent="0.25">
      <c r="A115" s="3">
        <f>'Monthly Data'!A115</f>
        <v>45444</v>
      </c>
      <c r="B115" s="1">
        <f t="shared" si="8"/>
        <v>2024</v>
      </c>
      <c r="C115" s="1">
        <f t="shared" si="9"/>
        <v>6</v>
      </c>
      <c r="D115" s="24">
        <f>'Monthly Data'!X115</f>
        <v>3335143.8617373593</v>
      </c>
      <c r="E115" s="278">
        <f>'Monthly Data'!BL115</f>
        <v>0</v>
      </c>
      <c r="F115" s="278">
        <f>'Monthly Data'!BG115</f>
        <v>146.61250000000007</v>
      </c>
      <c r="G115" s="278">
        <f>'Monthly Data'!CC115</f>
        <v>114</v>
      </c>
      <c r="H115" s="278">
        <f>'Monthly Data'!CD115</f>
        <v>30</v>
      </c>
      <c r="I115" s="278">
        <f>'Monthly Data'!CG115</f>
        <v>0</v>
      </c>
      <c r="J115" s="278">
        <f>'Monthly Data'!CB115</f>
        <v>0</v>
      </c>
      <c r="K115" s="278">
        <f>'Monthly Data'!AX115</f>
        <v>2733</v>
      </c>
      <c r="M115" s="18">
        <f>'Large Use Predicted Monthly'!$Z$10</f>
        <v>877619.90234118199</v>
      </c>
      <c r="N115" s="18">
        <f>E115*'Large Use Predicted Monthly'!$Z$11</f>
        <v>0</v>
      </c>
      <c r="O115" s="18">
        <f>F115*'Large Use Predicted Monthly'!$Z$12</f>
        <v>264815.84002683882</v>
      </c>
      <c r="P115" s="18">
        <f>G115*'Large Use Predicted Monthly'!$Z$13</f>
        <v>0</v>
      </c>
      <c r="Q115" s="18">
        <f>H115*'Large Use Predicted Monthly'!$Z$14</f>
        <v>2099601.5872431691</v>
      </c>
      <c r="R115" s="18">
        <f>I115*'Large Use Predicted Monthly'!$Z$15</f>
        <v>0</v>
      </c>
      <c r="S115" s="18">
        <f>J115*'Large Use Predicted Monthly'!$Z$16</f>
        <v>0</v>
      </c>
      <c r="T115" s="18">
        <f>K115*'Large Use Predicted Monthly'!$Z$17</f>
        <v>5671.911823144862</v>
      </c>
      <c r="U115" s="18">
        <f t="shared" si="12"/>
        <v>3247709.2414343343</v>
      </c>
      <c r="V115" s="18">
        <f t="shared" si="13"/>
        <v>-87434.620303025004</v>
      </c>
      <c r="W115" s="279">
        <f t="shared" si="14"/>
        <v>2.6216146567506128E-2</v>
      </c>
    </row>
    <row r="116" spans="1:23" x14ac:dyDescent="0.25">
      <c r="A116" s="3">
        <f>'Monthly Data'!A116</f>
        <v>45474</v>
      </c>
      <c r="B116" s="1">
        <f t="shared" si="8"/>
        <v>2024</v>
      </c>
      <c r="C116" s="1">
        <f t="shared" si="9"/>
        <v>7</v>
      </c>
      <c r="D116" s="24">
        <f>'Monthly Data'!X116</f>
        <v>3414589.6680208994</v>
      </c>
      <c r="E116" s="278">
        <f>'Monthly Data'!BL116</f>
        <v>0</v>
      </c>
      <c r="F116" s="278">
        <f>'Monthly Data'!BG116</f>
        <v>241.14166666666668</v>
      </c>
      <c r="G116" s="278">
        <f>'Monthly Data'!CC116</f>
        <v>115</v>
      </c>
      <c r="H116" s="278">
        <f>'Monthly Data'!CD116</f>
        <v>31</v>
      </c>
      <c r="I116" s="278">
        <f>'Monthly Data'!CG116</f>
        <v>0</v>
      </c>
      <c r="J116" s="278">
        <f>'Monthly Data'!CB116</f>
        <v>0</v>
      </c>
      <c r="K116" s="278">
        <f>'Monthly Data'!AX116</f>
        <v>730</v>
      </c>
      <c r="M116" s="18">
        <f>'Large Use Predicted Monthly'!$Z$10</f>
        <v>877619.90234118199</v>
      </c>
      <c r="N116" s="18">
        <f>E116*'Large Use Predicted Monthly'!$Z$11</f>
        <v>0</v>
      </c>
      <c r="O116" s="18">
        <f>F116*'Large Use Predicted Monthly'!$Z$12</f>
        <v>435557.22072678158</v>
      </c>
      <c r="P116" s="18">
        <f>G116*'Large Use Predicted Monthly'!$Z$13</f>
        <v>0</v>
      </c>
      <c r="Q116" s="18">
        <f>H116*'Large Use Predicted Monthly'!$Z$14</f>
        <v>2169588.3068179414</v>
      </c>
      <c r="R116" s="18">
        <f>I116*'Large Use Predicted Monthly'!$Z$15</f>
        <v>0</v>
      </c>
      <c r="S116" s="18">
        <f>J116*'Large Use Predicted Monthly'!$Z$16</f>
        <v>0</v>
      </c>
      <c r="T116" s="18">
        <f>K116*'Large Use Predicted Monthly'!$Z$17</f>
        <v>1515.0002308436697</v>
      </c>
      <c r="U116" s="18">
        <f t="shared" si="12"/>
        <v>3484280.4301167489</v>
      </c>
      <c r="V116" s="18">
        <f t="shared" si="13"/>
        <v>69690.762095849495</v>
      </c>
      <c r="W116" s="279">
        <f t="shared" si="14"/>
        <v>2.0409703323515986E-2</v>
      </c>
    </row>
    <row r="117" spans="1:23" x14ac:dyDescent="0.25">
      <c r="A117" s="3">
        <f>'Monthly Data'!A117</f>
        <v>45505</v>
      </c>
      <c r="B117" s="1">
        <f t="shared" si="8"/>
        <v>2024</v>
      </c>
      <c r="C117" s="1">
        <f t="shared" si="9"/>
        <v>8</v>
      </c>
      <c r="D117" s="24">
        <f>'Monthly Data'!X117</f>
        <v>3378420.47430444</v>
      </c>
      <c r="E117" s="278">
        <f>'Monthly Data'!BL117</f>
        <v>0</v>
      </c>
      <c r="F117" s="278">
        <f>'Monthly Data'!BG117</f>
        <v>200.86666666666665</v>
      </c>
      <c r="G117" s="278">
        <f>'Monthly Data'!CC117</f>
        <v>116</v>
      </c>
      <c r="H117" s="278">
        <f>'Monthly Data'!CD117</f>
        <v>31</v>
      </c>
      <c r="I117" s="278">
        <f>'Monthly Data'!CG117</f>
        <v>0</v>
      </c>
      <c r="J117" s="278">
        <f>'Monthly Data'!CB117</f>
        <v>0</v>
      </c>
      <c r="K117" s="278">
        <f>'Monthly Data'!AX117</f>
        <v>730</v>
      </c>
      <c r="M117" s="18">
        <f>'Large Use Predicted Monthly'!$Z$10</f>
        <v>877619.90234118199</v>
      </c>
      <c r="N117" s="18">
        <f>E117*'Large Use Predicted Monthly'!$Z$11</f>
        <v>0</v>
      </c>
      <c r="O117" s="18">
        <f>F117*'Large Use Predicted Monthly'!$Z$12</f>
        <v>362811.3228184795</v>
      </c>
      <c r="P117" s="18">
        <f>G117*'Large Use Predicted Monthly'!$Z$13</f>
        <v>0</v>
      </c>
      <c r="Q117" s="18">
        <f>H117*'Large Use Predicted Monthly'!$Z$14</f>
        <v>2169588.3068179414</v>
      </c>
      <c r="R117" s="18">
        <f>I117*'Large Use Predicted Monthly'!$Z$15</f>
        <v>0</v>
      </c>
      <c r="S117" s="18">
        <f>J117*'Large Use Predicted Monthly'!$Z$16</f>
        <v>0</v>
      </c>
      <c r="T117" s="18">
        <f>K117*'Large Use Predicted Monthly'!$Z$17</f>
        <v>1515.0002308436697</v>
      </c>
      <c r="U117" s="18">
        <f t="shared" si="12"/>
        <v>3411534.5322084464</v>
      </c>
      <c r="V117" s="18">
        <f t="shared" si="13"/>
        <v>33114.057904006448</v>
      </c>
      <c r="W117" s="279">
        <f t="shared" si="14"/>
        <v>9.8016390073009125E-3</v>
      </c>
    </row>
    <row r="118" spans="1:23" x14ac:dyDescent="0.25">
      <c r="A118" s="3">
        <f>'Monthly Data'!A118</f>
        <v>45536</v>
      </c>
      <c r="B118" s="1">
        <f t="shared" si="8"/>
        <v>2024</v>
      </c>
      <c r="C118" s="1">
        <f t="shared" si="9"/>
        <v>9</v>
      </c>
      <c r="D118" s="24">
        <f>'Monthly Data'!X118</f>
        <v>3376509.2805879805</v>
      </c>
      <c r="E118" s="278">
        <f>'Monthly Data'!BL118</f>
        <v>0</v>
      </c>
      <c r="F118" s="278">
        <f>'Monthly Data'!BG118</f>
        <v>113.86250000000001</v>
      </c>
      <c r="G118" s="278">
        <f>'Monthly Data'!CC118</f>
        <v>117</v>
      </c>
      <c r="H118" s="278">
        <f>'Monthly Data'!CD118</f>
        <v>30</v>
      </c>
      <c r="I118" s="278">
        <f>'Monthly Data'!CG118</f>
        <v>0</v>
      </c>
      <c r="J118" s="278">
        <f>'Monthly Data'!CB118</f>
        <v>1</v>
      </c>
      <c r="K118" s="278">
        <f>'Monthly Data'!AX118</f>
        <v>730</v>
      </c>
      <c r="M118" s="18">
        <f>'Large Use Predicted Monthly'!$Z$10</f>
        <v>877619.90234118199</v>
      </c>
      <c r="N118" s="18">
        <f>E118*'Large Use Predicted Monthly'!$Z$11</f>
        <v>0</v>
      </c>
      <c r="O118" s="18">
        <f>F118*'Large Use Predicted Monthly'!$Z$12</f>
        <v>205661.82000208661</v>
      </c>
      <c r="P118" s="18">
        <f>G118*'Large Use Predicted Monthly'!$Z$13</f>
        <v>0</v>
      </c>
      <c r="Q118" s="18">
        <f>H118*'Large Use Predicted Monthly'!$Z$14</f>
        <v>2099601.5872431691</v>
      </c>
      <c r="R118" s="18">
        <f>I118*'Large Use Predicted Monthly'!$Z$15</f>
        <v>0</v>
      </c>
      <c r="S118" s="18">
        <f>J118*'Large Use Predicted Monthly'!$Z$16</f>
        <v>177799.47475552099</v>
      </c>
      <c r="T118" s="18">
        <f>K118*'Large Use Predicted Monthly'!$Z$17</f>
        <v>1515.0002308436697</v>
      </c>
      <c r="U118" s="18">
        <f t="shared" si="12"/>
        <v>3362197.784572802</v>
      </c>
      <c r="V118" s="18">
        <f t="shared" si="13"/>
        <v>-14311.496015178505</v>
      </c>
      <c r="W118" s="279">
        <f t="shared" si="14"/>
        <v>4.2385478095550572E-3</v>
      </c>
    </row>
    <row r="119" spans="1:23" x14ac:dyDescent="0.25">
      <c r="A119" s="3">
        <f>'Monthly Data'!A119</f>
        <v>45566</v>
      </c>
      <c r="B119" s="1">
        <f t="shared" si="8"/>
        <v>2024</v>
      </c>
      <c r="C119" s="1">
        <f t="shared" si="9"/>
        <v>10</v>
      </c>
      <c r="D119" s="24">
        <f>'Monthly Data'!X119</f>
        <v>3343927.0868715206</v>
      </c>
      <c r="E119" s="278">
        <f>'Monthly Data'!BL119</f>
        <v>18.616666666666671</v>
      </c>
      <c r="F119" s="278">
        <f>'Monthly Data'!BG119</f>
        <v>12.120833333333337</v>
      </c>
      <c r="G119" s="278">
        <f>'Monthly Data'!CC119</f>
        <v>118</v>
      </c>
      <c r="H119" s="278">
        <f>'Monthly Data'!CD119</f>
        <v>31</v>
      </c>
      <c r="I119" s="278">
        <f>'Monthly Data'!CG119</f>
        <v>0</v>
      </c>
      <c r="J119" s="278">
        <f>'Monthly Data'!CB119</f>
        <v>1</v>
      </c>
      <c r="K119" s="278">
        <f>'Monthly Data'!AX119</f>
        <v>4319.8519999999553</v>
      </c>
      <c r="M119" s="18">
        <f>'Large Use Predicted Monthly'!$Z$10</f>
        <v>877619.90234118199</v>
      </c>
      <c r="N119" s="18">
        <f>E119*'Large Use Predicted Monthly'!$Z$11</f>
        <v>7883.9459132751144</v>
      </c>
      <c r="O119" s="18">
        <f>F119*'Large Use Predicted Monthly'!$Z$12</f>
        <v>21893.008174555205</v>
      </c>
      <c r="P119" s="18">
        <f>G119*'Large Use Predicted Monthly'!$Z$13</f>
        <v>0</v>
      </c>
      <c r="Q119" s="18">
        <f>H119*'Large Use Predicted Monthly'!$Z$14</f>
        <v>2169588.3068179414</v>
      </c>
      <c r="R119" s="18">
        <f>I119*'Large Use Predicted Monthly'!$Z$15</f>
        <v>0</v>
      </c>
      <c r="S119" s="18">
        <f>J119*'Large Use Predicted Monthly'!$Z$16</f>
        <v>177799.47475552099</v>
      </c>
      <c r="T119" s="18">
        <f>K119*'Large Use Predicted Monthly'!$Z$17</f>
        <v>8965.1736674115346</v>
      </c>
      <c r="U119" s="18">
        <f t="shared" si="12"/>
        <v>3263749.8116698861</v>
      </c>
      <c r="V119" s="18">
        <f t="shared" si="13"/>
        <v>-80177.275201634504</v>
      </c>
      <c r="W119" s="279">
        <f t="shared" si="14"/>
        <v>2.3976980693274027E-2</v>
      </c>
    </row>
    <row r="120" spans="1:23" x14ac:dyDescent="0.25">
      <c r="A120" s="3">
        <f>'Monthly Data'!A120</f>
        <v>45597</v>
      </c>
      <c r="B120" s="1">
        <f t="shared" si="8"/>
        <v>2024</v>
      </c>
      <c r="C120" s="1">
        <f t="shared" si="9"/>
        <v>11</v>
      </c>
      <c r="D120" s="24">
        <f>'Monthly Data'!X120</f>
        <v>3274693.8931550612</v>
      </c>
      <c r="E120" s="278">
        <f>'Monthly Data'!BL120</f>
        <v>93.433333333333351</v>
      </c>
      <c r="F120" s="278">
        <f>'Monthly Data'!BG120</f>
        <v>5.5041666666666629</v>
      </c>
      <c r="G120" s="278">
        <f>'Monthly Data'!CC120</f>
        <v>119</v>
      </c>
      <c r="H120" s="278">
        <f>'Monthly Data'!CD120</f>
        <v>30</v>
      </c>
      <c r="I120" s="278">
        <f>'Monthly Data'!CG120</f>
        <v>0</v>
      </c>
      <c r="J120" s="278">
        <f>'Monthly Data'!CB120</f>
        <v>1</v>
      </c>
      <c r="K120" s="278">
        <f>'Monthly Data'!AX120</f>
        <v>4319.8519999999553</v>
      </c>
      <c r="M120" s="18">
        <f>'Large Use Predicted Monthly'!$Z$10</f>
        <v>877619.90234118199</v>
      </c>
      <c r="N120" s="18">
        <f>E120*'Large Use Predicted Monthly'!$Z$11</f>
        <v>39567.950572802409</v>
      </c>
      <c r="O120" s="18">
        <f>F120*'Large Use Predicted Monthly'!$Z$12</f>
        <v>9941.788861666344</v>
      </c>
      <c r="P120" s="18">
        <f>G120*'Large Use Predicted Monthly'!$Z$13</f>
        <v>0</v>
      </c>
      <c r="Q120" s="18">
        <f>H120*'Large Use Predicted Monthly'!$Z$14</f>
        <v>2099601.5872431691</v>
      </c>
      <c r="R120" s="18">
        <f>I120*'Large Use Predicted Monthly'!$Z$15</f>
        <v>0</v>
      </c>
      <c r="S120" s="18">
        <f>J120*'Large Use Predicted Monthly'!$Z$16</f>
        <v>177799.47475552099</v>
      </c>
      <c r="T120" s="18">
        <f>K120*'Large Use Predicted Monthly'!$Z$17</f>
        <v>8965.1736674115346</v>
      </c>
      <c r="U120" s="18">
        <f t="shared" si="12"/>
        <v>3213495.8774417522</v>
      </c>
      <c r="V120" s="18">
        <f t="shared" si="13"/>
        <v>-61198.015713308938</v>
      </c>
      <c r="W120" s="279">
        <f t="shared" si="14"/>
        <v>1.8688163752107724E-2</v>
      </c>
    </row>
    <row r="121" spans="1:23" x14ac:dyDescent="0.25">
      <c r="A121" s="3">
        <f>'Monthly Data'!A121</f>
        <v>45627</v>
      </c>
      <c r="B121" s="1">
        <f t="shared" si="8"/>
        <v>2024</v>
      </c>
      <c r="C121" s="1">
        <f t="shared" si="9"/>
        <v>12</v>
      </c>
      <c r="D121" s="24">
        <f>'Monthly Data'!X121</f>
        <v>3200268.6994386017</v>
      </c>
      <c r="E121" s="278">
        <f>'Monthly Data'!BL121</f>
        <v>288.57499999999993</v>
      </c>
      <c r="F121" s="278">
        <f>'Monthly Data'!BG121</f>
        <v>0</v>
      </c>
      <c r="G121" s="278">
        <f>'Monthly Data'!CC121</f>
        <v>120</v>
      </c>
      <c r="H121" s="278">
        <f>'Monthly Data'!CD121</f>
        <v>31</v>
      </c>
      <c r="I121" s="278">
        <f>'Monthly Data'!CG121</f>
        <v>0</v>
      </c>
      <c r="J121" s="278">
        <f>'Monthly Data'!CB121</f>
        <v>0</v>
      </c>
      <c r="K121" s="278">
        <f>'Monthly Data'!AX121</f>
        <v>4319.8519999999553</v>
      </c>
      <c r="M121" s="18">
        <f>'Large Use Predicted Monthly'!$Z$10</f>
        <v>877619.90234118199</v>
      </c>
      <c r="N121" s="18">
        <f>E121*'Large Use Predicted Monthly'!$Z$11</f>
        <v>122208.21979892741</v>
      </c>
      <c r="O121" s="18">
        <f>F121*'Large Use Predicted Monthly'!$Z$12</f>
        <v>0</v>
      </c>
      <c r="P121" s="18">
        <f>G121*'Large Use Predicted Monthly'!$Z$13</f>
        <v>0</v>
      </c>
      <c r="Q121" s="18">
        <f>H121*'Large Use Predicted Monthly'!$Z$14</f>
        <v>2169588.3068179414</v>
      </c>
      <c r="R121" s="18">
        <f>I121*'Large Use Predicted Monthly'!$Z$15</f>
        <v>0</v>
      </c>
      <c r="S121" s="18">
        <f>J121*'Large Use Predicted Monthly'!$Z$16</f>
        <v>0</v>
      </c>
      <c r="T121" s="18">
        <f>K121*'Large Use Predicted Monthly'!$Z$17</f>
        <v>8965.1736674115346</v>
      </c>
      <c r="U121" s="18">
        <f t="shared" si="12"/>
        <v>3178381.6026254622</v>
      </c>
      <c r="V121" s="18">
        <f t="shared" si="13"/>
        <v>-21887.096813139506</v>
      </c>
      <c r="W121" s="279">
        <f t="shared" si="14"/>
        <v>6.839143480976766E-3</v>
      </c>
    </row>
    <row r="122" spans="1:23" x14ac:dyDescent="0.25">
      <c r="A122" s="3"/>
      <c r="W122" s="404">
        <f>AVERAGE(W2:W121)</f>
        <v>7.8689342138024615E-2</v>
      </c>
    </row>
    <row r="123" spans="1:23" x14ac:dyDescent="0.25">
      <c r="A123" s="3"/>
    </row>
    <row r="124" spans="1:23" x14ac:dyDescent="0.25">
      <c r="A124" s="3"/>
    </row>
    <row r="125" spans="1:23" x14ac:dyDescent="0.25">
      <c r="A125" s="3"/>
    </row>
    <row r="126" spans="1:23" x14ac:dyDescent="0.25">
      <c r="A126" s="3"/>
    </row>
    <row r="127" spans="1:23" x14ac:dyDescent="0.25">
      <c r="A127" s="3"/>
    </row>
    <row r="128" spans="1:23"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3" tint="0.499984740745262"/>
  </sheetPr>
  <dimension ref="B1:AY99"/>
  <sheetViews>
    <sheetView topLeftCell="AC1" workbookViewId="0">
      <selection activeCell="G45" sqref="G45"/>
    </sheetView>
  </sheetViews>
  <sheetFormatPr defaultColWidth="8.77734375" defaultRowHeight="13.8" x14ac:dyDescent="0.25"/>
  <cols>
    <col min="1" max="1" width="8.77734375" style="47"/>
    <col min="2" max="2" width="12.77734375" style="47" customWidth="1"/>
    <col min="3" max="3" width="5.44140625" style="47" customWidth="1"/>
    <col min="4" max="4" width="12.77734375" style="198" customWidth="1"/>
    <col min="5" max="5" width="11.33203125" style="47" bestFit="1" customWidth="1"/>
    <col min="6" max="7" width="11.33203125" style="47" customWidth="1"/>
    <col min="8" max="10" width="12.6640625" style="47" customWidth="1"/>
    <col min="11" max="11" width="8.77734375" style="47"/>
    <col min="12" max="12" width="9" style="47" bestFit="1" customWidth="1"/>
    <col min="13" max="13" width="11.77734375" style="47" bestFit="1" customWidth="1"/>
    <col min="14" max="14" width="10.44140625" style="47" customWidth="1"/>
    <col min="15" max="15" width="11.33203125" style="47" bestFit="1" customWidth="1"/>
    <col min="16" max="20" width="11.33203125" style="47" customWidth="1"/>
    <col min="21" max="21" width="10.33203125" style="47" bestFit="1" customWidth="1"/>
    <col min="22" max="23" width="10.33203125" style="47" customWidth="1"/>
    <col min="24" max="26" width="12.44140625" style="47" customWidth="1"/>
    <col min="27" max="29" width="8.77734375" style="47"/>
    <col min="30" max="30" width="5.44140625" style="47" customWidth="1"/>
    <col min="31" max="31" width="9" style="47" bestFit="1" customWidth="1"/>
    <col min="32" max="32" width="15.109375" style="47" customWidth="1"/>
    <col min="33" max="33" width="11.77734375" style="47" bestFit="1" customWidth="1"/>
    <col min="34" max="34" width="10.77734375" style="47" customWidth="1"/>
    <col min="35" max="35" width="14" style="47" customWidth="1"/>
    <col min="36" max="36" width="14.77734375" style="47" customWidth="1"/>
    <col min="37" max="37" width="15.33203125" style="47" bestFit="1" customWidth="1"/>
    <col min="38" max="38" width="18.77734375" style="47" customWidth="1"/>
    <col min="39" max="39" width="10.109375" style="47" customWidth="1"/>
    <col min="40" max="41" width="9" style="47" bestFit="1" customWidth="1"/>
    <col min="42" max="42" width="11.33203125" style="47" bestFit="1" customWidth="1"/>
    <col min="43" max="44" width="10.109375" style="47" bestFit="1" customWidth="1"/>
    <col min="45" max="45" width="11.33203125" style="47" bestFit="1" customWidth="1"/>
    <col min="46" max="46" width="10.109375" style="47" bestFit="1" customWidth="1"/>
    <col min="47" max="51" width="9" style="47" bestFit="1" customWidth="1"/>
    <col min="52" max="16384" width="8.77734375" style="47"/>
  </cols>
  <sheetData>
    <row r="1" spans="2:51" x14ac:dyDescent="0.25">
      <c r="B1" s="206" t="s">
        <v>209</v>
      </c>
      <c r="C1" s="207"/>
      <c r="D1" s="200"/>
      <c r="E1" s="207"/>
      <c r="F1" s="207"/>
      <c r="G1" s="207"/>
      <c r="H1" s="207"/>
      <c r="I1" s="207"/>
      <c r="J1" s="208"/>
      <c r="L1" s="69"/>
      <c r="M1" s="70"/>
      <c r="N1" s="109"/>
      <c r="O1" s="472" t="s">
        <v>210</v>
      </c>
      <c r="P1" s="473"/>
      <c r="Q1" s="473"/>
      <c r="R1" s="473"/>
      <c r="S1" s="473"/>
      <c r="T1" s="474"/>
      <c r="U1" s="471" t="s">
        <v>211</v>
      </c>
      <c r="V1" s="471"/>
      <c r="W1" s="471"/>
      <c r="X1" s="471"/>
      <c r="Y1" s="471"/>
      <c r="Z1" s="471"/>
      <c r="AC1" s="47" t="s">
        <v>212</v>
      </c>
    </row>
    <row r="2" spans="2:51" s="173" customFormat="1" x14ac:dyDescent="0.25">
      <c r="B2" s="172" t="s">
        <v>213</v>
      </c>
      <c r="C2" s="225"/>
      <c r="D2" s="199"/>
      <c r="E2" s="475" t="s">
        <v>214</v>
      </c>
      <c r="F2" s="476"/>
      <c r="G2" s="476"/>
      <c r="H2" s="475" t="s">
        <v>168</v>
      </c>
      <c r="I2" s="476"/>
      <c r="J2" s="477"/>
      <c r="L2" s="174"/>
      <c r="N2" s="175"/>
      <c r="O2" s="475" t="s">
        <v>214</v>
      </c>
      <c r="P2" s="476"/>
      <c r="Q2" s="476"/>
      <c r="R2" s="475" t="str">
        <f>H2</f>
        <v>Oshawa</v>
      </c>
      <c r="S2" s="476"/>
      <c r="T2" s="477"/>
      <c r="U2" s="475" t="str">
        <f>O2</f>
        <v>Ontario</v>
      </c>
      <c r="V2" s="476"/>
      <c r="W2" s="476"/>
      <c r="X2" s="475" t="str">
        <f>R2</f>
        <v>Oshawa</v>
      </c>
      <c r="Y2" s="476"/>
      <c r="Z2" s="477"/>
      <c r="AB2" s="47"/>
      <c r="AC2" s="47" t="s">
        <v>215</v>
      </c>
      <c r="AD2" s="47"/>
      <c r="AE2" s="47"/>
      <c r="AF2" s="471" t="s">
        <v>216</v>
      </c>
      <c r="AG2" s="471"/>
      <c r="AH2" s="471"/>
      <c r="AI2" s="471"/>
      <c r="AJ2" s="471"/>
      <c r="AK2" s="471" t="s">
        <v>217</v>
      </c>
      <c r="AL2" s="471"/>
      <c r="AM2" s="471"/>
      <c r="AN2" s="471"/>
      <c r="AO2" s="471"/>
      <c r="AP2" s="471" t="s">
        <v>218</v>
      </c>
      <c r="AQ2" s="471"/>
      <c r="AR2" s="471"/>
      <c r="AS2" s="471"/>
      <c r="AT2" s="471"/>
      <c r="AU2" s="471" t="s">
        <v>219</v>
      </c>
      <c r="AV2" s="471"/>
      <c r="AW2" s="471"/>
      <c r="AX2" s="471"/>
      <c r="AY2" s="471"/>
    </row>
    <row r="3" spans="2:51" s="173" customFormat="1" ht="39.6" x14ac:dyDescent="0.25">
      <c r="B3" s="174"/>
      <c r="D3" s="222"/>
      <c r="E3" s="203" t="s">
        <v>220</v>
      </c>
      <c r="F3" s="204" t="s">
        <v>217</v>
      </c>
      <c r="G3" s="204" t="s">
        <v>219</v>
      </c>
      <c r="H3" s="203" t="s">
        <v>220</v>
      </c>
      <c r="I3" s="204" t="s">
        <v>217</v>
      </c>
      <c r="J3" s="205" t="s">
        <v>219</v>
      </c>
      <c r="L3" s="174"/>
      <c r="N3" s="175"/>
      <c r="O3" s="203" t="s">
        <v>220</v>
      </c>
      <c r="P3" s="204" t="s">
        <v>217</v>
      </c>
      <c r="Q3" s="204" t="s">
        <v>219</v>
      </c>
      <c r="R3" s="203" t="s">
        <v>220</v>
      </c>
      <c r="S3" s="204" t="s">
        <v>217</v>
      </c>
      <c r="T3" s="205" t="s">
        <v>219</v>
      </c>
      <c r="U3" s="203" t="s">
        <v>220</v>
      </c>
      <c r="V3" s="204" t="s">
        <v>217</v>
      </c>
      <c r="W3" s="204" t="s">
        <v>219</v>
      </c>
      <c r="X3" s="203" t="s">
        <v>220</v>
      </c>
      <c r="Y3" s="204" t="s">
        <v>217</v>
      </c>
      <c r="Z3" s="205" t="s">
        <v>219</v>
      </c>
      <c r="AB3" s="47"/>
      <c r="AC3" s="47" t="s">
        <v>221</v>
      </c>
      <c r="AD3" s="47"/>
      <c r="AE3" s="47"/>
      <c r="AF3" s="47" t="s">
        <v>222</v>
      </c>
      <c r="AG3" s="47" t="s">
        <v>223</v>
      </c>
      <c r="AH3" s="47" t="s">
        <v>224</v>
      </c>
      <c r="AI3" s="47" t="s">
        <v>225</v>
      </c>
      <c r="AJ3" s="47" t="s">
        <v>226</v>
      </c>
      <c r="AK3" s="47" t="s">
        <v>222</v>
      </c>
      <c r="AL3" s="47" t="s">
        <v>223</v>
      </c>
      <c r="AM3" s="47" t="s">
        <v>224</v>
      </c>
      <c r="AN3" s="47" t="s">
        <v>225</v>
      </c>
      <c r="AO3" s="47" t="s">
        <v>226</v>
      </c>
      <c r="AP3" s="47" t="s">
        <v>222</v>
      </c>
      <c r="AQ3" s="47" t="s">
        <v>223</v>
      </c>
      <c r="AR3" s="47" t="s">
        <v>224</v>
      </c>
      <c r="AS3" s="47" t="s">
        <v>225</v>
      </c>
      <c r="AT3" s="47" t="s">
        <v>226</v>
      </c>
      <c r="AU3" s="47" t="s">
        <v>222</v>
      </c>
      <c r="AV3" s="47" t="s">
        <v>223</v>
      </c>
      <c r="AW3" s="47" t="s">
        <v>224</v>
      </c>
      <c r="AX3" s="47" t="s">
        <v>225</v>
      </c>
      <c r="AY3" s="47" t="s">
        <v>226</v>
      </c>
    </row>
    <row r="4" spans="2:51" x14ac:dyDescent="0.25">
      <c r="B4" s="73" t="s">
        <v>227</v>
      </c>
      <c r="C4" s="198" t="str">
        <f>LEFT(B4,2)</f>
        <v>Q1</v>
      </c>
      <c r="D4" s="198">
        <f>VALUE(RIGHT(B4,4))</f>
        <v>2017</v>
      </c>
      <c r="E4" s="179">
        <v>1319</v>
      </c>
      <c r="F4" s="176">
        <v>595</v>
      </c>
      <c r="G4" s="176">
        <v>724</v>
      </c>
      <c r="H4" s="179">
        <v>20</v>
      </c>
      <c r="I4" s="176">
        <v>16</v>
      </c>
      <c r="J4" s="201">
        <v>4</v>
      </c>
      <c r="L4" s="177">
        <v>42736</v>
      </c>
      <c r="M4" s="55">
        <f>YEAR(L4)</f>
        <v>2017</v>
      </c>
      <c r="N4" s="178" t="s">
        <v>227</v>
      </c>
      <c r="O4" s="179">
        <f>SUMIFS(E:E,$B:$B,$N4)</f>
        <v>1319</v>
      </c>
      <c r="P4" s="176">
        <f>SUMIFS(F:F,$B:$B,$N4)</f>
        <v>595</v>
      </c>
      <c r="Q4" s="176">
        <f>SUMIFS(G:G,$B:$B,$N4)</f>
        <v>724</v>
      </c>
      <c r="R4" s="179">
        <f>SUMIFS(H:H,$B:$B,$N4)</f>
        <v>20</v>
      </c>
      <c r="S4" s="176">
        <f>SUMIFS(I:I,$B:$B,$N4)</f>
        <v>16</v>
      </c>
      <c r="T4" s="201">
        <f t="shared" ref="T4:T67" si="0">SUMIFS(J:J,$B:$B,$N4)</f>
        <v>4</v>
      </c>
      <c r="U4" s="179">
        <f t="shared" ref="U4:Z4" si="1">O4/3</f>
        <v>439.66666666666669</v>
      </c>
      <c r="V4" s="176">
        <f t="shared" si="1"/>
        <v>198.33333333333334</v>
      </c>
      <c r="W4" s="176">
        <f t="shared" si="1"/>
        <v>241.33333333333334</v>
      </c>
      <c r="X4" s="179">
        <f t="shared" si="1"/>
        <v>6.666666666666667</v>
      </c>
      <c r="Y4" s="176">
        <f t="shared" si="1"/>
        <v>5.333333333333333</v>
      </c>
      <c r="Z4" s="201">
        <f t="shared" si="1"/>
        <v>1.3333333333333333</v>
      </c>
      <c r="AB4" s="47" t="s">
        <v>213</v>
      </c>
      <c r="AC4" s="47" t="s">
        <v>228</v>
      </c>
    </row>
    <row r="5" spans="2:51" x14ac:dyDescent="0.25">
      <c r="B5" s="73" t="s">
        <v>229</v>
      </c>
      <c r="C5" s="198" t="str">
        <f t="shared" ref="C5:C35" si="2">LEFT(B5,2)</f>
        <v>Q2</v>
      </c>
      <c r="D5" s="198">
        <f t="shared" ref="D5:D35" si="3">VALUE(RIGHT(B5,4))</f>
        <v>2017</v>
      </c>
      <c r="E5" s="179">
        <v>2089</v>
      </c>
      <c r="F5" s="176">
        <v>831</v>
      </c>
      <c r="G5" s="176">
        <v>1258</v>
      </c>
      <c r="H5" s="179">
        <v>16</v>
      </c>
      <c r="I5" s="176">
        <v>4</v>
      </c>
      <c r="J5" s="201">
        <v>12</v>
      </c>
      <c r="L5" s="177">
        <v>42767</v>
      </c>
      <c r="M5" s="55">
        <f t="shared" ref="M5:M68" si="4">YEAR(L5)</f>
        <v>2017</v>
      </c>
      <c r="N5" s="178" t="s">
        <v>227</v>
      </c>
      <c r="O5" s="179">
        <f t="shared" ref="O5:O68" si="5">SUMIFS(E:E,$B:$B,$N5)</f>
        <v>1319</v>
      </c>
      <c r="P5" s="176">
        <f t="shared" ref="P5:P19" si="6">SUMIFS(F:F,$B:$B,$N5)</f>
        <v>595</v>
      </c>
      <c r="Q5" s="176">
        <f t="shared" ref="Q5:Q19" si="7">SUMIFS(G:G,$B:$B,$N5)</f>
        <v>724</v>
      </c>
      <c r="R5" s="179">
        <f t="shared" ref="R5:R19" si="8">SUMIFS(H:H,$B:$B,$N5)</f>
        <v>20</v>
      </c>
      <c r="S5" s="176">
        <f t="shared" ref="S5:S68" si="9">SUMIFS(I:I,$B:$B,$N5)</f>
        <v>16</v>
      </c>
      <c r="T5" s="201">
        <f t="shared" si="0"/>
        <v>4</v>
      </c>
      <c r="U5" s="179">
        <f t="shared" ref="U5:U36" si="10">O5/3+U4</f>
        <v>879.33333333333337</v>
      </c>
      <c r="V5" s="176">
        <f t="shared" ref="V5:V68" si="11">P5/3+V4</f>
        <v>396.66666666666669</v>
      </c>
      <c r="W5" s="176">
        <f t="shared" ref="W5:W68" si="12">Q5/3+W4</f>
        <v>482.66666666666669</v>
      </c>
      <c r="X5" s="179">
        <f t="shared" ref="X5:X68" si="13">R5/3+X4</f>
        <v>13.333333333333334</v>
      </c>
      <c r="Y5" s="176">
        <f t="shared" ref="Y5:Y68" si="14">S5/3+Y4</f>
        <v>10.666666666666666</v>
      </c>
      <c r="Z5" s="201">
        <f t="shared" ref="Z5:Z68" si="15">T5/3+Z4</f>
        <v>2.6666666666666665</v>
      </c>
      <c r="AF5" s="47" t="s">
        <v>230</v>
      </c>
    </row>
    <row r="6" spans="2:51" x14ac:dyDescent="0.25">
      <c r="B6" s="73" t="s">
        <v>231</v>
      </c>
      <c r="C6" s="198" t="str">
        <f t="shared" si="2"/>
        <v>Q3</v>
      </c>
      <c r="D6" s="198">
        <f t="shared" si="3"/>
        <v>2017</v>
      </c>
      <c r="E6" s="179">
        <v>2130</v>
      </c>
      <c r="F6" s="176">
        <v>950</v>
      </c>
      <c r="G6" s="176">
        <v>1180</v>
      </c>
      <c r="H6" s="179">
        <v>10</v>
      </c>
      <c r="I6" s="176">
        <v>2</v>
      </c>
      <c r="J6" s="201">
        <v>8</v>
      </c>
      <c r="L6" s="177">
        <v>42795</v>
      </c>
      <c r="M6" s="55">
        <f t="shared" si="4"/>
        <v>2017</v>
      </c>
      <c r="N6" s="178" t="s">
        <v>227</v>
      </c>
      <c r="O6" s="179">
        <f t="shared" si="5"/>
        <v>1319</v>
      </c>
      <c r="P6" s="176">
        <f t="shared" si="6"/>
        <v>595</v>
      </c>
      <c r="Q6" s="176">
        <f t="shared" si="7"/>
        <v>724</v>
      </c>
      <c r="R6" s="179">
        <f t="shared" si="8"/>
        <v>20</v>
      </c>
      <c r="S6" s="176">
        <f t="shared" si="9"/>
        <v>16</v>
      </c>
      <c r="T6" s="201">
        <f t="shared" si="0"/>
        <v>4</v>
      </c>
      <c r="U6" s="179">
        <f t="shared" si="10"/>
        <v>1319</v>
      </c>
      <c r="V6" s="176">
        <f t="shared" si="11"/>
        <v>595</v>
      </c>
      <c r="W6" s="176">
        <f t="shared" si="12"/>
        <v>724</v>
      </c>
      <c r="X6" s="179">
        <f t="shared" si="13"/>
        <v>20</v>
      </c>
      <c r="Y6" s="176">
        <f t="shared" si="14"/>
        <v>16</v>
      </c>
      <c r="Z6" s="201">
        <f t="shared" si="15"/>
        <v>4</v>
      </c>
      <c r="AB6" s="47" t="s">
        <v>214</v>
      </c>
      <c r="AC6" s="47" t="s">
        <v>227</v>
      </c>
      <c r="AD6" s="47" t="str">
        <f>LEFT(AC6,2)</f>
        <v>Q1</v>
      </c>
      <c r="AE6" s="47">
        <f>VALUE(RIGHT(AC6,4))</f>
        <v>2017</v>
      </c>
      <c r="AF6" s="121">
        <v>168231</v>
      </c>
      <c r="AG6" s="121">
        <v>53466</v>
      </c>
      <c r="AH6" s="121">
        <v>31137</v>
      </c>
      <c r="AI6" s="121">
        <v>70807</v>
      </c>
      <c r="AJ6" s="121">
        <v>12821</v>
      </c>
      <c r="AK6" s="47">
        <v>595</v>
      </c>
      <c r="AL6" s="47">
        <v>414</v>
      </c>
      <c r="AM6" s="47">
        <v>0</v>
      </c>
      <c r="AN6" s="47">
        <v>181</v>
      </c>
      <c r="AO6" s="47">
        <v>0</v>
      </c>
      <c r="AP6" s="121">
        <v>1633</v>
      </c>
      <c r="AQ6" s="47">
        <v>918</v>
      </c>
      <c r="AR6" s="47">
        <v>0</v>
      </c>
      <c r="AS6" s="47">
        <v>715</v>
      </c>
      <c r="AT6" s="47">
        <v>0</v>
      </c>
      <c r="AU6" s="47">
        <v>724</v>
      </c>
      <c r="AV6" s="47">
        <v>627</v>
      </c>
      <c r="AW6" s="47">
        <v>0</v>
      </c>
      <c r="AX6" s="47">
        <v>88</v>
      </c>
      <c r="AY6" s="47">
        <v>9</v>
      </c>
    </row>
    <row r="7" spans="2:51" x14ac:dyDescent="0.25">
      <c r="B7" s="73" t="s">
        <v>232</v>
      </c>
      <c r="C7" s="198" t="str">
        <f t="shared" si="2"/>
        <v>Q4</v>
      </c>
      <c r="D7" s="198">
        <f t="shared" si="3"/>
        <v>2017</v>
      </c>
      <c r="E7" s="179">
        <v>2642</v>
      </c>
      <c r="F7" s="176">
        <v>1187</v>
      </c>
      <c r="G7" s="176">
        <v>1455</v>
      </c>
      <c r="H7" s="179">
        <v>20</v>
      </c>
      <c r="I7" s="176">
        <v>8</v>
      </c>
      <c r="J7" s="201">
        <v>12</v>
      </c>
      <c r="L7" s="177">
        <v>42826</v>
      </c>
      <c r="M7" s="55">
        <f t="shared" si="4"/>
        <v>2017</v>
      </c>
      <c r="N7" s="178" t="s">
        <v>229</v>
      </c>
      <c r="O7" s="179">
        <f t="shared" si="5"/>
        <v>2089</v>
      </c>
      <c r="P7" s="176">
        <f t="shared" si="6"/>
        <v>831</v>
      </c>
      <c r="Q7" s="176">
        <f t="shared" si="7"/>
        <v>1258</v>
      </c>
      <c r="R7" s="179">
        <f t="shared" si="8"/>
        <v>16</v>
      </c>
      <c r="S7" s="176">
        <f t="shared" si="9"/>
        <v>4</v>
      </c>
      <c r="T7" s="201">
        <f t="shared" si="0"/>
        <v>12</v>
      </c>
      <c r="U7" s="179">
        <f t="shared" si="10"/>
        <v>2015.3333333333335</v>
      </c>
      <c r="V7" s="176">
        <f t="shared" si="11"/>
        <v>872</v>
      </c>
      <c r="W7" s="176">
        <f t="shared" si="12"/>
        <v>1143.3333333333333</v>
      </c>
      <c r="X7" s="179">
        <f t="shared" si="13"/>
        <v>25.333333333333332</v>
      </c>
      <c r="Y7" s="176">
        <f t="shared" si="14"/>
        <v>17.333333333333332</v>
      </c>
      <c r="Z7" s="201">
        <f t="shared" si="15"/>
        <v>8</v>
      </c>
      <c r="AC7" s="47" t="s">
        <v>229</v>
      </c>
      <c r="AD7" s="47" t="str">
        <f t="shared" ref="AD7:AD37" si="16">LEFT(AC7,2)</f>
        <v>Q2</v>
      </c>
      <c r="AE7" s="47">
        <f t="shared" ref="AE7:AE37" si="17">VALUE(RIGHT(AC7,4))</f>
        <v>2017</v>
      </c>
      <c r="AF7" s="121">
        <v>234023</v>
      </c>
      <c r="AG7" s="121">
        <v>78186</v>
      </c>
      <c r="AH7" s="121">
        <v>43864</v>
      </c>
      <c r="AI7" s="121">
        <v>94987</v>
      </c>
      <c r="AJ7" s="121">
        <v>16986</v>
      </c>
      <c r="AK7" s="47">
        <v>831</v>
      </c>
      <c r="AL7" s="47">
        <v>604</v>
      </c>
      <c r="AM7" s="47">
        <v>0</v>
      </c>
      <c r="AN7" s="47">
        <v>227</v>
      </c>
      <c r="AO7" s="47">
        <v>0</v>
      </c>
      <c r="AP7" s="121">
        <v>2412</v>
      </c>
      <c r="AQ7" s="121">
        <v>1385</v>
      </c>
      <c r="AR7" s="47">
        <v>0</v>
      </c>
      <c r="AS7" s="121">
        <v>1027</v>
      </c>
      <c r="AT7" s="47">
        <v>0</v>
      </c>
      <c r="AU7" s="121">
        <v>1258</v>
      </c>
      <c r="AV7" s="47">
        <v>938</v>
      </c>
      <c r="AW7" s="47">
        <v>0</v>
      </c>
      <c r="AX7" s="47">
        <v>153</v>
      </c>
      <c r="AY7" s="47">
        <v>167</v>
      </c>
    </row>
    <row r="8" spans="2:51" x14ac:dyDescent="0.25">
      <c r="B8" s="73" t="s">
        <v>233</v>
      </c>
      <c r="C8" s="198" t="str">
        <f t="shared" si="2"/>
        <v>Q1</v>
      </c>
      <c r="D8" s="198">
        <f t="shared" si="3"/>
        <v>2018</v>
      </c>
      <c r="E8" s="179">
        <v>2748</v>
      </c>
      <c r="F8" s="176">
        <v>928</v>
      </c>
      <c r="G8" s="176">
        <v>1820</v>
      </c>
      <c r="H8" s="179">
        <v>28</v>
      </c>
      <c r="I8" s="176">
        <v>13</v>
      </c>
      <c r="J8" s="201">
        <v>15</v>
      </c>
      <c r="L8" s="177">
        <v>42856</v>
      </c>
      <c r="M8" s="55">
        <f t="shared" si="4"/>
        <v>2017</v>
      </c>
      <c r="N8" s="178" t="s">
        <v>229</v>
      </c>
      <c r="O8" s="179">
        <f t="shared" si="5"/>
        <v>2089</v>
      </c>
      <c r="P8" s="176">
        <f t="shared" si="6"/>
        <v>831</v>
      </c>
      <c r="Q8" s="176">
        <f t="shared" si="7"/>
        <v>1258</v>
      </c>
      <c r="R8" s="179">
        <f t="shared" si="8"/>
        <v>16</v>
      </c>
      <c r="S8" s="176">
        <f t="shared" si="9"/>
        <v>4</v>
      </c>
      <c r="T8" s="201">
        <f t="shared" si="0"/>
        <v>12</v>
      </c>
      <c r="U8" s="179">
        <f t="shared" si="10"/>
        <v>2711.666666666667</v>
      </c>
      <c r="V8" s="176">
        <f t="shared" si="11"/>
        <v>1149</v>
      </c>
      <c r="W8" s="176">
        <f t="shared" si="12"/>
        <v>1562.6666666666665</v>
      </c>
      <c r="X8" s="179">
        <f t="shared" si="13"/>
        <v>30.666666666666664</v>
      </c>
      <c r="Y8" s="176">
        <f t="shared" si="14"/>
        <v>18.666666666666664</v>
      </c>
      <c r="Z8" s="201">
        <f t="shared" si="15"/>
        <v>12</v>
      </c>
      <c r="AC8" s="47" t="s">
        <v>231</v>
      </c>
      <c r="AD8" s="47" t="str">
        <f t="shared" si="16"/>
        <v>Q3</v>
      </c>
      <c r="AE8" s="47">
        <f t="shared" si="17"/>
        <v>2017</v>
      </c>
      <c r="AF8" s="121">
        <v>219646</v>
      </c>
      <c r="AG8" s="121">
        <v>70145</v>
      </c>
      <c r="AH8" s="121">
        <v>38983</v>
      </c>
      <c r="AI8" s="121">
        <v>94541</v>
      </c>
      <c r="AJ8" s="121">
        <v>15977</v>
      </c>
      <c r="AK8" s="47">
        <v>950</v>
      </c>
      <c r="AL8" s="47">
        <v>685</v>
      </c>
      <c r="AM8" s="47">
        <v>0</v>
      </c>
      <c r="AN8" s="47">
        <v>265</v>
      </c>
      <c r="AO8" s="47">
        <v>0</v>
      </c>
      <c r="AP8" s="121">
        <v>2540</v>
      </c>
      <c r="AQ8" s="121">
        <v>1504</v>
      </c>
      <c r="AR8" s="47">
        <v>0</v>
      </c>
      <c r="AS8" s="121">
        <v>1036</v>
      </c>
      <c r="AT8" s="47">
        <v>0</v>
      </c>
      <c r="AU8" s="121">
        <v>1180</v>
      </c>
      <c r="AV8" s="47">
        <v>985</v>
      </c>
      <c r="AW8" s="47">
        <v>0</v>
      </c>
      <c r="AX8" s="47">
        <v>98</v>
      </c>
      <c r="AY8" s="47">
        <v>97</v>
      </c>
    </row>
    <row r="9" spans="2:51" x14ac:dyDescent="0.25">
      <c r="B9" s="73" t="s">
        <v>234</v>
      </c>
      <c r="C9" s="198" t="str">
        <f t="shared" si="2"/>
        <v>Q2</v>
      </c>
      <c r="D9" s="198">
        <f t="shared" si="3"/>
        <v>2018</v>
      </c>
      <c r="E9" s="179">
        <v>6946</v>
      </c>
      <c r="F9" s="176">
        <v>3615</v>
      </c>
      <c r="G9" s="176">
        <v>3331</v>
      </c>
      <c r="H9" s="179">
        <v>72</v>
      </c>
      <c r="I9" s="176">
        <v>34</v>
      </c>
      <c r="J9" s="201">
        <v>38</v>
      </c>
      <c r="L9" s="177">
        <v>42887</v>
      </c>
      <c r="M9" s="55">
        <f t="shared" si="4"/>
        <v>2017</v>
      </c>
      <c r="N9" s="178" t="s">
        <v>229</v>
      </c>
      <c r="O9" s="179">
        <f t="shared" si="5"/>
        <v>2089</v>
      </c>
      <c r="P9" s="176">
        <f t="shared" si="6"/>
        <v>831</v>
      </c>
      <c r="Q9" s="176">
        <f t="shared" si="7"/>
        <v>1258</v>
      </c>
      <c r="R9" s="179">
        <f t="shared" si="8"/>
        <v>16</v>
      </c>
      <c r="S9" s="176">
        <f t="shared" si="9"/>
        <v>4</v>
      </c>
      <c r="T9" s="201">
        <f t="shared" si="0"/>
        <v>12</v>
      </c>
      <c r="U9" s="179">
        <f t="shared" si="10"/>
        <v>3408.0000000000005</v>
      </c>
      <c r="V9" s="176">
        <f t="shared" si="11"/>
        <v>1426</v>
      </c>
      <c r="W9" s="176">
        <f t="shared" si="12"/>
        <v>1981.9999999999998</v>
      </c>
      <c r="X9" s="179">
        <f t="shared" si="13"/>
        <v>36</v>
      </c>
      <c r="Y9" s="176">
        <f t="shared" si="14"/>
        <v>19.999999999999996</v>
      </c>
      <c r="Z9" s="201">
        <f t="shared" si="15"/>
        <v>16</v>
      </c>
      <c r="AC9" s="47" t="s">
        <v>232</v>
      </c>
      <c r="AD9" s="47" t="str">
        <f t="shared" si="16"/>
        <v>Q4</v>
      </c>
      <c r="AE9" s="47">
        <f t="shared" si="17"/>
        <v>2017</v>
      </c>
      <c r="AF9" s="121">
        <v>179532</v>
      </c>
      <c r="AG9" s="121">
        <v>51455</v>
      </c>
      <c r="AH9" s="121">
        <v>30080</v>
      </c>
      <c r="AI9" s="121">
        <v>84930</v>
      </c>
      <c r="AJ9" s="121">
        <v>13067</v>
      </c>
      <c r="AK9" s="121">
        <v>1187</v>
      </c>
      <c r="AL9" s="47">
        <v>829</v>
      </c>
      <c r="AM9" s="47">
        <v>0</v>
      </c>
      <c r="AN9" s="47">
        <v>358</v>
      </c>
      <c r="AO9" s="47">
        <v>0</v>
      </c>
      <c r="AP9" s="121">
        <v>1998</v>
      </c>
      <c r="AQ9" s="121">
        <v>1115</v>
      </c>
      <c r="AR9" s="47">
        <v>0</v>
      </c>
      <c r="AS9" s="47">
        <v>883</v>
      </c>
      <c r="AT9" s="47">
        <v>0</v>
      </c>
      <c r="AU9" s="121">
        <v>1455</v>
      </c>
      <c r="AV9" s="121">
        <v>1109</v>
      </c>
      <c r="AW9" s="47">
        <v>0</v>
      </c>
      <c r="AX9" s="47">
        <v>97</v>
      </c>
      <c r="AY9" s="47">
        <v>249</v>
      </c>
    </row>
    <row r="10" spans="2:51" x14ac:dyDescent="0.25">
      <c r="B10" s="73" t="s">
        <v>235</v>
      </c>
      <c r="C10" s="198" t="str">
        <f t="shared" si="2"/>
        <v>Q3</v>
      </c>
      <c r="D10" s="198">
        <f t="shared" si="3"/>
        <v>2018</v>
      </c>
      <c r="E10" s="179">
        <v>5258</v>
      </c>
      <c r="F10" s="176">
        <v>2476</v>
      </c>
      <c r="G10" s="176">
        <v>2782</v>
      </c>
      <c r="H10" s="179">
        <v>34</v>
      </c>
      <c r="I10" s="176">
        <v>18</v>
      </c>
      <c r="J10" s="201">
        <v>16</v>
      </c>
      <c r="L10" s="177">
        <v>42917</v>
      </c>
      <c r="M10" s="55">
        <f t="shared" si="4"/>
        <v>2017</v>
      </c>
      <c r="N10" s="178" t="s">
        <v>231</v>
      </c>
      <c r="O10" s="179">
        <f t="shared" si="5"/>
        <v>2130</v>
      </c>
      <c r="P10" s="176">
        <f t="shared" si="6"/>
        <v>950</v>
      </c>
      <c r="Q10" s="176">
        <f t="shared" si="7"/>
        <v>1180</v>
      </c>
      <c r="R10" s="179">
        <f t="shared" si="8"/>
        <v>10</v>
      </c>
      <c r="S10" s="176">
        <f t="shared" si="9"/>
        <v>2</v>
      </c>
      <c r="T10" s="201">
        <f t="shared" si="0"/>
        <v>8</v>
      </c>
      <c r="U10" s="179">
        <f t="shared" si="10"/>
        <v>4118</v>
      </c>
      <c r="V10" s="176">
        <f t="shared" si="11"/>
        <v>1742.6666666666667</v>
      </c>
      <c r="W10" s="176">
        <f t="shared" si="12"/>
        <v>2375.333333333333</v>
      </c>
      <c r="X10" s="179">
        <f t="shared" si="13"/>
        <v>39.333333333333336</v>
      </c>
      <c r="Y10" s="176">
        <f t="shared" si="14"/>
        <v>20.666666666666664</v>
      </c>
      <c r="Z10" s="201">
        <f t="shared" si="15"/>
        <v>18.666666666666668</v>
      </c>
      <c r="AC10" s="47" t="s">
        <v>233</v>
      </c>
      <c r="AD10" s="47" t="str">
        <f t="shared" si="16"/>
        <v>Q1</v>
      </c>
      <c r="AE10" s="47">
        <f t="shared" si="17"/>
        <v>2018</v>
      </c>
      <c r="AF10" s="121">
        <v>165401</v>
      </c>
      <c r="AG10" s="121">
        <v>47845</v>
      </c>
      <c r="AH10" s="121">
        <v>28028</v>
      </c>
      <c r="AI10" s="121">
        <v>76236</v>
      </c>
      <c r="AJ10" s="121">
        <v>13292</v>
      </c>
      <c r="AK10" s="47">
        <v>928</v>
      </c>
      <c r="AL10" s="47">
        <v>754</v>
      </c>
      <c r="AM10" s="47">
        <v>0</v>
      </c>
      <c r="AN10" s="47">
        <v>174</v>
      </c>
      <c r="AO10" s="47">
        <v>0</v>
      </c>
      <c r="AP10" s="121">
        <v>1522</v>
      </c>
      <c r="AQ10" s="47">
        <v>749</v>
      </c>
      <c r="AR10" s="47">
        <v>0</v>
      </c>
      <c r="AS10" s="47">
        <v>773</v>
      </c>
      <c r="AT10" s="47">
        <v>0</v>
      </c>
      <c r="AU10" s="121">
        <v>1820</v>
      </c>
      <c r="AV10" s="121">
        <v>1252</v>
      </c>
      <c r="AW10" s="47">
        <v>0</v>
      </c>
      <c r="AX10" s="47">
        <v>359</v>
      </c>
      <c r="AY10" s="47">
        <v>209</v>
      </c>
    </row>
    <row r="11" spans="2:51" x14ac:dyDescent="0.25">
      <c r="B11" s="73" t="s">
        <v>236</v>
      </c>
      <c r="C11" s="198" t="str">
        <f t="shared" si="2"/>
        <v>Q4</v>
      </c>
      <c r="D11" s="198">
        <f t="shared" si="3"/>
        <v>2018</v>
      </c>
      <c r="E11" s="179">
        <v>1806</v>
      </c>
      <c r="F11" s="176">
        <v>1195</v>
      </c>
      <c r="G11" s="176">
        <v>611</v>
      </c>
      <c r="H11" s="179">
        <v>17</v>
      </c>
      <c r="I11" s="176">
        <v>11</v>
      </c>
      <c r="J11" s="201">
        <v>6</v>
      </c>
      <c r="L11" s="177">
        <v>42948</v>
      </c>
      <c r="M11" s="55">
        <f t="shared" si="4"/>
        <v>2017</v>
      </c>
      <c r="N11" s="178" t="s">
        <v>231</v>
      </c>
      <c r="O11" s="179">
        <f t="shared" si="5"/>
        <v>2130</v>
      </c>
      <c r="P11" s="176">
        <f t="shared" si="6"/>
        <v>950</v>
      </c>
      <c r="Q11" s="176">
        <f t="shared" si="7"/>
        <v>1180</v>
      </c>
      <c r="R11" s="179">
        <f t="shared" si="8"/>
        <v>10</v>
      </c>
      <c r="S11" s="176">
        <f t="shared" si="9"/>
        <v>2</v>
      </c>
      <c r="T11" s="201">
        <f t="shared" si="0"/>
        <v>8</v>
      </c>
      <c r="U11" s="179">
        <f t="shared" si="10"/>
        <v>4828</v>
      </c>
      <c r="V11" s="176">
        <f t="shared" si="11"/>
        <v>2059.3333333333335</v>
      </c>
      <c r="W11" s="176">
        <f t="shared" si="12"/>
        <v>2768.6666666666665</v>
      </c>
      <c r="X11" s="179">
        <f t="shared" si="13"/>
        <v>42.666666666666671</v>
      </c>
      <c r="Y11" s="176">
        <f t="shared" si="14"/>
        <v>21.333333333333332</v>
      </c>
      <c r="Z11" s="201">
        <f t="shared" si="15"/>
        <v>21.333333333333336</v>
      </c>
      <c r="AC11" s="47" t="s">
        <v>234</v>
      </c>
      <c r="AD11" s="47" t="str">
        <f t="shared" si="16"/>
        <v>Q2</v>
      </c>
      <c r="AE11" s="47">
        <f t="shared" si="17"/>
        <v>2018</v>
      </c>
      <c r="AF11" s="121">
        <v>239898</v>
      </c>
      <c r="AG11" s="121">
        <v>77454</v>
      </c>
      <c r="AH11" s="121">
        <v>41155</v>
      </c>
      <c r="AI11" s="121">
        <v>105166</v>
      </c>
      <c r="AJ11" s="121">
        <v>16123</v>
      </c>
      <c r="AK11" s="121">
        <v>3615</v>
      </c>
      <c r="AL11" s="121">
        <v>3303</v>
      </c>
      <c r="AM11" s="47">
        <v>0</v>
      </c>
      <c r="AN11" s="47">
        <v>312</v>
      </c>
      <c r="AO11" s="47">
        <v>0</v>
      </c>
      <c r="AP11" s="121">
        <v>2759</v>
      </c>
      <c r="AQ11" s="121">
        <v>1464</v>
      </c>
      <c r="AR11" s="47">
        <v>0</v>
      </c>
      <c r="AS11" s="121">
        <v>1295</v>
      </c>
      <c r="AT11" s="47">
        <v>0</v>
      </c>
      <c r="AU11" s="121">
        <v>3331</v>
      </c>
      <c r="AV11" s="121">
        <v>2216</v>
      </c>
      <c r="AW11" s="47">
        <v>0</v>
      </c>
      <c r="AX11" s="47">
        <v>707</v>
      </c>
      <c r="AY11" s="47">
        <v>408</v>
      </c>
    </row>
    <row r="12" spans="2:51" x14ac:dyDescent="0.25">
      <c r="B12" s="73" t="s">
        <v>237</v>
      </c>
      <c r="C12" s="198" t="str">
        <f t="shared" si="2"/>
        <v>Q1</v>
      </c>
      <c r="D12" s="198">
        <f t="shared" si="3"/>
        <v>2019</v>
      </c>
      <c r="E12" s="179">
        <v>1342</v>
      </c>
      <c r="F12" s="176">
        <v>849</v>
      </c>
      <c r="G12" s="176">
        <v>493</v>
      </c>
      <c r="H12" s="179">
        <v>11</v>
      </c>
      <c r="I12" s="176">
        <v>4</v>
      </c>
      <c r="J12" s="201">
        <v>7</v>
      </c>
      <c r="L12" s="177">
        <v>42979</v>
      </c>
      <c r="M12" s="55">
        <f t="shared" si="4"/>
        <v>2017</v>
      </c>
      <c r="N12" s="178" t="s">
        <v>231</v>
      </c>
      <c r="O12" s="179">
        <f t="shared" si="5"/>
        <v>2130</v>
      </c>
      <c r="P12" s="176">
        <f t="shared" si="6"/>
        <v>950</v>
      </c>
      <c r="Q12" s="176">
        <f t="shared" si="7"/>
        <v>1180</v>
      </c>
      <c r="R12" s="179">
        <f t="shared" si="8"/>
        <v>10</v>
      </c>
      <c r="S12" s="176">
        <f t="shared" si="9"/>
        <v>2</v>
      </c>
      <c r="T12" s="201">
        <f t="shared" si="0"/>
        <v>8</v>
      </c>
      <c r="U12" s="179">
        <f t="shared" si="10"/>
        <v>5538</v>
      </c>
      <c r="V12" s="176">
        <f t="shared" si="11"/>
        <v>2376</v>
      </c>
      <c r="W12" s="176">
        <f t="shared" si="12"/>
        <v>3162</v>
      </c>
      <c r="X12" s="179">
        <f t="shared" si="13"/>
        <v>46.000000000000007</v>
      </c>
      <c r="Y12" s="176">
        <f t="shared" si="14"/>
        <v>22</v>
      </c>
      <c r="Z12" s="201">
        <f t="shared" si="15"/>
        <v>24.000000000000004</v>
      </c>
      <c r="AC12" s="47" t="s">
        <v>235</v>
      </c>
      <c r="AD12" s="47" t="str">
        <f t="shared" si="16"/>
        <v>Q3</v>
      </c>
      <c r="AE12" s="47">
        <f t="shared" si="17"/>
        <v>2018</v>
      </c>
      <c r="AF12" s="121">
        <v>218772</v>
      </c>
      <c r="AG12" s="121">
        <v>65753</v>
      </c>
      <c r="AH12" s="121">
        <v>36873</v>
      </c>
      <c r="AI12" s="121">
        <v>101715</v>
      </c>
      <c r="AJ12" s="121">
        <v>14431</v>
      </c>
      <c r="AK12" s="121">
        <v>2476</v>
      </c>
      <c r="AL12" s="121">
        <v>2212</v>
      </c>
      <c r="AM12" s="47">
        <v>0</v>
      </c>
      <c r="AN12" s="47">
        <v>264</v>
      </c>
      <c r="AO12" s="47">
        <v>0</v>
      </c>
      <c r="AP12" s="121">
        <v>2598</v>
      </c>
      <c r="AQ12" s="121">
        <v>1342</v>
      </c>
      <c r="AR12" s="47">
        <v>0</v>
      </c>
      <c r="AS12" s="121">
        <v>1256</v>
      </c>
      <c r="AT12" s="47">
        <v>0</v>
      </c>
      <c r="AU12" s="121">
        <v>2782</v>
      </c>
      <c r="AV12" s="121">
        <v>1679</v>
      </c>
      <c r="AW12" s="47">
        <v>0</v>
      </c>
      <c r="AX12" s="47">
        <v>890</v>
      </c>
      <c r="AY12" s="47">
        <v>213</v>
      </c>
    </row>
    <row r="13" spans="2:51" x14ac:dyDescent="0.25">
      <c r="B13" s="73" t="s">
        <v>238</v>
      </c>
      <c r="C13" s="198" t="str">
        <f t="shared" si="2"/>
        <v>Q2</v>
      </c>
      <c r="D13" s="198">
        <f t="shared" si="3"/>
        <v>2019</v>
      </c>
      <c r="E13" s="179">
        <v>2878</v>
      </c>
      <c r="F13" s="176">
        <v>1994</v>
      </c>
      <c r="G13" s="176">
        <v>884</v>
      </c>
      <c r="H13" s="179">
        <v>22</v>
      </c>
      <c r="I13" s="176">
        <v>18</v>
      </c>
      <c r="J13" s="201">
        <v>4</v>
      </c>
      <c r="L13" s="177">
        <v>43009</v>
      </c>
      <c r="M13" s="55">
        <f t="shared" si="4"/>
        <v>2017</v>
      </c>
      <c r="N13" s="178" t="s">
        <v>232</v>
      </c>
      <c r="O13" s="179">
        <f t="shared" si="5"/>
        <v>2642</v>
      </c>
      <c r="P13" s="176">
        <f t="shared" si="6"/>
        <v>1187</v>
      </c>
      <c r="Q13" s="176">
        <f t="shared" si="7"/>
        <v>1455</v>
      </c>
      <c r="R13" s="179">
        <f t="shared" si="8"/>
        <v>20</v>
      </c>
      <c r="S13" s="176">
        <f t="shared" si="9"/>
        <v>8</v>
      </c>
      <c r="T13" s="201">
        <f t="shared" si="0"/>
        <v>12</v>
      </c>
      <c r="U13" s="179">
        <f t="shared" si="10"/>
        <v>6418.666666666667</v>
      </c>
      <c r="V13" s="176">
        <f t="shared" si="11"/>
        <v>2771.6666666666665</v>
      </c>
      <c r="W13" s="176">
        <f t="shared" si="12"/>
        <v>3647</v>
      </c>
      <c r="X13" s="179">
        <f t="shared" si="13"/>
        <v>52.666666666666671</v>
      </c>
      <c r="Y13" s="176">
        <f t="shared" si="14"/>
        <v>24.666666666666668</v>
      </c>
      <c r="Z13" s="201">
        <f t="shared" si="15"/>
        <v>28.000000000000004</v>
      </c>
      <c r="AC13" s="47" t="s">
        <v>236</v>
      </c>
      <c r="AD13" s="47" t="str">
        <f t="shared" si="16"/>
        <v>Q4</v>
      </c>
      <c r="AE13" s="47">
        <f t="shared" si="17"/>
        <v>2018</v>
      </c>
      <c r="AF13" s="121">
        <v>174495</v>
      </c>
      <c r="AG13" s="121">
        <v>49473</v>
      </c>
      <c r="AH13" s="121">
        <v>29305</v>
      </c>
      <c r="AI13" s="121">
        <v>85107</v>
      </c>
      <c r="AJ13" s="121">
        <v>10610</v>
      </c>
      <c r="AK13" s="121">
        <v>1195</v>
      </c>
      <c r="AL13" s="121">
        <v>1042</v>
      </c>
      <c r="AM13" s="47">
        <v>0</v>
      </c>
      <c r="AN13" s="47">
        <v>153</v>
      </c>
      <c r="AO13" s="47">
        <v>0</v>
      </c>
      <c r="AP13" s="121">
        <v>2393</v>
      </c>
      <c r="AQ13" s="121">
        <v>1176</v>
      </c>
      <c r="AR13" s="47">
        <v>0</v>
      </c>
      <c r="AS13" s="121">
        <v>1217</v>
      </c>
      <c r="AT13" s="47">
        <v>0</v>
      </c>
      <c r="AU13" s="47">
        <v>611</v>
      </c>
      <c r="AV13" s="47">
        <v>370</v>
      </c>
      <c r="AW13" s="47">
        <v>0</v>
      </c>
      <c r="AX13" s="47">
        <v>196</v>
      </c>
      <c r="AY13" s="47">
        <v>45</v>
      </c>
    </row>
    <row r="14" spans="2:51" x14ac:dyDescent="0.25">
      <c r="B14" s="73" t="s">
        <v>239</v>
      </c>
      <c r="C14" s="198" t="str">
        <f t="shared" si="2"/>
        <v>Q3</v>
      </c>
      <c r="D14" s="198">
        <f t="shared" si="3"/>
        <v>2019</v>
      </c>
      <c r="E14" s="179">
        <v>3148</v>
      </c>
      <c r="F14" s="176">
        <v>2180</v>
      </c>
      <c r="G14" s="176">
        <v>968</v>
      </c>
      <c r="H14" s="179">
        <v>26</v>
      </c>
      <c r="I14" s="176">
        <v>21</v>
      </c>
      <c r="J14" s="201">
        <v>5</v>
      </c>
      <c r="L14" s="177">
        <v>43040</v>
      </c>
      <c r="M14" s="55">
        <f t="shared" si="4"/>
        <v>2017</v>
      </c>
      <c r="N14" s="178" t="s">
        <v>232</v>
      </c>
      <c r="O14" s="179">
        <f t="shared" si="5"/>
        <v>2642</v>
      </c>
      <c r="P14" s="176">
        <f t="shared" si="6"/>
        <v>1187</v>
      </c>
      <c r="Q14" s="176">
        <f t="shared" si="7"/>
        <v>1455</v>
      </c>
      <c r="R14" s="179">
        <f t="shared" si="8"/>
        <v>20</v>
      </c>
      <c r="S14" s="176">
        <f t="shared" si="9"/>
        <v>8</v>
      </c>
      <c r="T14" s="201">
        <f t="shared" si="0"/>
        <v>12</v>
      </c>
      <c r="U14" s="179">
        <f t="shared" si="10"/>
        <v>7299.3333333333339</v>
      </c>
      <c r="V14" s="176">
        <f t="shared" si="11"/>
        <v>3167.333333333333</v>
      </c>
      <c r="W14" s="176">
        <f t="shared" si="12"/>
        <v>4132</v>
      </c>
      <c r="X14" s="179">
        <f t="shared" si="13"/>
        <v>59.333333333333336</v>
      </c>
      <c r="Y14" s="176">
        <f t="shared" si="14"/>
        <v>27.333333333333336</v>
      </c>
      <c r="Z14" s="201">
        <f t="shared" si="15"/>
        <v>32</v>
      </c>
      <c r="AC14" s="47" t="s">
        <v>237</v>
      </c>
      <c r="AD14" s="47" t="str">
        <f t="shared" si="16"/>
        <v>Q1</v>
      </c>
      <c r="AE14" s="47">
        <f t="shared" si="17"/>
        <v>2019</v>
      </c>
      <c r="AF14" s="121">
        <v>168957</v>
      </c>
      <c r="AG14" s="121">
        <v>44428</v>
      </c>
      <c r="AH14" s="121">
        <v>28460</v>
      </c>
      <c r="AI14" s="121">
        <v>83778</v>
      </c>
      <c r="AJ14" s="121">
        <v>12291</v>
      </c>
      <c r="AK14" s="47">
        <v>849</v>
      </c>
      <c r="AL14" s="47">
        <v>564</v>
      </c>
      <c r="AM14" s="47">
        <v>0</v>
      </c>
      <c r="AN14" s="47">
        <v>285</v>
      </c>
      <c r="AO14" s="47">
        <v>0</v>
      </c>
      <c r="AP14" s="121">
        <v>2648</v>
      </c>
      <c r="AQ14" s="121">
        <v>1907</v>
      </c>
      <c r="AR14" s="47">
        <v>0</v>
      </c>
      <c r="AS14" s="47">
        <v>741</v>
      </c>
      <c r="AT14" s="47">
        <v>0</v>
      </c>
      <c r="AU14" s="47">
        <v>493</v>
      </c>
      <c r="AV14" s="47">
        <v>280</v>
      </c>
      <c r="AW14" s="47">
        <v>0</v>
      </c>
      <c r="AX14" s="47">
        <v>189</v>
      </c>
      <c r="AY14" s="47">
        <v>24</v>
      </c>
    </row>
    <row r="15" spans="2:51" x14ac:dyDescent="0.25">
      <c r="B15" s="73" t="s">
        <v>240</v>
      </c>
      <c r="C15" s="198" t="str">
        <f t="shared" si="2"/>
        <v>Q4</v>
      </c>
      <c r="D15" s="198">
        <f t="shared" si="3"/>
        <v>2019</v>
      </c>
      <c r="E15" s="179">
        <v>2394</v>
      </c>
      <c r="F15" s="176">
        <v>1538</v>
      </c>
      <c r="G15" s="176">
        <v>856</v>
      </c>
      <c r="H15" s="179">
        <v>31</v>
      </c>
      <c r="I15" s="176">
        <v>20</v>
      </c>
      <c r="J15" s="201">
        <v>11</v>
      </c>
      <c r="L15" s="177">
        <v>43070</v>
      </c>
      <c r="M15" s="55">
        <f t="shared" si="4"/>
        <v>2017</v>
      </c>
      <c r="N15" s="178" t="s">
        <v>232</v>
      </c>
      <c r="O15" s="179">
        <f t="shared" si="5"/>
        <v>2642</v>
      </c>
      <c r="P15" s="176">
        <f t="shared" si="6"/>
        <v>1187</v>
      </c>
      <c r="Q15" s="176">
        <f t="shared" si="7"/>
        <v>1455</v>
      </c>
      <c r="R15" s="179">
        <f t="shared" si="8"/>
        <v>20</v>
      </c>
      <c r="S15" s="176">
        <f t="shared" si="9"/>
        <v>8</v>
      </c>
      <c r="T15" s="201">
        <f t="shared" si="0"/>
        <v>12</v>
      </c>
      <c r="U15" s="179">
        <f t="shared" si="10"/>
        <v>8180.0000000000009</v>
      </c>
      <c r="V15" s="176">
        <f t="shared" si="11"/>
        <v>3562.9999999999995</v>
      </c>
      <c r="W15" s="176">
        <f t="shared" si="12"/>
        <v>4617</v>
      </c>
      <c r="X15" s="179">
        <f t="shared" si="13"/>
        <v>66</v>
      </c>
      <c r="Y15" s="176">
        <f t="shared" si="14"/>
        <v>30.000000000000004</v>
      </c>
      <c r="Z15" s="201">
        <f t="shared" si="15"/>
        <v>36</v>
      </c>
      <c r="AC15" s="47" t="s">
        <v>238</v>
      </c>
      <c r="AD15" s="47" t="str">
        <f t="shared" si="16"/>
        <v>Q2</v>
      </c>
      <c r="AE15" s="47">
        <f t="shared" si="17"/>
        <v>2019</v>
      </c>
      <c r="AF15" s="121">
        <v>222798</v>
      </c>
      <c r="AG15" s="121">
        <v>62600</v>
      </c>
      <c r="AH15" s="121">
        <v>40636</v>
      </c>
      <c r="AI15" s="121">
        <v>105628</v>
      </c>
      <c r="AJ15" s="121">
        <v>13934</v>
      </c>
      <c r="AK15" s="121">
        <v>1994</v>
      </c>
      <c r="AL15" s="121">
        <v>1658</v>
      </c>
      <c r="AM15" s="47">
        <v>0</v>
      </c>
      <c r="AN15" s="47">
        <v>336</v>
      </c>
      <c r="AO15" s="47">
        <v>0</v>
      </c>
      <c r="AP15" s="121">
        <v>4327</v>
      </c>
      <c r="AQ15" s="121">
        <v>1862</v>
      </c>
      <c r="AR15" s="47">
        <v>0</v>
      </c>
      <c r="AS15" s="121">
        <v>2465</v>
      </c>
      <c r="AT15" s="47">
        <v>0</v>
      </c>
      <c r="AU15" s="47">
        <v>884</v>
      </c>
      <c r="AV15" s="47">
        <v>498</v>
      </c>
      <c r="AW15" s="47">
        <v>0</v>
      </c>
      <c r="AX15" s="47">
        <v>349</v>
      </c>
      <c r="AY15" s="47">
        <v>37</v>
      </c>
    </row>
    <row r="16" spans="2:51" x14ac:dyDescent="0.25">
      <c r="B16" s="73" t="s">
        <v>241</v>
      </c>
      <c r="C16" s="198" t="str">
        <f t="shared" si="2"/>
        <v>Q1</v>
      </c>
      <c r="D16" s="198">
        <f t="shared" si="3"/>
        <v>2020</v>
      </c>
      <c r="E16" s="179">
        <v>2102</v>
      </c>
      <c r="F16" s="176">
        <v>1554</v>
      </c>
      <c r="G16" s="176">
        <v>548</v>
      </c>
      <c r="H16" s="179">
        <v>19</v>
      </c>
      <c r="I16" s="176">
        <v>16</v>
      </c>
      <c r="J16" s="201">
        <v>3</v>
      </c>
      <c r="L16" s="177">
        <v>43101</v>
      </c>
      <c r="M16" s="55">
        <f t="shared" si="4"/>
        <v>2018</v>
      </c>
      <c r="N16" s="178" t="s">
        <v>233</v>
      </c>
      <c r="O16" s="179">
        <f t="shared" si="5"/>
        <v>2748</v>
      </c>
      <c r="P16" s="176">
        <f t="shared" si="6"/>
        <v>928</v>
      </c>
      <c r="Q16" s="176">
        <f t="shared" si="7"/>
        <v>1820</v>
      </c>
      <c r="R16" s="179">
        <f t="shared" si="8"/>
        <v>28</v>
      </c>
      <c r="S16" s="176">
        <f t="shared" si="9"/>
        <v>13</v>
      </c>
      <c r="T16" s="201">
        <f t="shared" si="0"/>
        <v>15</v>
      </c>
      <c r="U16" s="179">
        <f t="shared" si="10"/>
        <v>9096</v>
      </c>
      <c r="V16" s="176">
        <f t="shared" si="11"/>
        <v>3872.333333333333</v>
      </c>
      <c r="W16" s="176">
        <f t="shared" si="12"/>
        <v>5223.666666666667</v>
      </c>
      <c r="X16" s="179">
        <f t="shared" si="13"/>
        <v>75.333333333333329</v>
      </c>
      <c r="Y16" s="176">
        <f t="shared" si="14"/>
        <v>34.333333333333336</v>
      </c>
      <c r="Z16" s="201">
        <f t="shared" si="15"/>
        <v>41</v>
      </c>
      <c r="AC16" s="47" t="s">
        <v>239</v>
      </c>
      <c r="AD16" s="47" t="str">
        <f t="shared" si="16"/>
        <v>Q3</v>
      </c>
      <c r="AE16" s="47">
        <f t="shared" si="17"/>
        <v>2019</v>
      </c>
      <c r="AF16" s="121">
        <v>219577</v>
      </c>
      <c r="AG16" s="121">
        <v>56213</v>
      </c>
      <c r="AH16" s="121">
        <v>42340</v>
      </c>
      <c r="AI16" s="121">
        <v>108105</v>
      </c>
      <c r="AJ16" s="121">
        <v>12919</v>
      </c>
      <c r="AK16" s="121">
        <v>2180</v>
      </c>
      <c r="AL16" s="121">
        <v>1844</v>
      </c>
      <c r="AM16" s="47">
        <v>0</v>
      </c>
      <c r="AN16" s="47">
        <v>336</v>
      </c>
      <c r="AO16" s="47">
        <v>0</v>
      </c>
      <c r="AP16" s="121">
        <v>3982</v>
      </c>
      <c r="AQ16" s="121">
        <v>2150</v>
      </c>
      <c r="AR16" s="47">
        <v>0</v>
      </c>
      <c r="AS16" s="121">
        <v>1832</v>
      </c>
      <c r="AT16" s="47">
        <v>0</v>
      </c>
      <c r="AU16" s="47">
        <v>968</v>
      </c>
      <c r="AV16" s="47">
        <v>644</v>
      </c>
      <c r="AW16" s="47">
        <v>0</v>
      </c>
      <c r="AX16" s="47">
        <v>306</v>
      </c>
      <c r="AY16" s="47">
        <v>18</v>
      </c>
    </row>
    <row r="17" spans="2:51" x14ac:dyDescent="0.25">
      <c r="B17" s="73" t="s">
        <v>242</v>
      </c>
      <c r="C17" s="198" t="str">
        <f t="shared" si="2"/>
        <v>Q2</v>
      </c>
      <c r="D17" s="198">
        <f t="shared" si="3"/>
        <v>2020</v>
      </c>
      <c r="E17" s="179">
        <v>1640</v>
      </c>
      <c r="F17" s="176">
        <v>1217</v>
      </c>
      <c r="G17" s="176">
        <v>423</v>
      </c>
      <c r="H17" s="179">
        <v>13</v>
      </c>
      <c r="I17" s="176">
        <v>8</v>
      </c>
      <c r="J17" s="201">
        <v>5</v>
      </c>
      <c r="L17" s="177">
        <v>43132</v>
      </c>
      <c r="M17" s="55">
        <f t="shared" si="4"/>
        <v>2018</v>
      </c>
      <c r="N17" s="178" t="s">
        <v>233</v>
      </c>
      <c r="O17" s="179">
        <f t="shared" si="5"/>
        <v>2748</v>
      </c>
      <c r="P17" s="176">
        <f t="shared" si="6"/>
        <v>928</v>
      </c>
      <c r="Q17" s="176">
        <f t="shared" si="7"/>
        <v>1820</v>
      </c>
      <c r="R17" s="179">
        <f t="shared" si="8"/>
        <v>28</v>
      </c>
      <c r="S17" s="176">
        <f t="shared" si="9"/>
        <v>13</v>
      </c>
      <c r="T17" s="201">
        <f t="shared" si="0"/>
        <v>15</v>
      </c>
      <c r="U17" s="179">
        <f t="shared" si="10"/>
        <v>10012</v>
      </c>
      <c r="V17" s="176">
        <f t="shared" si="11"/>
        <v>4181.6666666666661</v>
      </c>
      <c r="W17" s="176">
        <f t="shared" si="12"/>
        <v>5830.3333333333339</v>
      </c>
      <c r="X17" s="179">
        <f t="shared" si="13"/>
        <v>84.666666666666657</v>
      </c>
      <c r="Y17" s="176">
        <f t="shared" si="14"/>
        <v>38.666666666666671</v>
      </c>
      <c r="Z17" s="201">
        <f t="shared" si="15"/>
        <v>46</v>
      </c>
      <c r="AC17" s="47" t="s">
        <v>240</v>
      </c>
      <c r="AD17" s="47" t="str">
        <f t="shared" si="16"/>
        <v>Q4</v>
      </c>
      <c r="AE17" s="47">
        <f t="shared" si="17"/>
        <v>2019</v>
      </c>
      <c r="AF17" s="121">
        <v>184747</v>
      </c>
      <c r="AG17" s="121">
        <v>42523</v>
      </c>
      <c r="AH17" s="121">
        <v>33225</v>
      </c>
      <c r="AI17" s="121">
        <v>98451</v>
      </c>
      <c r="AJ17" s="121">
        <v>10548</v>
      </c>
      <c r="AK17" s="121">
        <v>1538</v>
      </c>
      <c r="AL17" s="121">
        <v>1194</v>
      </c>
      <c r="AM17" s="47">
        <v>0</v>
      </c>
      <c r="AN17" s="47">
        <v>344</v>
      </c>
      <c r="AO17" s="47">
        <v>0</v>
      </c>
      <c r="AP17" s="121">
        <v>3507</v>
      </c>
      <c r="AQ17" s="121">
        <v>1792</v>
      </c>
      <c r="AR17" s="47">
        <v>0</v>
      </c>
      <c r="AS17" s="121">
        <v>1715</v>
      </c>
      <c r="AT17" s="47">
        <v>0</v>
      </c>
      <c r="AU17" s="47">
        <v>856</v>
      </c>
      <c r="AV17" s="47">
        <v>442</v>
      </c>
      <c r="AW17" s="47">
        <v>0</v>
      </c>
      <c r="AX17" s="47">
        <v>401</v>
      </c>
      <c r="AY17" s="47">
        <v>13</v>
      </c>
    </row>
    <row r="18" spans="2:51" x14ac:dyDescent="0.25">
      <c r="B18" s="73" t="s">
        <v>243</v>
      </c>
      <c r="C18" s="198" t="str">
        <f t="shared" si="2"/>
        <v>Q3</v>
      </c>
      <c r="D18" s="198">
        <f t="shared" si="3"/>
        <v>2020</v>
      </c>
      <c r="E18" s="179">
        <v>3296</v>
      </c>
      <c r="F18" s="176">
        <v>2554</v>
      </c>
      <c r="G18" s="176">
        <v>742</v>
      </c>
      <c r="H18" s="179">
        <v>18</v>
      </c>
      <c r="I18" s="176">
        <v>17</v>
      </c>
      <c r="J18" s="201">
        <v>1</v>
      </c>
      <c r="L18" s="177">
        <v>43160</v>
      </c>
      <c r="M18" s="55">
        <f t="shared" si="4"/>
        <v>2018</v>
      </c>
      <c r="N18" s="178" t="s">
        <v>233</v>
      </c>
      <c r="O18" s="179">
        <f t="shared" si="5"/>
        <v>2748</v>
      </c>
      <c r="P18" s="176">
        <f t="shared" si="6"/>
        <v>928</v>
      </c>
      <c r="Q18" s="176">
        <f t="shared" si="7"/>
        <v>1820</v>
      </c>
      <c r="R18" s="179">
        <f t="shared" si="8"/>
        <v>28</v>
      </c>
      <c r="S18" s="176">
        <f t="shared" si="9"/>
        <v>13</v>
      </c>
      <c r="T18" s="201">
        <f t="shared" si="0"/>
        <v>15</v>
      </c>
      <c r="U18" s="179">
        <f t="shared" si="10"/>
        <v>10928</v>
      </c>
      <c r="V18" s="176">
        <f t="shared" si="11"/>
        <v>4490.9999999999991</v>
      </c>
      <c r="W18" s="176">
        <f t="shared" si="12"/>
        <v>6437.0000000000009</v>
      </c>
      <c r="X18" s="179">
        <f t="shared" si="13"/>
        <v>93.999999999999986</v>
      </c>
      <c r="Y18" s="176">
        <f t="shared" si="14"/>
        <v>43.000000000000007</v>
      </c>
      <c r="Z18" s="201">
        <f t="shared" si="15"/>
        <v>51</v>
      </c>
      <c r="AC18" s="47" t="s">
        <v>241</v>
      </c>
      <c r="AD18" s="47" t="str">
        <f t="shared" si="16"/>
        <v>Q1</v>
      </c>
      <c r="AE18" s="47">
        <f t="shared" si="17"/>
        <v>2020</v>
      </c>
      <c r="AF18" s="121">
        <v>139116</v>
      </c>
      <c r="AG18" s="121">
        <v>30723</v>
      </c>
      <c r="AH18" s="121">
        <v>30242</v>
      </c>
      <c r="AI18" s="121">
        <v>69100</v>
      </c>
      <c r="AJ18" s="121">
        <v>9051</v>
      </c>
      <c r="AK18" s="121">
        <v>1554</v>
      </c>
      <c r="AL18" s="121">
        <v>1259</v>
      </c>
      <c r="AM18" s="47">
        <v>0</v>
      </c>
      <c r="AN18" s="47">
        <v>295</v>
      </c>
      <c r="AO18" s="47">
        <v>0</v>
      </c>
      <c r="AP18" s="121">
        <v>3365</v>
      </c>
      <c r="AQ18" s="121">
        <v>1523</v>
      </c>
      <c r="AR18" s="47">
        <v>0</v>
      </c>
      <c r="AS18" s="121">
        <v>1842</v>
      </c>
      <c r="AT18" s="47">
        <v>0</v>
      </c>
      <c r="AU18" s="47">
        <v>548</v>
      </c>
      <c r="AV18" s="47">
        <v>280</v>
      </c>
      <c r="AW18" s="47">
        <v>0</v>
      </c>
      <c r="AX18" s="47">
        <v>228</v>
      </c>
      <c r="AY18" s="47">
        <v>40</v>
      </c>
    </row>
    <row r="19" spans="2:51" x14ac:dyDescent="0.25">
      <c r="B19" s="73" t="s">
        <v>244</v>
      </c>
      <c r="C19" s="198" t="str">
        <f t="shared" si="2"/>
        <v>Q4</v>
      </c>
      <c r="D19" s="198">
        <f t="shared" si="3"/>
        <v>2020</v>
      </c>
      <c r="E19" s="179">
        <v>3477</v>
      </c>
      <c r="F19" s="176">
        <v>2833</v>
      </c>
      <c r="G19" s="176">
        <v>644</v>
      </c>
      <c r="H19" s="179">
        <v>28</v>
      </c>
      <c r="I19" s="176">
        <v>20</v>
      </c>
      <c r="J19" s="201">
        <v>8</v>
      </c>
      <c r="L19" s="177">
        <v>43191</v>
      </c>
      <c r="M19" s="55">
        <f t="shared" si="4"/>
        <v>2018</v>
      </c>
      <c r="N19" s="178" t="s">
        <v>234</v>
      </c>
      <c r="O19" s="179">
        <f t="shared" si="5"/>
        <v>6946</v>
      </c>
      <c r="P19" s="176">
        <f t="shared" si="6"/>
        <v>3615</v>
      </c>
      <c r="Q19" s="176">
        <f t="shared" si="7"/>
        <v>3331</v>
      </c>
      <c r="R19" s="179">
        <f t="shared" si="8"/>
        <v>72</v>
      </c>
      <c r="S19" s="176">
        <f t="shared" si="9"/>
        <v>34</v>
      </c>
      <c r="T19" s="201">
        <f t="shared" si="0"/>
        <v>38</v>
      </c>
      <c r="U19" s="179">
        <f t="shared" si="10"/>
        <v>13243.333333333334</v>
      </c>
      <c r="V19" s="176">
        <f t="shared" si="11"/>
        <v>5695.9999999999991</v>
      </c>
      <c r="W19" s="176">
        <f t="shared" si="12"/>
        <v>7547.3333333333339</v>
      </c>
      <c r="X19" s="179">
        <f t="shared" si="13"/>
        <v>117.99999999999999</v>
      </c>
      <c r="Y19" s="176">
        <f t="shared" si="14"/>
        <v>54.333333333333343</v>
      </c>
      <c r="Z19" s="201">
        <f t="shared" si="15"/>
        <v>63.666666666666664</v>
      </c>
      <c r="AC19" s="47" t="s">
        <v>242</v>
      </c>
      <c r="AD19" s="47" t="str">
        <f t="shared" si="16"/>
        <v>Q2</v>
      </c>
      <c r="AE19" s="47">
        <f t="shared" si="17"/>
        <v>2020</v>
      </c>
      <c r="AF19" s="121">
        <v>109197</v>
      </c>
      <c r="AG19" s="121">
        <v>23550</v>
      </c>
      <c r="AH19" s="121">
        <v>25679</v>
      </c>
      <c r="AI19" s="121">
        <v>53780</v>
      </c>
      <c r="AJ19" s="121">
        <v>6188</v>
      </c>
      <c r="AK19" s="121">
        <v>1217</v>
      </c>
      <c r="AL19" s="47">
        <v>819</v>
      </c>
      <c r="AM19" s="47">
        <v>0</v>
      </c>
      <c r="AN19" s="47">
        <v>398</v>
      </c>
      <c r="AO19" s="47">
        <v>0</v>
      </c>
      <c r="AP19" s="121">
        <v>2612</v>
      </c>
      <c r="AQ19" s="47">
        <v>978</v>
      </c>
      <c r="AR19" s="47">
        <v>0</v>
      </c>
      <c r="AS19" s="121">
        <v>1634</v>
      </c>
      <c r="AT19" s="47">
        <v>0</v>
      </c>
      <c r="AU19" s="47">
        <v>423</v>
      </c>
      <c r="AV19" s="47">
        <v>191</v>
      </c>
      <c r="AW19" s="47">
        <v>0</v>
      </c>
      <c r="AX19" s="47">
        <v>211</v>
      </c>
      <c r="AY19" s="47">
        <v>21</v>
      </c>
    </row>
    <row r="20" spans="2:51" x14ac:dyDescent="0.25">
      <c r="B20" s="73" t="s">
        <v>245</v>
      </c>
      <c r="C20" s="198" t="str">
        <f t="shared" si="2"/>
        <v>Q1</v>
      </c>
      <c r="D20" s="198">
        <f t="shared" si="3"/>
        <v>2021</v>
      </c>
      <c r="E20" s="179">
        <v>3329</v>
      </c>
      <c r="F20" s="176">
        <v>2568</v>
      </c>
      <c r="G20" s="176">
        <v>761</v>
      </c>
      <c r="H20" s="179">
        <v>34</v>
      </c>
      <c r="I20" s="176">
        <v>31</v>
      </c>
      <c r="J20" s="201">
        <v>3</v>
      </c>
      <c r="L20" s="177">
        <v>43221</v>
      </c>
      <c r="M20" s="55">
        <f t="shared" si="4"/>
        <v>2018</v>
      </c>
      <c r="N20" s="178" t="s">
        <v>234</v>
      </c>
      <c r="O20" s="179">
        <f t="shared" si="5"/>
        <v>6946</v>
      </c>
      <c r="P20" s="176">
        <f t="shared" ref="P20:P83" si="18">SUMIFS(F:F,$B:$B,$N20)</f>
        <v>3615</v>
      </c>
      <c r="Q20" s="176">
        <f t="shared" ref="Q20:Q51" si="19">SUMIFS(G:G,$B:$B,$N20)</f>
        <v>3331</v>
      </c>
      <c r="R20" s="179">
        <f t="shared" ref="R20:R51" si="20">SUMIFS(H:H,$B:$B,$N20)</f>
        <v>72</v>
      </c>
      <c r="S20" s="176">
        <f t="shared" si="9"/>
        <v>34</v>
      </c>
      <c r="T20" s="201">
        <f t="shared" si="0"/>
        <v>38</v>
      </c>
      <c r="U20" s="179">
        <f t="shared" si="10"/>
        <v>15558.666666666668</v>
      </c>
      <c r="V20" s="176">
        <f t="shared" si="11"/>
        <v>6900.9999999999991</v>
      </c>
      <c r="W20" s="176">
        <f t="shared" si="12"/>
        <v>8657.6666666666679</v>
      </c>
      <c r="X20" s="179">
        <f t="shared" si="13"/>
        <v>142</v>
      </c>
      <c r="Y20" s="176">
        <f t="shared" si="14"/>
        <v>65.666666666666671</v>
      </c>
      <c r="Z20" s="201">
        <f t="shared" si="15"/>
        <v>76.333333333333329</v>
      </c>
      <c r="AC20" s="47" t="s">
        <v>243</v>
      </c>
      <c r="AD20" s="47" t="str">
        <f t="shared" si="16"/>
        <v>Q3</v>
      </c>
      <c r="AE20" s="47">
        <f t="shared" si="17"/>
        <v>2020</v>
      </c>
      <c r="AF20" s="121">
        <v>198406</v>
      </c>
      <c r="AG20" s="121">
        <v>41219</v>
      </c>
      <c r="AH20" s="121">
        <v>41892</v>
      </c>
      <c r="AI20" s="121">
        <v>103833</v>
      </c>
      <c r="AJ20" s="121">
        <v>11462</v>
      </c>
      <c r="AK20" s="121">
        <v>2554</v>
      </c>
      <c r="AL20" s="121">
        <v>1258</v>
      </c>
      <c r="AM20" s="47">
        <v>0</v>
      </c>
      <c r="AN20" s="121">
        <v>1296</v>
      </c>
      <c r="AO20" s="47">
        <v>0</v>
      </c>
      <c r="AP20" s="121">
        <v>5663</v>
      </c>
      <c r="AQ20" s="121">
        <v>1468</v>
      </c>
      <c r="AR20" s="47">
        <v>0</v>
      </c>
      <c r="AS20" s="121">
        <v>4195</v>
      </c>
      <c r="AT20" s="47">
        <v>0</v>
      </c>
      <c r="AU20" s="47">
        <v>742</v>
      </c>
      <c r="AV20" s="47">
        <v>316</v>
      </c>
      <c r="AW20" s="47">
        <v>0</v>
      </c>
      <c r="AX20" s="47">
        <v>392</v>
      </c>
      <c r="AY20" s="47">
        <v>34</v>
      </c>
    </row>
    <row r="21" spans="2:51" x14ac:dyDescent="0.25">
      <c r="B21" s="73" t="s">
        <v>246</v>
      </c>
      <c r="C21" s="198" t="str">
        <f t="shared" si="2"/>
        <v>Q2</v>
      </c>
      <c r="D21" s="198">
        <f t="shared" si="3"/>
        <v>2021</v>
      </c>
      <c r="E21" s="179">
        <v>5096</v>
      </c>
      <c r="F21" s="176">
        <v>3710</v>
      </c>
      <c r="G21" s="176">
        <v>1386</v>
      </c>
      <c r="H21" s="179">
        <v>49</v>
      </c>
      <c r="I21" s="176">
        <v>41</v>
      </c>
      <c r="J21" s="201">
        <v>8</v>
      </c>
      <c r="L21" s="177">
        <v>43252</v>
      </c>
      <c r="M21" s="55">
        <f t="shared" si="4"/>
        <v>2018</v>
      </c>
      <c r="N21" s="178" t="s">
        <v>234</v>
      </c>
      <c r="O21" s="179">
        <f t="shared" si="5"/>
        <v>6946</v>
      </c>
      <c r="P21" s="176">
        <f t="shared" si="18"/>
        <v>3615</v>
      </c>
      <c r="Q21" s="176">
        <f t="shared" si="19"/>
        <v>3331</v>
      </c>
      <c r="R21" s="179">
        <f t="shared" si="20"/>
        <v>72</v>
      </c>
      <c r="S21" s="176">
        <f t="shared" si="9"/>
        <v>34</v>
      </c>
      <c r="T21" s="201">
        <f t="shared" si="0"/>
        <v>38</v>
      </c>
      <c r="U21" s="179">
        <f t="shared" si="10"/>
        <v>17874</v>
      </c>
      <c r="V21" s="176">
        <f t="shared" si="11"/>
        <v>8105.9999999999991</v>
      </c>
      <c r="W21" s="176">
        <f t="shared" si="12"/>
        <v>9768.0000000000018</v>
      </c>
      <c r="X21" s="179">
        <f t="shared" si="13"/>
        <v>166</v>
      </c>
      <c r="Y21" s="176">
        <f t="shared" si="14"/>
        <v>77</v>
      </c>
      <c r="Z21" s="201">
        <f t="shared" si="15"/>
        <v>89</v>
      </c>
      <c r="AC21" s="47" t="s">
        <v>244</v>
      </c>
      <c r="AD21" s="47" t="str">
        <f t="shared" si="16"/>
        <v>Q4</v>
      </c>
      <c r="AE21" s="47">
        <f t="shared" si="17"/>
        <v>2020</v>
      </c>
      <c r="AF21" s="121">
        <v>153907</v>
      </c>
      <c r="AG21" s="121">
        <v>29160</v>
      </c>
      <c r="AH21" s="121">
        <v>29957</v>
      </c>
      <c r="AI21" s="121">
        <v>86256</v>
      </c>
      <c r="AJ21" s="121">
        <v>8534</v>
      </c>
      <c r="AK21" s="121">
        <v>2833</v>
      </c>
      <c r="AL21" s="121">
        <v>1357</v>
      </c>
      <c r="AM21" s="47">
        <v>0</v>
      </c>
      <c r="AN21" s="121">
        <v>1476</v>
      </c>
      <c r="AO21" s="47">
        <v>0</v>
      </c>
      <c r="AP21" s="121">
        <v>5167</v>
      </c>
      <c r="AQ21" s="121">
        <v>1196</v>
      </c>
      <c r="AR21" s="47">
        <v>10</v>
      </c>
      <c r="AS21" s="121">
        <v>3961</v>
      </c>
      <c r="AT21" s="47">
        <v>0</v>
      </c>
      <c r="AU21" s="47">
        <v>644</v>
      </c>
      <c r="AV21" s="47">
        <v>219</v>
      </c>
      <c r="AW21" s="47">
        <v>0</v>
      </c>
      <c r="AX21" s="47">
        <v>385</v>
      </c>
      <c r="AY21" s="47">
        <v>40</v>
      </c>
    </row>
    <row r="22" spans="2:51" x14ac:dyDescent="0.25">
      <c r="B22" s="73" t="s">
        <v>247</v>
      </c>
      <c r="C22" s="198" t="str">
        <f t="shared" si="2"/>
        <v>Q3</v>
      </c>
      <c r="D22" s="198">
        <f t="shared" si="3"/>
        <v>2021</v>
      </c>
      <c r="E22" s="179">
        <v>5162</v>
      </c>
      <c r="F22" s="176">
        <v>3671</v>
      </c>
      <c r="G22" s="176">
        <v>1491</v>
      </c>
      <c r="H22" s="179">
        <v>57</v>
      </c>
      <c r="I22" s="176">
        <v>46</v>
      </c>
      <c r="J22" s="201">
        <v>11</v>
      </c>
      <c r="L22" s="177">
        <v>43282</v>
      </c>
      <c r="M22" s="55">
        <f t="shared" si="4"/>
        <v>2018</v>
      </c>
      <c r="N22" s="178" t="s">
        <v>235</v>
      </c>
      <c r="O22" s="179">
        <f t="shared" si="5"/>
        <v>5258</v>
      </c>
      <c r="P22" s="176">
        <f t="shared" si="18"/>
        <v>2476</v>
      </c>
      <c r="Q22" s="176">
        <f t="shared" si="19"/>
        <v>2782</v>
      </c>
      <c r="R22" s="179">
        <f t="shared" si="20"/>
        <v>34</v>
      </c>
      <c r="S22" s="176">
        <f t="shared" si="9"/>
        <v>18</v>
      </c>
      <c r="T22" s="201">
        <f t="shared" si="0"/>
        <v>16</v>
      </c>
      <c r="U22" s="179">
        <f t="shared" si="10"/>
        <v>19626.666666666668</v>
      </c>
      <c r="V22" s="176">
        <f t="shared" si="11"/>
        <v>8931.3333333333321</v>
      </c>
      <c r="W22" s="176">
        <f t="shared" si="12"/>
        <v>10695.333333333336</v>
      </c>
      <c r="X22" s="179">
        <f t="shared" si="13"/>
        <v>177.33333333333334</v>
      </c>
      <c r="Y22" s="176">
        <f t="shared" si="14"/>
        <v>83</v>
      </c>
      <c r="Z22" s="201">
        <f t="shared" si="15"/>
        <v>94.333333333333329</v>
      </c>
      <c r="AC22" s="47" t="s">
        <v>245</v>
      </c>
      <c r="AD22" s="47" t="str">
        <f t="shared" si="16"/>
        <v>Q1</v>
      </c>
      <c r="AE22" s="47">
        <f t="shared" si="17"/>
        <v>2021</v>
      </c>
      <c r="AF22" s="121">
        <v>141788</v>
      </c>
      <c r="AG22" s="121">
        <v>24678</v>
      </c>
      <c r="AH22" s="121">
        <v>31358</v>
      </c>
      <c r="AI22" s="121">
        <v>77953</v>
      </c>
      <c r="AJ22" s="121">
        <v>7799</v>
      </c>
      <c r="AK22" s="121">
        <v>2568</v>
      </c>
      <c r="AL22" s="47">
        <v>989</v>
      </c>
      <c r="AM22" s="47">
        <v>0</v>
      </c>
      <c r="AN22" s="121">
        <v>1579</v>
      </c>
      <c r="AO22" s="47">
        <v>0</v>
      </c>
      <c r="AP22" s="121">
        <v>5850</v>
      </c>
      <c r="AQ22" s="121">
        <v>1277</v>
      </c>
      <c r="AR22" s="47">
        <v>468</v>
      </c>
      <c r="AS22" s="121">
        <v>3291</v>
      </c>
      <c r="AT22" s="47">
        <v>814</v>
      </c>
      <c r="AU22" s="47">
        <v>761</v>
      </c>
      <c r="AV22" s="47">
        <v>182</v>
      </c>
      <c r="AW22" s="47">
        <v>0</v>
      </c>
      <c r="AX22" s="47">
        <v>512</v>
      </c>
      <c r="AY22" s="47">
        <v>67</v>
      </c>
    </row>
    <row r="23" spans="2:51" x14ac:dyDescent="0.25">
      <c r="B23" s="73" t="s">
        <v>248</v>
      </c>
      <c r="C23" s="198" t="str">
        <f t="shared" si="2"/>
        <v>Q4</v>
      </c>
      <c r="D23" s="198">
        <f t="shared" si="3"/>
        <v>2021</v>
      </c>
      <c r="E23" s="179">
        <v>6129</v>
      </c>
      <c r="F23" s="176">
        <v>4787</v>
      </c>
      <c r="G23" s="176">
        <v>1342</v>
      </c>
      <c r="H23" s="179">
        <v>39</v>
      </c>
      <c r="I23" s="176">
        <v>29</v>
      </c>
      <c r="J23" s="201">
        <v>10</v>
      </c>
      <c r="L23" s="177">
        <v>43313</v>
      </c>
      <c r="M23" s="55">
        <f t="shared" si="4"/>
        <v>2018</v>
      </c>
      <c r="N23" s="178" t="s">
        <v>235</v>
      </c>
      <c r="O23" s="179">
        <f t="shared" si="5"/>
        <v>5258</v>
      </c>
      <c r="P23" s="176">
        <f t="shared" si="18"/>
        <v>2476</v>
      </c>
      <c r="Q23" s="176">
        <f t="shared" si="19"/>
        <v>2782</v>
      </c>
      <c r="R23" s="179">
        <f t="shared" si="20"/>
        <v>34</v>
      </c>
      <c r="S23" s="176">
        <f t="shared" si="9"/>
        <v>18</v>
      </c>
      <c r="T23" s="201">
        <f t="shared" si="0"/>
        <v>16</v>
      </c>
      <c r="U23" s="179">
        <f t="shared" si="10"/>
        <v>21379.333333333336</v>
      </c>
      <c r="V23" s="176">
        <f t="shared" si="11"/>
        <v>9756.6666666666661</v>
      </c>
      <c r="W23" s="176">
        <f t="shared" si="12"/>
        <v>11622.66666666667</v>
      </c>
      <c r="X23" s="179">
        <f t="shared" si="13"/>
        <v>188.66666666666669</v>
      </c>
      <c r="Y23" s="176">
        <f t="shared" si="14"/>
        <v>89</v>
      </c>
      <c r="Z23" s="201">
        <f t="shared" si="15"/>
        <v>99.666666666666657</v>
      </c>
      <c r="AC23" s="47" t="s">
        <v>246</v>
      </c>
      <c r="AD23" s="47" t="str">
        <f t="shared" si="16"/>
        <v>Q2</v>
      </c>
      <c r="AE23" s="47">
        <f t="shared" si="17"/>
        <v>2021</v>
      </c>
      <c r="AF23" s="121">
        <v>180118</v>
      </c>
      <c r="AG23" s="121">
        <v>38742</v>
      </c>
      <c r="AH23" s="121">
        <v>30651</v>
      </c>
      <c r="AI23" s="121">
        <v>102427</v>
      </c>
      <c r="AJ23" s="121">
        <v>8298</v>
      </c>
      <c r="AK23" s="121">
        <v>3710</v>
      </c>
      <c r="AL23" s="121">
        <v>1648</v>
      </c>
      <c r="AM23" s="47">
        <v>0</v>
      </c>
      <c r="AN23" s="121">
        <v>2062</v>
      </c>
      <c r="AO23" s="47">
        <v>0</v>
      </c>
      <c r="AP23" s="121">
        <v>11078</v>
      </c>
      <c r="AQ23" s="121">
        <v>2150</v>
      </c>
      <c r="AR23" s="47">
        <v>546</v>
      </c>
      <c r="AS23" s="121">
        <v>6774</v>
      </c>
      <c r="AT23" s="121">
        <v>1608</v>
      </c>
      <c r="AU23" s="121">
        <v>1386</v>
      </c>
      <c r="AV23" s="47">
        <v>267</v>
      </c>
      <c r="AW23" s="47">
        <v>0</v>
      </c>
      <c r="AX23" s="121">
        <v>1063</v>
      </c>
      <c r="AY23" s="47">
        <v>56</v>
      </c>
    </row>
    <row r="24" spans="2:51" x14ac:dyDescent="0.25">
      <c r="B24" s="73" t="s">
        <v>249</v>
      </c>
      <c r="C24" s="198" t="str">
        <f t="shared" si="2"/>
        <v>Q1</v>
      </c>
      <c r="D24" s="198">
        <f t="shared" si="3"/>
        <v>2022</v>
      </c>
      <c r="E24" s="179">
        <v>7124</v>
      </c>
      <c r="F24" s="176">
        <v>5686</v>
      </c>
      <c r="G24" s="176">
        <v>1438</v>
      </c>
      <c r="H24" s="179">
        <v>52</v>
      </c>
      <c r="I24" s="176">
        <v>41</v>
      </c>
      <c r="J24" s="201">
        <v>11</v>
      </c>
      <c r="L24" s="177">
        <v>43344</v>
      </c>
      <c r="M24" s="55">
        <f t="shared" si="4"/>
        <v>2018</v>
      </c>
      <c r="N24" s="178" t="s">
        <v>235</v>
      </c>
      <c r="O24" s="179">
        <f t="shared" si="5"/>
        <v>5258</v>
      </c>
      <c r="P24" s="176">
        <f t="shared" si="18"/>
        <v>2476</v>
      </c>
      <c r="Q24" s="176">
        <f t="shared" si="19"/>
        <v>2782</v>
      </c>
      <c r="R24" s="179">
        <f t="shared" si="20"/>
        <v>34</v>
      </c>
      <c r="S24" s="176">
        <f t="shared" si="9"/>
        <v>18</v>
      </c>
      <c r="T24" s="201">
        <f t="shared" si="0"/>
        <v>16</v>
      </c>
      <c r="U24" s="179">
        <f t="shared" si="10"/>
        <v>23132.000000000004</v>
      </c>
      <c r="V24" s="176">
        <f t="shared" si="11"/>
        <v>10582</v>
      </c>
      <c r="W24" s="176">
        <f t="shared" si="12"/>
        <v>12550.000000000004</v>
      </c>
      <c r="X24" s="179">
        <f t="shared" si="13"/>
        <v>200.00000000000003</v>
      </c>
      <c r="Y24" s="176">
        <f t="shared" si="14"/>
        <v>95</v>
      </c>
      <c r="Z24" s="201">
        <f t="shared" si="15"/>
        <v>104.99999999999999</v>
      </c>
      <c r="AC24" s="47" t="s">
        <v>247</v>
      </c>
      <c r="AD24" s="47" t="str">
        <f t="shared" si="16"/>
        <v>Q3</v>
      </c>
      <c r="AE24" s="47">
        <f t="shared" si="17"/>
        <v>2021</v>
      </c>
      <c r="AF24" s="121">
        <v>174623</v>
      </c>
      <c r="AG24" s="121">
        <v>39861</v>
      </c>
      <c r="AH24" s="121">
        <v>27990</v>
      </c>
      <c r="AI24" s="121">
        <v>99057</v>
      </c>
      <c r="AJ24" s="121">
        <v>7715</v>
      </c>
      <c r="AK24" s="121">
        <v>3671</v>
      </c>
      <c r="AL24" s="121">
        <v>2019</v>
      </c>
      <c r="AM24" s="47">
        <v>0</v>
      </c>
      <c r="AN24" s="121">
        <v>1652</v>
      </c>
      <c r="AO24" s="47">
        <v>0</v>
      </c>
      <c r="AP24" s="121">
        <v>10252</v>
      </c>
      <c r="AQ24" s="121">
        <v>2571</v>
      </c>
      <c r="AR24" s="47">
        <v>653</v>
      </c>
      <c r="AS24" s="121">
        <v>5495</v>
      </c>
      <c r="AT24" s="121">
        <v>1533</v>
      </c>
      <c r="AU24" s="121">
        <v>1491</v>
      </c>
      <c r="AV24" s="47">
        <v>382</v>
      </c>
      <c r="AW24" s="47">
        <v>0</v>
      </c>
      <c r="AX24" s="47">
        <v>979</v>
      </c>
      <c r="AY24" s="47">
        <v>130</v>
      </c>
    </row>
    <row r="25" spans="2:51" x14ac:dyDescent="0.25">
      <c r="B25" s="73" t="s">
        <v>250</v>
      </c>
      <c r="C25" s="198" t="str">
        <f t="shared" si="2"/>
        <v>Q2</v>
      </c>
      <c r="D25" s="198">
        <f t="shared" si="3"/>
        <v>2022</v>
      </c>
      <c r="E25" s="179">
        <v>9534</v>
      </c>
      <c r="F25" s="176">
        <v>7875</v>
      </c>
      <c r="G25" s="176">
        <v>1659</v>
      </c>
      <c r="H25" s="179">
        <v>81</v>
      </c>
      <c r="I25" s="176">
        <v>68</v>
      </c>
      <c r="J25" s="201">
        <v>13</v>
      </c>
      <c r="L25" s="177">
        <v>43374</v>
      </c>
      <c r="M25" s="55">
        <f t="shared" si="4"/>
        <v>2018</v>
      </c>
      <c r="N25" s="178" t="s">
        <v>236</v>
      </c>
      <c r="O25" s="179">
        <f t="shared" si="5"/>
        <v>1806</v>
      </c>
      <c r="P25" s="176">
        <f t="shared" si="18"/>
        <v>1195</v>
      </c>
      <c r="Q25" s="176">
        <f t="shared" si="19"/>
        <v>611</v>
      </c>
      <c r="R25" s="179">
        <f t="shared" si="20"/>
        <v>17</v>
      </c>
      <c r="S25" s="176">
        <f t="shared" si="9"/>
        <v>11</v>
      </c>
      <c r="T25" s="201">
        <f t="shared" si="0"/>
        <v>6</v>
      </c>
      <c r="U25" s="179">
        <f t="shared" si="10"/>
        <v>23734.000000000004</v>
      </c>
      <c r="V25" s="176">
        <f t="shared" si="11"/>
        <v>10980.333333333334</v>
      </c>
      <c r="W25" s="176">
        <f t="shared" si="12"/>
        <v>12753.66666666667</v>
      </c>
      <c r="X25" s="179">
        <f t="shared" si="13"/>
        <v>205.66666666666669</v>
      </c>
      <c r="Y25" s="176">
        <f t="shared" si="14"/>
        <v>98.666666666666671</v>
      </c>
      <c r="Z25" s="201">
        <f t="shared" si="15"/>
        <v>106.99999999999999</v>
      </c>
      <c r="AC25" s="47" t="s">
        <v>248</v>
      </c>
      <c r="AD25" s="47" t="str">
        <f t="shared" si="16"/>
        <v>Q4</v>
      </c>
      <c r="AE25" s="47">
        <f t="shared" si="17"/>
        <v>2021</v>
      </c>
      <c r="AF25" s="121">
        <v>130630</v>
      </c>
      <c r="AG25" s="121">
        <v>25550</v>
      </c>
      <c r="AH25" s="121">
        <v>27906</v>
      </c>
      <c r="AI25" s="121">
        <v>72997</v>
      </c>
      <c r="AJ25" s="121">
        <v>4177</v>
      </c>
      <c r="AK25" s="121">
        <v>4787</v>
      </c>
      <c r="AL25" s="121">
        <v>2342</v>
      </c>
      <c r="AM25" s="47">
        <v>0</v>
      </c>
      <c r="AN25" s="121">
        <v>2445</v>
      </c>
      <c r="AO25" s="47">
        <v>0</v>
      </c>
      <c r="AP25" s="121">
        <v>6159</v>
      </c>
      <c r="AQ25" s="121">
        <v>1129</v>
      </c>
      <c r="AR25" s="47">
        <v>661</v>
      </c>
      <c r="AS25" s="121">
        <v>3295</v>
      </c>
      <c r="AT25" s="121">
        <v>1074</v>
      </c>
      <c r="AU25" s="121">
        <v>1342</v>
      </c>
      <c r="AV25" s="47">
        <v>199</v>
      </c>
      <c r="AW25" s="47">
        <v>0</v>
      </c>
      <c r="AX25" s="121">
        <v>1114</v>
      </c>
      <c r="AY25" s="47">
        <v>29</v>
      </c>
    </row>
    <row r="26" spans="2:51" x14ac:dyDescent="0.25">
      <c r="B26" s="73" t="s">
        <v>251</v>
      </c>
      <c r="C26" s="198" t="str">
        <f t="shared" si="2"/>
        <v>Q3</v>
      </c>
      <c r="D26" s="198">
        <f t="shared" si="3"/>
        <v>2022</v>
      </c>
      <c r="E26" s="179">
        <v>11013</v>
      </c>
      <c r="F26" s="176">
        <v>9716</v>
      </c>
      <c r="G26" s="176">
        <v>1297</v>
      </c>
      <c r="H26" s="179">
        <v>98</v>
      </c>
      <c r="I26" s="176">
        <v>86</v>
      </c>
      <c r="J26" s="201">
        <v>12</v>
      </c>
      <c r="L26" s="177">
        <v>43405</v>
      </c>
      <c r="M26" s="55">
        <f t="shared" si="4"/>
        <v>2018</v>
      </c>
      <c r="N26" s="178" t="s">
        <v>236</v>
      </c>
      <c r="O26" s="179">
        <f t="shared" si="5"/>
        <v>1806</v>
      </c>
      <c r="P26" s="176">
        <f t="shared" si="18"/>
        <v>1195</v>
      </c>
      <c r="Q26" s="176">
        <f t="shared" si="19"/>
        <v>611</v>
      </c>
      <c r="R26" s="179">
        <f t="shared" si="20"/>
        <v>17</v>
      </c>
      <c r="S26" s="176">
        <f t="shared" si="9"/>
        <v>11</v>
      </c>
      <c r="T26" s="201">
        <f t="shared" si="0"/>
        <v>6</v>
      </c>
      <c r="U26" s="179">
        <f t="shared" si="10"/>
        <v>24336.000000000004</v>
      </c>
      <c r="V26" s="176">
        <f t="shared" si="11"/>
        <v>11378.666666666668</v>
      </c>
      <c r="W26" s="176">
        <f t="shared" si="12"/>
        <v>12957.333333333336</v>
      </c>
      <c r="X26" s="179">
        <f t="shared" si="13"/>
        <v>211.33333333333334</v>
      </c>
      <c r="Y26" s="176">
        <f t="shared" si="14"/>
        <v>102.33333333333334</v>
      </c>
      <c r="Z26" s="201">
        <f t="shared" si="15"/>
        <v>108.99999999999999</v>
      </c>
      <c r="AC26" s="47" t="s">
        <v>249</v>
      </c>
      <c r="AD26" s="47" t="str">
        <f t="shared" si="16"/>
        <v>Q1</v>
      </c>
      <c r="AE26" s="47">
        <f t="shared" si="17"/>
        <v>2022</v>
      </c>
      <c r="AF26" s="121">
        <v>135137</v>
      </c>
      <c r="AG26" s="121">
        <v>24105</v>
      </c>
      <c r="AH26" s="121">
        <v>26220</v>
      </c>
      <c r="AI26" s="121">
        <v>79278</v>
      </c>
      <c r="AJ26" s="121">
        <v>5534</v>
      </c>
      <c r="AK26" s="121">
        <v>5686</v>
      </c>
      <c r="AL26" s="121">
        <v>2869</v>
      </c>
      <c r="AM26" s="47">
        <v>0</v>
      </c>
      <c r="AN26" s="121">
        <v>2813</v>
      </c>
      <c r="AO26" s="47">
        <v>4</v>
      </c>
      <c r="AP26" s="121">
        <v>7044</v>
      </c>
      <c r="AQ26" s="121">
        <v>1843</v>
      </c>
      <c r="AR26" s="47">
        <v>561</v>
      </c>
      <c r="AS26" s="121">
        <v>3754</v>
      </c>
      <c r="AT26" s="47">
        <v>886</v>
      </c>
      <c r="AU26" s="121">
        <v>1438</v>
      </c>
      <c r="AV26" s="47">
        <v>152</v>
      </c>
      <c r="AW26" s="47">
        <v>0</v>
      </c>
      <c r="AX26" s="121">
        <v>1045</v>
      </c>
      <c r="AY26" s="47">
        <v>241</v>
      </c>
    </row>
    <row r="27" spans="2:51" x14ac:dyDescent="0.25">
      <c r="B27" s="73" t="s">
        <v>252</v>
      </c>
      <c r="C27" s="198" t="str">
        <f t="shared" si="2"/>
        <v>Q4</v>
      </c>
      <c r="D27" s="198">
        <f t="shared" si="3"/>
        <v>2022</v>
      </c>
      <c r="E27" s="179">
        <v>10991</v>
      </c>
      <c r="F27" s="176">
        <v>9506</v>
      </c>
      <c r="G27" s="176">
        <v>1485</v>
      </c>
      <c r="H27" s="179">
        <v>97</v>
      </c>
      <c r="I27" s="176">
        <v>86</v>
      </c>
      <c r="J27" s="201">
        <v>11</v>
      </c>
      <c r="L27" s="177">
        <v>43435</v>
      </c>
      <c r="M27" s="55">
        <f t="shared" si="4"/>
        <v>2018</v>
      </c>
      <c r="N27" s="178" t="s">
        <v>236</v>
      </c>
      <c r="O27" s="179">
        <f t="shared" si="5"/>
        <v>1806</v>
      </c>
      <c r="P27" s="176">
        <f t="shared" si="18"/>
        <v>1195</v>
      </c>
      <c r="Q27" s="176">
        <f t="shared" si="19"/>
        <v>611</v>
      </c>
      <c r="R27" s="179">
        <f t="shared" si="20"/>
        <v>17</v>
      </c>
      <c r="S27" s="176">
        <f t="shared" si="9"/>
        <v>11</v>
      </c>
      <c r="T27" s="201">
        <f t="shared" si="0"/>
        <v>6</v>
      </c>
      <c r="U27" s="179">
        <f t="shared" si="10"/>
        <v>24938.000000000004</v>
      </c>
      <c r="V27" s="176">
        <f t="shared" si="11"/>
        <v>11777.000000000002</v>
      </c>
      <c r="W27" s="176">
        <f t="shared" si="12"/>
        <v>13161.000000000002</v>
      </c>
      <c r="X27" s="179">
        <f t="shared" si="13"/>
        <v>217</v>
      </c>
      <c r="Y27" s="176">
        <f t="shared" si="14"/>
        <v>106.00000000000001</v>
      </c>
      <c r="Z27" s="201">
        <f t="shared" si="15"/>
        <v>110.99999999999999</v>
      </c>
      <c r="AC27" s="47" t="s">
        <v>250</v>
      </c>
      <c r="AD27" s="47" t="str">
        <f t="shared" si="16"/>
        <v>Q2</v>
      </c>
      <c r="AE27" s="47">
        <f t="shared" si="17"/>
        <v>2022</v>
      </c>
      <c r="AF27" s="121">
        <v>169244</v>
      </c>
      <c r="AG27" s="121">
        <v>32486</v>
      </c>
      <c r="AH27" s="121">
        <v>34804</v>
      </c>
      <c r="AI27" s="121">
        <v>96359</v>
      </c>
      <c r="AJ27" s="121">
        <v>5595</v>
      </c>
      <c r="AK27" s="121">
        <v>7875</v>
      </c>
      <c r="AL27" s="121">
        <v>2904</v>
      </c>
      <c r="AM27" s="47">
        <v>59</v>
      </c>
      <c r="AN27" s="121">
        <v>4868</v>
      </c>
      <c r="AO27" s="47">
        <v>44</v>
      </c>
      <c r="AP27" s="121">
        <v>11645</v>
      </c>
      <c r="AQ27" s="121">
        <v>2282</v>
      </c>
      <c r="AR27" s="121">
        <v>1508</v>
      </c>
      <c r="AS27" s="121">
        <v>7091</v>
      </c>
      <c r="AT27" s="47">
        <v>764</v>
      </c>
      <c r="AU27" s="121">
        <v>1659</v>
      </c>
      <c r="AV27" s="47">
        <v>271</v>
      </c>
      <c r="AW27" s="47">
        <v>0</v>
      </c>
      <c r="AX27" s="121">
        <v>1271</v>
      </c>
      <c r="AY27" s="47">
        <v>117</v>
      </c>
    </row>
    <row r="28" spans="2:51" x14ac:dyDescent="0.25">
      <c r="B28" s="73" t="s">
        <v>253</v>
      </c>
      <c r="C28" s="198" t="str">
        <f t="shared" si="2"/>
        <v>Q1</v>
      </c>
      <c r="D28" s="198">
        <f t="shared" si="3"/>
        <v>2023</v>
      </c>
      <c r="E28" s="179">
        <v>8520</v>
      </c>
      <c r="F28" s="176">
        <v>6760</v>
      </c>
      <c r="G28" s="176">
        <v>1760</v>
      </c>
      <c r="H28" s="179">
        <v>82</v>
      </c>
      <c r="I28" s="176">
        <v>69</v>
      </c>
      <c r="J28" s="201">
        <v>13</v>
      </c>
      <c r="L28" s="177">
        <v>43466</v>
      </c>
      <c r="M28" s="55">
        <f t="shared" si="4"/>
        <v>2019</v>
      </c>
      <c r="N28" s="178" t="s">
        <v>237</v>
      </c>
      <c r="O28" s="179">
        <f t="shared" si="5"/>
        <v>1342</v>
      </c>
      <c r="P28" s="176">
        <f t="shared" si="18"/>
        <v>849</v>
      </c>
      <c r="Q28" s="176">
        <f t="shared" si="19"/>
        <v>493</v>
      </c>
      <c r="R28" s="179">
        <f t="shared" si="20"/>
        <v>11</v>
      </c>
      <c r="S28" s="176">
        <f t="shared" si="9"/>
        <v>4</v>
      </c>
      <c r="T28" s="201">
        <f t="shared" si="0"/>
        <v>7</v>
      </c>
      <c r="U28" s="179">
        <f t="shared" si="10"/>
        <v>25385.333333333336</v>
      </c>
      <c r="V28" s="176">
        <f t="shared" si="11"/>
        <v>12060.000000000002</v>
      </c>
      <c r="W28" s="176">
        <f t="shared" si="12"/>
        <v>13325.333333333336</v>
      </c>
      <c r="X28" s="179">
        <f t="shared" si="13"/>
        <v>220.66666666666666</v>
      </c>
      <c r="Y28" s="176">
        <f t="shared" si="14"/>
        <v>107.33333333333334</v>
      </c>
      <c r="Z28" s="201">
        <f t="shared" si="15"/>
        <v>113.33333333333331</v>
      </c>
      <c r="AC28" s="47" t="s">
        <v>251</v>
      </c>
      <c r="AD28" s="47" t="str">
        <f t="shared" si="16"/>
        <v>Q3</v>
      </c>
      <c r="AE28" s="47">
        <f t="shared" si="17"/>
        <v>2022</v>
      </c>
      <c r="AF28" s="121">
        <v>153779</v>
      </c>
      <c r="AG28" s="121">
        <v>30648</v>
      </c>
      <c r="AH28" s="121">
        <v>32032</v>
      </c>
      <c r="AI28" s="121">
        <v>86604</v>
      </c>
      <c r="AJ28" s="121">
        <v>4495</v>
      </c>
      <c r="AK28" s="121">
        <v>9716</v>
      </c>
      <c r="AL28" s="121">
        <v>3995</v>
      </c>
      <c r="AM28" s="47">
        <v>469</v>
      </c>
      <c r="AN28" s="121">
        <v>5206</v>
      </c>
      <c r="AO28" s="47">
        <v>46</v>
      </c>
      <c r="AP28" s="121">
        <v>9376</v>
      </c>
      <c r="AQ28" s="121">
        <v>1527</v>
      </c>
      <c r="AR28" s="121">
        <v>1414</v>
      </c>
      <c r="AS28" s="121">
        <v>5937</v>
      </c>
      <c r="AT28" s="47">
        <v>498</v>
      </c>
      <c r="AU28" s="121">
        <v>1297</v>
      </c>
      <c r="AV28" s="47">
        <v>201</v>
      </c>
      <c r="AW28" s="47">
        <v>0</v>
      </c>
      <c r="AX28" s="121">
        <v>1001</v>
      </c>
      <c r="AY28" s="47">
        <v>95</v>
      </c>
    </row>
    <row r="29" spans="2:51" x14ac:dyDescent="0.25">
      <c r="B29" s="73" t="s">
        <v>254</v>
      </c>
      <c r="C29" s="198" t="str">
        <f t="shared" si="2"/>
        <v>Q2</v>
      </c>
      <c r="D29" s="198">
        <f t="shared" si="3"/>
        <v>2023</v>
      </c>
      <c r="E29" s="179">
        <v>12797</v>
      </c>
      <c r="F29" s="176">
        <v>9486</v>
      </c>
      <c r="G29" s="176">
        <v>3311</v>
      </c>
      <c r="H29" s="179">
        <v>147</v>
      </c>
      <c r="I29" s="176">
        <v>113</v>
      </c>
      <c r="J29" s="201">
        <v>34</v>
      </c>
      <c r="L29" s="177">
        <v>43497</v>
      </c>
      <c r="M29" s="55">
        <f t="shared" si="4"/>
        <v>2019</v>
      </c>
      <c r="N29" s="178" t="s">
        <v>237</v>
      </c>
      <c r="O29" s="179">
        <f t="shared" si="5"/>
        <v>1342</v>
      </c>
      <c r="P29" s="176">
        <f t="shared" si="18"/>
        <v>849</v>
      </c>
      <c r="Q29" s="176">
        <f t="shared" si="19"/>
        <v>493</v>
      </c>
      <c r="R29" s="179">
        <f t="shared" si="20"/>
        <v>11</v>
      </c>
      <c r="S29" s="176">
        <f t="shared" si="9"/>
        <v>4</v>
      </c>
      <c r="T29" s="201">
        <f t="shared" si="0"/>
        <v>7</v>
      </c>
      <c r="U29" s="179">
        <f t="shared" si="10"/>
        <v>25832.666666666668</v>
      </c>
      <c r="V29" s="176">
        <f t="shared" si="11"/>
        <v>12343.000000000002</v>
      </c>
      <c r="W29" s="176">
        <f t="shared" si="12"/>
        <v>13489.66666666667</v>
      </c>
      <c r="X29" s="179">
        <f t="shared" si="13"/>
        <v>224.33333333333331</v>
      </c>
      <c r="Y29" s="176">
        <f t="shared" si="14"/>
        <v>108.66666666666667</v>
      </c>
      <c r="Z29" s="201">
        <f t="shared" si="15"/>
        <v>115.66666666666664</v>
      </c>
      <c r="AC29" s="47" t="s">
        <v>252</v>
      </c>
      <c r="AD29" s="47" t="str">
        <f t="shared" si="16"/>
        <v>Q4</v>
      </c>
      <c r="AE29" s="47">
        <f t="shared" si="17"/>
        <v>2022</v>
      </c>
      <c r="AF29" s="121">
        <v>136338</v>
      </c>
      <c r="AG29" s="121">
        <v>22716</v>
      </c>
      <c r="AH29" s="121">
        <v>29708</v>
      </c>
      <c r="AI29" s="121">
        <v>79353</v>
      </c>
      <c r="AJ29" s="121">
        <v>4561</v>
      </c>
      <c r="AK29" s="121">
        <v>9506</v>
      </c>
      <c r="AL29" s="47">
        <v>2594</v>
      </c>
      <c r="AM29" s="47">
        <v>344</v>
      </c>
      <c r="AN29" s="121">
        <v>6486</v>
      </c>
      <c r="AO29" s="47">
        <v>82</v>
      </c>
      <c r="AP29" s="121">
        <v>7392</v>
      </c>
      <c r="AQ29" s="121">
        <v>1000</v>
      </c>
      <c r="AR29" s="47">
        <v>1274</v>
      </c>
      <c r="AS29" s="121">
        <v>4686</v>
      </c>
      <c r="AT29" s="47">
        <v>432</v>
      </c>
      <c r="AU29" s="47">
        <v>1485</v>
      </c>
      <c r="AV29" s="47">
        <v>171</v>
      </c>
      <c r="AW29" s="47">
        <v>0</v>
      </c>
      <c r="AX29" s="47">
        <v>1248</v>
      </c>
      <c r="AY29" s="47">
        <v>66</v>
      </c>
    </row>
    <row r="30" spans="2:51" x14ac:dyDescent="0.25">
      <c r="B30" s="73" t="s">
        <v>255</v>
      </c>
      <c r="C30" s="198" t="str">
        <f t="shared" si="2"/>
        <v>Q3</v>
      </c>
      <c r="D30" s="198">
        <f t="shared" si="3"/>
        <v>2023</v>
      </c>
      <c r="E30" s="179">
        <v>14710</v>
      </c>
      <c r="F30" s="176">
        <v>11458</v>
      </c>
      <c r="G30" s="176">
        <v>3252</v>
      </c>
      <c r="H30" s="179">
        <v>147</v>
      </c>
      <c r="I30" s="176">
        <v>113</v>
      </c>
      <c r="J30" s="201">
        <v>34</v>
      </c>
      <c r="L30" s="177">
        <v>43525</v>
      </c>
      <c r="M30" s="55">
        <f t="shared" si="4"/>
        <v>2019</v>
      </c>
      <c r="N30" s="178" t="s">
        <v>237</v>
      </c>
      <c r="O30" s="179">
        <f t="shared" si="5"/>
        <v>1342</v>
      </c>
      <c r="P30" s="176">
        <f t="shared" si="18"/>
        <v>849</v>
      </c>
      <c r="Q30" s="176">
        <f t="shared" si="19"/>
        <v>493</v>
      </c>
      <c r="R30" s="179">
        <f t="shared" si="20"/>
        <v>11</v>
      </c>
      <c r="S30" s="176">
        <f t="shared" si="9"/>
        <v>4</v>
      </c>
      <c r="T30" s="201">
        <f t="shared" si="0"/>
        <v>7</v>
      </c>
      <c r="U30" s="179">
        <f t="shared" si="10"/>
        <v>26280</v>
      </c>
      <c r="V30" s="176">
        <f t="shared" si="11"/>
        <v>12626.000000000002</v>
      </c>
      <c r="W30" s="176">
        <f t="shared" si="12"/>
        <v>13654.000000000004</v>
      </c>
      <c r="X30" s="179">
        <f t="shared" si="13"/>
        <v>227.99999999999997</v>
      </c>
      <c r="Y30" s="176">
        <f t="shared" si="14"/>
        <v>110</v>
      </c>
      <c r="Z30" s="201">
        <f t="shared" si="15"/>
        <v>117.99999999999997</v>
      </c>
      <c r="AC30" s="47" t="s">
        <v>253</v>
      </c>
      <c r="AD30" s="47" t="str">
        <f t="shared" si="16"/>
        <v>Q1</v>
      </c>
      <c r="AE30" s="47">
        <f t="shared" si="17"/>
        <v>2023</v>
      </c>
      <c r="AF30" s="121">
        <v>143618</v>
      </c>
      <c r="AG30" s="121">
        <v>22732</v>
      </c>
      <c r="AH30" s="121">
        <v>31184</v>
      </c>
      <c r="AI30" s="121">
        <v>83564</v>
      </c>
      <c r="AJ30" s="121">
        <v>6138</v>
      </c>
      <c r="AK30" s="121">
        <v>6760</v>
      </c>
      <c r="AL30" s="121">
        <v>2365</v>
      </c>
      <c r="AM30" s="47">
        <v>354</v>
      </c>
      <c r="AN30" s="121">
        <v>3938</v>
      </c>
      <c r="AO30" s="47">
        <v>103</v>
      </c>
      <c r="AP30" s="121">
        <v>11134</v>
      </c>
      <c r="AQ30" s="121">
        <v>1791</v>
      </c>
      <c r="AR30" s="47">
        <v>1185</v>
      </c>
      <c r="AS30" s="121">
        <v>7888</v>
      </c>
      <c r="AT30" s="121">
        <v>270</v>
      </c>
      <c r="AU30" s="121">
        <v>1760</v>
      </c>
      <c r="AV30" s="47">
        <v>85</v>
      </c>
      <c r="AW30" s="47">
        <v>0</v>
      </c>
      <c r="AX30" s="121">
        <v>1480</v>
      </c>
      <c r="AY30" s="47">
        <v>195</v>
      </c>
    </row>
    <row r="31" spans="2:51" x14ac:dyDescent="0.25">
      <c r="B31" s="73" t="s">
        <v>256</v>
      </c>
      <c r="C31" s="198" t="str">
        <f t="shared" si="2"/>
        <v>Q4</v>
      </c>
      <c r="D31" s="198">
        <f t="shared" si="3"/>
        <v>2023</v>
      </c>
      <c r="E31" s="179">
        <v>14105</v>
      </c>
      <c r="F31" s="176">
        <v>10931</v>
      </c>
      <c r="G31" s="176">
        <v>3174</v>
      </c>
      <c r="H31" s="179">
        <v>146</v>
      </c>
      <c r="I31" s="176">
        <v>117</v>
      </c>
      <c r="J31" s="201">
        <v>29</v>
      </c>
      <c r="L31" s="177">
        <v>43556</v>
      </c>
      <c r="M31" s="55">
        <f t="shared" si="4"/>
        <v>2019</v>
      </c>
      <c r="N31" s="178" t="s">
        <v>238</v>
      </c>
      <c r="O31" s="179">
        <f t="shared" si="5"/>
        <v>2878</v>
      </c>
      <c r="P31" s="176">
        <f t="shared" si="18"/>
        <v>1994</v>
      </c>
      <c r="Q31" s="176">
        <f t="shared" si="19"/>
        <v>884</v>
      </c>
      <c r="R31" s="179">
        <f t="shared" si="20"/>
        <v>22</v>
      </c>
      <c r="S31" s="176">
        <f t="shared" si="9"/>
        <v>18</v>
      </c>
      <c r="T31" s="201">
        <f t="shared" si="0"/>
        <v>4</v>
      </c>
      <c r="U31" s="179">
        <f t="shared" si="10"/>
        <v>27239.333333333332</v>
      </c>
      <c r="V31" s="176">
        <f t="shared" si="11"/>
        <v>13290.666666666668</v>
      </c>
      <c r="W31" s="176">
        <f t="shared" si="12"/>
        <v>13948.66666666667</v>
      </c>
      <c r="X31" s="179">
        <f t="shared" si="13"/>
        <v>235.33333333333331</v>
      </c>
      <c r="Y31" s="176">
        <f t="shared" si="14"/>
        <v>116</v>
      </c>
      <c r="Z31" s="201">
        <f t="shared" si="15"/>
        <v>119.3333333333333</v>
      </c>
      <c r="AC31" s="47" t="s">
        <v>254</v>
      </c>
      <c r="AD31" s="47" t="str">
        <f t="shared" si="16"/>
        <v>Q2</v>
      </c>
      <c r="AE31" s="47">
        <f t="shared" si="17"/>
        <v>2023</v>
      </c>
      <c r="AF31" s="121">
        <v>183653</v>
      </c>
      <c r="AG31" s="121">
        <v>31866</v>
      </c>
      <c r="AH31" s="121">
        <v>32563</v>
      </c>
      <c r="AI31" s="121">
        <v>111715</v>
      </c>
      <c r="AJ31" s="121">
        <v>7509</v>
      </c>
      <c r="AK31" s="121">
        <v>9486</v>
      </c>
      <c r="AL31" s="47">
        <v>2192</v>
      </c>
      <c r="AM31" s="47">
        <v>382</v>
      </c>
      <c r="AN31" s="121">
        <v>6743</v>
      </c>
      <c r="AO31" s="47">
        <v>169</v>
      </c>
      <c r="AP31" s="121">
        <v>17538</v>
      </c>
      <c r="AQ31" s="121">
        <v>2956</v>
      </c>
      <c r="AR31" s="47">
        <v>1189</v>
      </c>
      <c r="AS31" s="121">
        <v>12902</v>
      </c>
      <c r="AT31" s="47">
        <v>491</v>
      </c>
      <c r="AU31" s="47">
        <v>3311</v>
      </c>
      <c r="AV31" s="47">
        <v>210</v>
      </c>
      <c r="AW31" s="47">
        <v>0</v>
      </c>
      <c r="AX31" s="47">
        <v>2843</v>
      </c>
      <c r="AY31" s="47">
        <v>258</v>
      </c>
    </row>
    <row r="32" spans="2:51" x14ac:dyDescent="0.25">
      <c r="B32" s="73" t="s">
        <v>257</v>
      </c>
      <c r="C32" s="198" t="str">
        <f t="shared" si="2"/>
        <v>Q1</v>
      </c>
      <c r="D32" s="198">
        <f t="shared" si="3"/>
        <v>2024</v>
      </c>
      <c r="E32" s="179">
        <v>11026</v>
      </c>
      <c r="F32" s="176">
        <v>8144</v>
      </c>
      <c r="G32" s="176">
        <v>2882</v>
      </c>
      <c r="H32" s="179">
        <v>111</v>
      </c>
      <c r="I32" s="176">
        <v>90</v>
      </c>
      <c r="J32" s="201">
        <v>21</v>
      </c>
      <c r="L32" s="177">
        <v>43586</v>
      </c>
      <c r="M32" s="55">
        <f t="shared" si="4"/>
        <v>2019</v>
      </c>
      <c r="N32" s="178" t="s">
        <v>238</v>
      </c>
      <c r="O32" s="179">
        <f t="shared" si="5"/>
        <v>2878</v>
      </c>
      <c r="P32" s="176">
        <f t="shared" si="18"/>
        <v>1994</v>
      </c>
      <c r="Q32" s="176">
        <f t="shared" si="19"/>
        <v>884</v>
      </c>
      <c r="R32" s="179">
        <f t="shared" si="20"/>
        <v>22</v>
      </c>
      <c r="S32" s="176">
        <f t="shared" si="9"/>
        <v>18</v>
      </c>
      <c r="T32" s="201">
        <f t="shared" si="0"/>
        <v>4</v>
      </c>
      <c r="U32" s="179">
        <f t="shared" si="10"/>
        <v>28198.666666666664</v>
      </c>
      <c r="V32" s="176">
        <f t="shared" si="11"/>
        <v>13955.333333333334</v>
      </c>
      <c r="W32" s="176">
        <f t="shared" si="12"/>
        <v>14243.333333333336</v>
      </c>
      <c r="X32" s="179">
        <f t="shared" si="13"/>
        <v>242.66666666666666</v>
      </c>
      <c r="Y32" s="176">
        <f t="shared" si="14"/>
        <v>122</v>
      </c>
      <c r="Z32" s="201">
        <f t="shared" si="15"/>
        <v>120.66666666666663</v>
      </c>
      <c r="AC32" s="47" t="s">
        <v>255</v>
      </c>
      <c r="AD32" s="47" t="str">
        <f t="shared" si="16"/>
        <v>Q3</v>
      </c>
      <c r="AE32" s="47">
        <f t="shared" si="17"/>
        <v>2023</v>
      </c>
      <c r="AF32" s="121">
        <v>178597</v>
      </c>
      <c r="AG32" s="121">
        <v>29904</v>
      </c>
      <c r="AH32" s="121">
        <v>32977</v>
      </c>
      <c r="AI32" s="121">
        <v>108349</v>
      </c>
      <c r="AJ32" s="121">
        <v>7367</v>
      </c>
      <c r="AK32" s="121">
        <v>11458</v>
      </c>
      <c r="AL32" s="121">
        <v>3129</v>
      </c>
      <c r="AM32" s="47">
        <v>523</v>
      </c>
      <c r="AN32" s="121">
        <v>7730</v>
      </c>
      <c r="AO32" s="47">
        <v>76</v>
      </c>
      <c r="AP32" s="121">
        <v>17596</v>
      </c>
      <c r="AQ32" s="121">
        <v>3040</v>
      </c>
      <c r="AR32" s="47">
        <v>1172</v>
      </c>
      <c r="AS32" s="121">
        <v>12858</v>
      </c>
      <c r="AT32" s="121">
        <v>526</v>
      </c>
      <c r="AU32" s="121">
        <v>3252</v>
      </c>
      <c r="AV32" s="47">
        <v>322</v>
      </c>
      <c r="AW32" s="47">
        <v>0</v>
      </c>
      <c r="AX32" s="121">
        <v>2825</v>
      </c>
      <c r="AY32" s="47">
        <v>105</v>
      </c>
    </row>
    <row r="33" spans="2:51" x14ac:dyDescent="0.25">
      <c r="B33" s="73" t="s">
        <v>258</v>
      </c>
      <c r="C33" s="198" t="str">
        <f t="shared" si="2"/>
        <v>Q2</v>
      </c>
      <c r="D33" s="198">
        <f t="shared" si="3"/>
        <v>2024</v>
      </c>
      <c r="E33" s="179">
        <v>14377</v>
      </c>
      <c r="F33" s="176">
        <v>10469</v>
      </c>
      <c r="G33" s="176">
        <v>3908</v>
      </c>
      <c r="H33" s="179">
        <v>214</v>
      </c>
      <c r="I33" s="176">
        <v>184</v>
      </c>
      <c r="J33" s="201">
        <v>30</v>
      </c>
      <c r="L33" s="177">
        <v>43617</v>
      </c>
      <c r="M33" s="55">
        <f t="shared" si="4"/>
        <v>2019</v>
      </c>
      <c r="N33" s="178" t="s">
        <v>238</v>
      </c>
      <c r="O33" s="179">
        <f t="shared" si="5"/>
        <v>2878</v>
      </c>
      <c r="P33" s="176">
        <f t="shared" si="18"/>
        <v>1994</v>
      </c>
      <c r="Q33" s="176">
        <f t="shared" si="19"/>
        <v>884</v>
      </c>
      <c r="R33" s="179">
        <f t="shared" si="20"/>
        <v>22</v>
      </c>
      <c r="S33" s="176">
        <f t="shared" si="9"/>
        <v>18</v>
      </c>
      <c r="T33" s="201">
        <f t="shared" si="0"/>
        <v>4</v>
      </c>
      <c r="U33" s="179">
        <f t="shared" si="10"/>
        <v>29157.999999999996</v>
      </c>
      <c r="V33" s="176">
        <f t="shared" si="11"/>
        <v>14620</v>
      </c>
      <c r="W33" s="176">
        <f t="shared" si="12"/>
        <v>14538.000000000002</v>
      </c>
      <c r="X33" s="179">
        <f t="shared" si="13"/>
        <v>250</v>
      </c>
      <c r="Y33" s="176">
        <f t="shared" si="14"/>
        <v>128</v>
      </c>
      <c r="Z33" s="201">
        <f t="shared" si="15"/>
        <v>121.99999999999996</v>
      </c>
      <c r="AC33" s="47" t="s">
        <v>256</v>
      </c>
      <c r="AD33" s="47" t="str">
        <f t="shared" si="16"/>
        <v>Q4</v>
      </c>
      <c r="AE33" s="47">
        <f t="shared" si="17"/>
        <v>2023</v>
      </c>
      <c r="AF33" s="121">
        <v>171136</v>
      </c>
      <c r="AG33" s="121">
        <v>26037</v>
      </c>
      <c r="AH33" s="121">
        <v>30930</v>
      </c>
      <c r="AI33" s="121">
        <v>108458</v>
      </c>
      <c r="AJ33" s="121">
        <v>5711</v>
      </c>
      <c r="AK33" s="121">
        <v>10931</v>
      </c>
      <c r="AL33" s="121">
        <v>2488</v>
      </c>
      <c r="AM33" s="47">
        <v>550</v>
      </c>
      <c r="AN33" s="121">
        <v>7734</v>
      </c>
      <c r="AO33" s="47">
        <v>159</v>
      </c>
      <c r="AP33" s="121">
        <v>16261</v>
      </c>
      <c r="AQ33" s="121">
        <v>2698</v>
      </c>
      <c r="AR33" s="47">
        <v>905</v>
      </c>
      <c r="AS33" s="121">
        <v>11899</v>
      </c>
      <c r="AT33" s="121">
        <v>759</v>
      </c>
      <c r="AU33" s="121">
        <v>3174</v>
      </c>
      <c r="AV33" s="47">
        <v>210</v>
      </c>
      <c r="AW33" s="47">
        <v>0</v>
      </c>
      <c r="AX33" s="47">
        <v>2902</v>
      </c>
      <c r="AY33" s="47">
        <v>62</v>
      </c>
    </row>
    <row r="34" spans="2:51" x14ac:dyDescent="0.25">
      <c r="B34" s="73" t="s">
        <v>259</v>
      </c>
      <c r="C34" s="198" t="str">
        <f t="shared" si="2"/>
        <v>Q3</v>
      </c>
      <c r="D34" s="198">
        <f t="shared" si="3"/>
        <v>2024</v>
      </c>
      <c r="E34" s="179">
        <v>15946</v>
      </c>
      <c r="F34" s="176">
        <v>11771</v>
      </c>
      <c r="G34" s="176">
        <v>4175</v>
      </c>
      <c r="H34" s="179">
        <v>229</v>
      </c>
      <c r="I34" s="176">
        <v>179</v>
      </c>
      <c r="J34" s="201">
        <v>50</v>
      </c>
      <c r="L34" s="177">
        <v>43647</v>
      </c>
      <c r="M34" s="55">
        <f t="shared" si="4"/>
        <v>2019</v>
      </c>
      <c r="N34" s="178" t="s">
        <v>239</v>
      </c>
      <c r="O34" s="179">
        <f t="shared" si="5"/>
        <v>3148</v>
      </c>
      <c r="P34" s="176">
        <f t="shared" si="18"/>
        <v>2180</v>
      </c>
      <c r="Q34" s="176">
        <f t="shared" si="19"/>
        <v>968</v>
      </c>
      <c r="R34" s="179">
        <f t="shared" si="20"/>
        <v>26</v>
      </c>
      <c r="S34" s="176">
        <f t="shared" si="9"/>
        <v>21</v>
      </c>
      <c r="T34" s="201">
        <f t="shared" si="0"/>
        <v>5</v>
      </c>
      <c r="U34" s="179">
        <f t="shared" si="10"/>
        <v>30207.333333333328</v>
      </c>
      <c r="V34" s="176">
        <f t="shared" si="11"/>
        <v>15346.666666666666</v>
      </c>
      <c r="W34" s="176">
        <f t="shared" si="12"/>
        <v>14860.666666666668</v>
      </c>
      <c r="X34" s="179">
        <f t="shared" si="13"/>
        <v>258.66666666666669</v>
      </c>
      <c r="Y34" s="176">
        <f t="shared" si="14"/>
        <v>135</v>
      </c>
      <c r="Z34" s="201">
        <f t="shared" si="15"/>
        <v>123.66666666666663</v>
      </c>
      <c r="AC34" s="47" t="s">
        <v>257</v>
      </c>
      <c r="AD34" s="47" t="str">
        <f t="shared" si="16"/>
        <v>Q1</v>
      </c>
      <c r="AE34" s="47">
        <f t="shared" si="17"/>
        <v>2024</v>
      </c>
      <c r="AF34" s="121">
        <v>163029</v>
      </c>
      <c r="AG34" s="121">
        <v>25187</v>
      </c>
      <c r="AH34" s="121">
        <v>27618</v>
      </c>
      <c r="AI34" s="121">
        <v>103973</v>
      </c>
      <c r="AJ34" s="121">
        <v>6251</v>
      </c>
      <c r="AK34" s="121">
        <v>8144</v>
      </c>
      <c r="AL34" s="121">
        <v>1596</v>
      </c>
      <c r="AM34" s="47">
        <v>469</v>
      </c>
      <c r="AN34" s="121">
        <v>6030</v>
      </c>
      <c r="AO34" s="47">
        <v>49</v>
      </c>
      <c r="AP34" s="121">
        <v>16600</v>
      </c>
      <c r="AQ34" s="121">
        <v>2260</v>
      </c>
      <c r="AR34" s="47">
        <v>1315</v>
      </c>
      <c r="AS34" s="121">
        <v>11903</v>
      </c>
      <c r="AT34" s="121">
        <v>1122</v>
      </c>
      <c r="AU34" s="121">
        <v>2882</v>
      </c>
      <c r="AV34" s="47">
        <v>388</v>
      </c>
      <c r="AW34" s="47">
        <v>0</v>
      </c>
      <c r="AX34" s="121">
        <v>2423</v>
      </c>
      <c r="AY34" s="47">
        <v>71</v>
      </c>
    </row>
    <row r="35" spans="2:51" x14ac:dyDescent="0.25">
      <c r="B35" s="102" t="s">
        <v>260</v>
      </c>
      <c r="C35" s="226" t="str">
        <f t="shared" si="2"/>
        <v>Q4</v>
      </c>
      <c r="D35" s="223">
        <f t="shared" si="3"/>
        <v>2024</v>
      </c>
      <c r="E35" s="184">
        <v>15251</v>
      </c>
      <c r="F35" s="180">
        <v>11282</v>
      </c>
      <c r="G35" s="180">
        <v>3969</v>
      </c>
      <c r="H35" s="184">
        <v>172</v>
      </c>
      <c r="I35" s="180">
        <v>148</v>
      </c>
      <c r="J35" s="202">
        <v>24</v>
      </c>
      <c r="L35" s="177">
        <v>43678</v>
      </c>
      <c r="M35" s="55">
        <f t="shared" si="4"/>
        <v>2019</v>
      </c>
      <c r="N35" s="178" t="s">
        <v>239</v>
      </c>
      <c r="O35" s="179">
        <f t="shared" si="5"/>
        <v>3148</v>
      </c>
      <c r="P35" s="176">
        <f t="shared" si="18"/>
        <v>2180</v>
      </c>
      <c r="Q35" s="176">
        <f t="shared" si="19"/>
        <v>968</v>
      </c>
      <c r="R35" s="179">
        <f t="shared" si="20"/>
        <v>26</v>
      </c>
      <c r="S35" s="176">
        <f t="shared" si="9"/>
        <v>21</v>
      </c>
      <c r="T35" s="201">
        <f t="shared" si="0"/>
        <v>5</v>
      </c>
      <c r="U35" s="179">
        <f t="shared" si="10"/>
        <v>31256.666666666661</v>
      </c>
      <c r="V35" s="176">
        <f t="shared" si="11"/>
        <v>16073.333333333332</v>
      </c>
      <c r="W35" s="176">
        <f t="shared" si="12"/>
        <v>15183.333333333334</v>
      </c>
      <c r="X35" s="179">
        <f t="shared" si="13"/>
        <v>267.33333333333337</v>
      </c>
      <c r="Y35" s="176">
        <f t="shared" si="14"/>
        <v>142</v>
      </c>
      <c r="Z35" s="201">
        <f t="shared" si="15"/>
        <v>125.3333333333333</v>
      </c>
      <c r="AC35" s="47" t="s">
        <v>258</v>
      </c>
      <c r="AD35" s="47" t="str">
        <f t="shared" si="16"/>
        <v>Q2</v>
      </c>
      <c r="AE35" s="47">
        <f t="shared" si="17"/>
        <v>2024</v>
      </c>
      <c r="AF35" s="121">
        <v>190548</v>
      </c>
      <c r="AG35" s="121">
        <v>31074</v>
      </c>
      <c r="AH35" s="121">
        <v>34599</v>
      </c>
      <c r="AI35" s="121">
        <v>117240</v>
      </c>
      <c r="AJ35" s="121">
        <v>7635</v>
      </c>
      <c r="AK35" s="121">
        <v>10469</v>
      </c>
      <c r="AL35" s="121">
        <v>2480</v>
      </c>
      <c r="AM35" s="47">
        <v>730</v>
      </c>
      <c r="AN35" s="121">
        <v>7210</v>
      </c>
      <c r="AO35" s="47">
        <v>49</v>
      </c>
      <c r="AP35" s="121">
        <v>18741</v>
      </c>
      <c r="AQ35" s="121">
        <v>2327</v>
      </c>
      <c r="AR35" s="47">
        <v>2573</v>
      </c>
      <c r="AS35" s="121">
        <v>12533</v>
      </c>
      <c r="AT35" s="47">
        <v>1308</v>
      </c>
      <c r="AU35" s="121">
        <v>3908</v>
      </c>
      <c r="AV35" s="47">
        <v>196</v>
      </c>
      <c r="AW35" s="47">
        <v>0</v>
      </c>
      <c r="AX35" s="121">
        <v>3578</v>
      </c>
      <c r="AY35" s="47">
        <v>134</v>
      </c>
    </row>
    <row r="36" spans="2:51" x14ac:dyDescent="0.25">
      <c r="L36" s="177">
        <v>43709</v>
      </c>
      <c r="M36" s="55">
        <f t="shared" si="4"/>
        <v>2019</v>
      </c>
      <c r="N36" s="178" t="s">
        <v>239</v>
      </c>
      <c r="O36" s="179">
        <f t="shared" si="5"/>
        <v>3148</v>
      </c>
      <c r="P36" s="176">
        <f t="shared" si="18"/>
        <v>2180</v>
      </c>
      <c r="Q36" s="176">
        <f t="shared" si="19"/>
        <v>968</v>
      </c>
      <c r="R36" s="179">
        <f t="shared" si="20"/>
        <v>26</v>
      </c>
      <c r="S36" s="176">
        <f t="shared" si="9"/>
        <v>21</v>
      </c>
      <c r="T36" s="201">
        <f t="shared" si="0"/>
        <v>5</v>
      </c>
      <c r="U36" s="179">
        <f t="shared" si="10"/>
        <v>32305.999999999993</v>
      </c>
      <c r="V36" s="176">
        <f t="shared" si="11"/>
        <v>16800</v>
      </c>
      <c r="W36" s="176">
        <f t="shared" si="12"/>
        <v>15506</v>
      </c>
      <c r="X36" s="179">
        <f t="shared" si="13"/>
        <v>276.00000000000006</v>
      </c>
      <c r="Y36" s="176">
        <f t="shared" si="14"/>
        <v>149</v>
      </c>
      <c r="Z36" s="201">
        <f t="shared" si="15"/>
        <v>126.99999999999997</v>
      </c>
      <c r="AC36" s="47" t="s">
        <v>259</v>
      </c>
      <c r="AD36" s="47" t="str">
        <f t="shared" si="16"/>
        <v>Q3</v>
      </c>
      <c r="AE36" s="47">
        <f t="shared" si="17"/>
        <v>2024</v>
      </c>
      <c r="AF36" s="121">
        <v>182365</v>
      </c>
      <c r="AG36" s="121">
        <v>27486</v>
      </c>
      <c r="AH36" s="121">
        <v>33446</v>
      </c>
      <c r="AI36" s="121">
        <v>112781</v>
      </c>
      <c r="AJ36" s="121">
        <v>8652</v>
      </c>
      <c r="AK36" s="121">
        <v>11771</v>
      </c>
      <c r="AL36" s="121">
        <v>2542</v>
      </c>
      <c r="AM36" s="121">
        <v>967</v>
      </c>
      <c r="AN36" s="121">
        <v>8192</v>
      </c>
      <c r="AO36" s="121">
        <v>70</v>
      </c>
      <c r="AP36" s="121">
        <v>22120</v>
      </c>
      <c r="AQ36" s="121">
        <v>4625</v>
      </c>
      <c r="AR36" s="121">
        <v>2695</v>
      </c>
      <c r="AS36" s="121">
        <v>13242</v>
      </c>
      <c r="AT36" s="121">
        <v>1558</v>
      </c>
      <c r="AU36" s="121">
        <v>4175</v>
      </c>
      <c r="AV36" s="121">
        <v>435</v>
      </c>
      <c r="AW36" s="121">
        <v>0</v>
      </c>
      <c r="AX36" s="121">
        <v>3645</v>
      </c>
      <c r="AY36" s="121">
        <v>95</v>
      </c>
    </row>
    <row r="37" spans="2:51" x14ac:dyDescent="0.25">
      <c r="L37" s="177">
        <v>43739</v>
      </c>
      <c r="M37" s="55">
        <f t="shared" si="4"/>
        <v>2019</v>
      </c>
      <c r="N37" s="178" t="s">
        <v>240</v>
      </c>
      <c r="O37" s="179">
        <f t="shared" si="5"/>
        <v>2394</v>
      </c>
      <c r="P37" s="176">
        <f t="shared" si="18"/>
        <v>1538</v>
      </c>
      <c r="Q37" s="176">
        <f t="shared" si="19"/>
        <v>856</v>
      </c>
      <c r="R37" s="179">
        <f t="shared" si="20"/>
        <v>31</v>
      </c>
      <c r="S37" s="176">
        <f t="shared" si="9"/>
        <v>20</v>
      </c>
      <c r="T37" s="201">
        <f t="shared" si="0"/>
        <v>11</v>
      </c>
      <c r="U37" s="179">
        <f t="shared" ref="U37:U68" si="21">O37/3+U36</f>
        <v>33103.999999999993</v>
      </c>
      <c r="V37" s="176">
        <f t="shared" si="11"/>
        <v>17312.666666666668</v>
      </c>
      <c r="W37" s="176">
        <f t="shared" si="12"/>
        <v>15791.333333333334</v>
      </c>
      <c r="X37" s="179">
        <f t="shared" si="13"/>
        <v>286.33333333333337</v>
      </c>
      <c r="Y37" s="176">
        <f t="shared" si="14"/>
        <v>155.66666666666666</v>
      </c>
      <c r="Z37" s="201">
        <f t="shared" si="15"/>
        <v>130.66666666666663</v>
      </c>
      <c r="AC37" s="47" t="s">
        <v>260</v>
      </c>
      <c r="AD37" s="47" t="str">
        <f t="shared" si="16"/>
        <v>Q4</v>
      </c>
      <c r="AE37" s="47">
        <f t="shared" si="17"/>
        <v>2024</v>
      </c>
      <c r="AF37" s="121">
        <v>163347</v>
      </c>
      <c r="AG37" s="121">
        <v>23821</v>
      </c>
      <c r="AH37" s="121">
        <v>29261</v>
      </c>
      <c r="AI37" s="121">
        <v>103011</v>
      </c>
      <c r="AJ37" s="121">
        <v>7254</v>
      </c>
      <c r="AK37" s="121">
        <v>11282</v>
      </c>
      <c r="AL37" s="121">
        <v>1816</v>
      </c>
      <c r="AM37" s="121">
        <v>1914</v>
      </c>
      <c r="AN37" s="121">
        <v>7442</v>
      </c>
      <c r="AO37" s="121">
        <v>110</v>
      </c>
      <c r="AP37" s="121">
        <v>22112</v>
      </c>
      <c r="AQ37" s="121">
        <v>4978</v>
      </c>
      <c r="AR37" s="121">
        <v>1564</v>
      </c>
      <c r="AS37" s="121">
        <v>14264</v>
      </c>
      <c r="AT37" s="121">
        <v>1306</v>
      </c>
      <c r="AU37" s="121">
        <v>3969</v>
      </c>
      <c r="AV37" s="121">
        <v>341</v>
      </c>
      <c r="AW37" s="121">
        <v>0</v>
      </c>
      <c r="AX37" s="121">
        <v>3574</v>
      </c>
      <c r="AY37" s="121">
        <v>54</v>
      </c>
    </row>
    <row r="38" spans="2:51" x14ac:dyDescent="0.25">
      <c r="H38" s="209"/>
      <c r="L38" s="177">
        <v>43770</v>
      </c>
      <c r="M38" s="55">
        <f t="shared" si="4"/>
        <v>2019</v>
      </c>
      <c r="N38" s="178" t="s">
        <v>240</v>
      </c>
      <c r="O38" s="179">
        <f t="shared" si="5"/>
        <v>2394</v>
      </c>
      <c r="P38" s="176">
        <f t="shared" si="18"/>
        <v>1538</v>
      </c>
      <c r="Q38" s="176">
        <f t="shared" si="19"/>
        <v>856</v>
      </c>
      <c r="R38" s="179">
        <f t="shared" si="20"/>
        <v>31</v>
      </c>
      <c r="S38" s="176">
        <f t="shared" si="9"/>
        <v>20</v>
      </c>
      <c r="T38" s="201">
        <f t="shared" si="0"/>
        <v>11</v>
      </c>
      <c r="U38" s="179">
        <f t="shared" si="21"/>
        <v>33901.999999999993</v>
      </c>
      <c r="V38" s="176">
        <f t="shared" si="11"/>
        <v>17825.333333333336</v>
      </c>
      <c r="W38" s="176">
        <f t="shared" si="12"/>
        <v>16076.666666666668</v>
      </c>
      <c r="X38" s="179">
        <f t="shared" si="13"/>
        <v>296.66666666666669</v>
      </c>
      <c r="Y38" s="176">
        <f t="shared" si="14"/>
        <v>162.33333333333331</v>
      </c>
      <c r="Z38" s="201">
        <f t="shared" si="15"/>
        <v>134.33333333333329</v>
      </c>
    </row>
    <row r="39" spans="2:51" x14ac:dyDescent="0.25">
      <c r="D39" s="79"/>
      <c r="H39" s="209"/>
      <c r="L39" s="177">
        <v>43800</v>
      </c>
      <c r="M39" s="55">
        <f t="shared" si="4"/>
        <v>2019</v>
      </c>
      <c r="N39" s="178" t="s">
        <v>240</v>
      </c>
      <c r="O39" s="179">
        <f t="shared" si="5"/>
        <v>2394</v>
      </c>
      <c r="P39" s="176">
        <f t="shared" si="18"/>
        <v>1538</v>
      </c>
      <c r="Q39" s="176">
        <f t="shared" si="19"/>
        <v>856</v>
      </c>
      <c r="R39" s="179">
        <f t="shared" si="20"/>
        <v>31</v>
      </c>
      <c r="S39" s="176">
        <f t="shared" si="9"/>
        <v>20</v>
      </c>
      <c r="T39" s="201">
        <f t="shared" si="0"/>
        <v>11</v>
      </c>
      <c r="U39" s="179">
        <f t="shared" si="21"/>
        <v>34699.999999999993</v>
      </c>
      <c r="V39" s="176">
        <f t="shared" si="11"/>
        <v>18338.000000000004</v>
      </c>
      <c r="W39" s="176">
        <f t="shared" si="12"/>
        <v>16362.000000000002</v>
      </c>
      <c r="X39" s="179">
        <f t="shared" si="13"/>
        <v>307</v>
      </c>
      <c r="Y39" s="176">
        <f t="shared" si="14"/>
        <v>168.99999999999997</v>
      </c>
      <c r="Z39" s="201">
        <f t="shared" si="15"/>
        <v>137.99999999999994</v>
      </c>
      <c r="AF39" s="224"/>
      <c r="AG39" s="224"/>
      <c r="AH39" s="224"/>
      <c r="AI39" s="224"/>
      <c r="AJ39" s="224"/>
      <c r="AK39" s="224"/>
      <c r="AL39" s="224"/>
      <c r="AM39" s="224"/>
      <c r="AN39" s="224"/>
      <c r="AO39" s="224"/>
      <c r="AP39" s="224"/>
      <c r="AQ39" s="224"/>
      <c r="AR39" s="224"/>
      <c r="AS39" s="224"/>
      <c r="AT39" s="224"/>
      <c r="AU39" s="224"/>
      <c r="AV39" s="224"/>
      <c r="AW39" s="224"/>
      <c r="AX39" s="224"/>
      <c r="AY39" s="224"/>
    </row>
    <row r="40" spans="2:51" x14ac:dyDescent="0.25">
      <c r="L40" s="177">
        <v>43831</v>
      </c>
      <c r="M40" s="55">
        <f t="shared" si="4"/>
        <v>2020</v>
      </c>
      <c r="N40" s="178" t="s">
        <v>241</v>
      </c>
      <c r="O40" s="179">
        <f t="shared" si="5"/>
        <v>2102</v>
      </c>
      <c r="P40" s="176">
        <f t="shared" si="18"/>
        <v>1554</v>
      </c>
      <c r="Q40" s="176">
        <f t="shared" si="19"/>
        <v>548</v>
      </c>
      <c r="R40" s="179">
        <f t="shared" si="20"/>
        <v>19</v>
      </c>
      <c r="S40" s="176">
        <f t="shared" si="9"/>
        <v>16</v>
      </c>
      <c r="T40" s="201">
        <f t="shared" si="0"/>
        <v>3</v>
      </c>
      <c r="U40" s="179">
        <f t="shared" si="21"/>
        <v>35400.666666666657</v>
      </c>
      <c r="V40" s="176">
        <f t="shared" si="11"/>
        <v>18856.000000000004</v>
      </c>
      <c r="W40" s="176">
        <f t="shared" si="12"/>
        <v>16544.666666666668</v>
      </c>
      <c r="X40" s="179">
        <f t="shared" si="13"/>
        <v>313.33333333333331</v>
      </c>
      <c r="Y40" s="176">
        <f t="shared" si="14"/>
        <v>174.33333333333331</v>
      </c>
      <c r="Z40" s="201">
        <f t="shared" si="15"/>
        <v>138.99999999999994</v>
      </c>
      <c r="AF40" s="224"/>
      <c r="AG40" s="224"/>
      <c r="AH40" s="224"/>
      <c r="AI40" s="224"/>
      <c r="AJ40" s="224"/>
      <c r="AK40" s="224"/>
      <c r="AL40" s="224"/>
      <c r="AM40" s="224"/>
      <c r="AN40" s="224"/>
      <c r="AO40" s="224"/>
      <c r="AP40" s="224"/>
      <c r="AQ40" s="224"/>
      <c r="AR40" s="224"/>
      <c r="AS40" s="224"/>
      <c r="AT40" s="224"/>
      <c r="AU40" s="224"/>
      <c r="AV40" s="224"/>
      <c r="AW40" s="224"/>
      <c r="AX40" s="224"/>
      <c r="AY40" s="224"/>
    </row>
    <row r="41" spans="2:51" x14ac:dyDescent="0.25">
      <c r="E41" s="224"/>
      <c r="F41" s="224"/>
      <c r="G41" s="224"/>
      <c r="H41" s="224"/>
      <c r="I41" s="224"/>
      <c r="J41" s="224"/>
      <c r="L41" s="177">
        <v>43862</v>
      </c>
      <c r="M41" s="55">
        <f t="shared" si="4"/>
        <v>2020</v>
      </c>
      <c r="N41" s="178" t="s">
        <v>241</v>
      </c>
      <c r="O41" s="179">
        <f t="shared" si="5"/>
        <v>2102</v>
      </c>
      <c r="P41" s="176">
        <f t="shared" si="18"/>
        <v>1554</v>
      </c>
      <c r="Q41" s="176">
        <f t="shared" si="19"/>
        <v>548</v>
      </c>
      <c r="R41" s="179">
        <f t="shared" si="20"/>
        <v>19</v>
      </c>
      <c r="S41" s="176">
        <f t="shared" si="9"/>
        <v>16</v>
      </c>
      <c r="T41" s="201">
        <f t="shared" si="0"/>
        <v>3</v>
      </c>
      <c r="U41" s="179">
        <f t="shared" si="21"/>
        <v>36101.333333333321</v>
      </c>
      <c r="V41" s="176">
        <f t="shared" si="11"/>
        <v>19374.000000000004</v>
      </c>
      <c r="W41" s="176">
        <f t="shared" si="12"/>
        <v>16727.333333333336</v>
      </c>
      <c r="X41" s="179">
        <f t="shared" si="13"/>
        <v>319.66666666666663</v>
      </c>
      <c r="Y41" s="176">
        <f t="shared" si="14"/>
        <v>179.66666666666666</v>
      </c>
      <c r="Z41" s="201">
        <f t="shared" si="15"/>
        <v>139.99999999999994</v>
      </c>
      <c r="AF41" s="224"/>
      <c r="AG41" s="224"/>
      <c r="AH41" s="224"/>
      <c r="AI41" s="224"/>
      <c r="AJ41" s="224"/>
      <c r="AK41" s="224"/>
      <c r="AL41" s="224"/>
      <c r="AM41" s="224"/>
      <c r="AN41" s="224"/>
      <c r="AO41" s="224"/>
      <c r="AP41" s="224"/>
      <c r="AQ41" s="224"/>
      <c r="AR41" s="224"/>
      <c r="AS41" s="224"/>
      <c r="AT41" s="224"/>
      <c r="AU41" s="224"/>
      <c r="AV41" s="224"/>
      <c r="AW41" s="224"/>
      <c r="AX41" s="224"/>
      <c r="AY41" s="224"/>
    </row>
    <row r="42" spans="2:51" x14ac:dyDescent="0.25">
      <c r="E42" s="224"/>
      <c r="F42" s="224"/>
      <c r="G42" s="224"/>
      <c r="H42" s="224"/>
      <c r="I42" s="224"/>
      <c r="J42" s="224"/>
      <c r="L42" s="177">
        <v>43891</v>
      </c>
      <c r="M42" s="55">
        <f t="shared" si="4"/>
        <v>2020</v>
      </c>
      <c r="N42" s="178" t="s">
        <v>241</v>
      </c>
      <c r="O42" s="179">
        <f t="shared" si="5"/>
        <v>2102</v>
      </c>
      <c r="P42" s="176">
        <f t="shared" si="18"/>
        <v>1554</v>
      </c>
      <c r="Q42" s="176">
        <f t="shared" si="19"/>
        <v>548</v>
      </c>
      <c r="R42" s="179">
        <f t="shared" si="20"/>
        <v>19</v>
      </c>
      <c r="S42" s="176">
        <f t="shared" si="9"/>
        <v>16</v>
      </c>
      <c r="T42" s="201">
        <f t="shared" si="0"/>
        <v>3</v>
      </c>
      <c r="U42" s="179">
        <f t="shared" si="21"/>
        <v>36801.999999999985</v>
      </c>
      <c r="V42" s="176">
        <f t="shared" si="11"/>
        <v>19892.000000000004</v>
      </c>
      <c r="W42" s="176">
        <f t="shared" si="12"/>
        <v>16910.000000000004</v>
      </c>
      <c r="X42" s="179">
        <f t="shared" si="13"/>
        <v>325.99999999999994</v>
      </c>
      <c r="Y42" s="176">
        <f t="shared" si="14"/>
        <v>185</v>
      </c>
      <c r="Z42" s="201">
        <f t="shared" si="15"/>
        <v>140.99999999999994</v>
      </c>
      <c r="AF42" s="224"/>
      <c r="AG42" s="224"/>
      <c r="AH42" s="224"/>
      <c r="AI42" s="224"/>
      <c r="AJ42" s="224"/>
      <c r="AK42" s="224"/>
      <c r="AL42" s="224"/>
      <c r="AM42" s="224"/>
      <c r="AN42" s="224"/>
      <c r="AO42" s="224"/>
      <c r="AP42" s="224"/>
      <c r="AQ42" s="224"/>
      <c r="AR42" s="224"/>
      <c r="AS42" s="224"/>
      <c r="AT42" s="224"/>
      <c r="AU42" s="224"/>
      <c r="AV42" s="224"/>
      <c r="AW42" s="224"/>
      <c r="AX42" s="224"/>
      <c r="AY42" s="224"/>
    </row>
    <row r="43" spans="2:51" x14ac:dyDescent="0.25">
      <c r="E43" s="224"/>
      <c r="F43" s="224"/>
      <c r="G43" s="224"/>
      <c r="H43" s="224"/>
      <c r="I43" s="224"/>
      <c r="J43" s="224"/>
      <c r="L43" s="177">
        <v>43922</v>
      </c>
      <c r="M43" s="55">
        <f t="shared" si="4"/>
        <v>2020</v>
      </c>
      <c r="N43" s="178" t="s">
        <v>242</v>
      </c>
      <c r="O43" s="179">
        <f t="shared" si="5"/>
        <v>1640</v>
      </c>
      <c r="P43" s="176">
        <f t="shared" si="18"/>
        <v>1217</v>
      </c>
      <c r="Q43" s="176">
        <f t="shared" si="19"/>
        <v>423</v>
      </c>
      <c r="R43" s="179">
        <f t="shared" si="20"/>
        <v>13</v>
      </c>
      <c r="S43" s="176">
        <f t="shared" si="9"/>
        <v>8</v>
      </c>
      <c r="T43" s="201">
        <f t="shared" si="0"/>
        <v>5</v>
      </c>
      <c r="U43" s="179">
        <f t="shared" si="21"/>
        <v>37348.66666666665</v>
      </c>
      <c r="V43" s="176">
        <f t="shared" si="11"/>
        <v>20297.666666666672</v>
      </c>
      <c r="W43" s="176">
        <f t="shared" si="12"/>
        <v>17051.000000000004</v>
      </c>
      <c r="X43" s="179">
        <f t="shared" si="13"/>
        <v>330.33333333333326</v>
      </c>
      <c r="Y43" s="176">
        <f t="shared" si="14"/>
        <v>187.66666666666666</v>
      </c>
      <c r="Z43" s="201">
        <f t="shared" si="15"/>
        <v>142.6666666666666</v>
      </c>
    </row>
    <row r="44" spans="2:51" x14ac:dyDescent="0.25">
      <c r="E44" s="224"/>
      <c r="F44" s="224"/>
      <c r="G44" s="224"/>
      <c r="H44" s="224"/>
      <c r="I44" s="224"/>
      <c r="J44" s="224"/>
      <c r="L44" s="177">
        <v>43952</v>
      </c>
      <c r="M44" s="55">
        <f t="shared" si="4"/>
        <v>2020</v>
      </c>
      <c r="N44" s="178" t="s">
        <v>242</v>
      </c>
      <c r="O44" s="179">
        <f t="shared" si="5"/>
        <v>1640</v>
      </c>
      <c r="P44" s="176">
        <f t="shared" si="18"/>
        <v>1217</v>
      </c>
      <c r="Q44" s="176">
        <f t="shared" si="19"/>
        <v>423</v>
      </c>
      <c r="R44" s="179">
        <f t="shared" si="20"/>
        <v>13</v>
      </c>
      <c r="S44" s="176">
        <f t="shared" si="9"/>
        <v>8</v>
      </c>
      <c r="T44" s="201">
        <f t="shared" si="0"/>
        <v>5</v>
      </c>
      <c r="U44" s="179">
        <f t="shared" si="21"/>
        <v>37895.333333333314</v>
      </c>
      <c r="V44" s="176">
        <f t="shared" si="11"/>
        <v>20703.333333333339</v>
      </c>
      <c r="W44" s="176">
        <f t="shared" si="12"/>
        <v>17192.000000000004</v>
      </c>
      <c r="X44" s="179">
        <f t="shared" si="13"/>
        <v>334.66666666666657</v>
      </c>
      <c r="Y44" s="176">
        <f t="shared" si="14"/>
        <v>190.33333333333331</v>
      </c>
      <c r="Z44" s="201">
        <f t="shared" si="15"/>
        <v>144.33333333333326</v>
      </c>
    </row>
    <row r="45" spans="2:51" x14ac:dyDescent="0.25">
      <c r="L45" s="177">
        <v>43983</v>
      </c>
      <c r="M45" s="55">
        <f t="shared" si="4"/>
        <v>2020</v>
      </c>
      <c r="N45" s="178" t="s">
        <v>242</v>
      </c>
      <c r="O45" s="179">
        <f t="shared" si="5"/>
        <v>1640</v>
      </c>
      <c r="P45" s="176">
        <f t="shared" si="18"/>
        <v>1217</v>
      </c>
      <c r="Q45" s="176">
        <f t="shared" si="19"/>
        <v>423</v>
      </c>
      <c r="R45" s="179">
        <f t="shared" si="20"/>
        <v>13</v>
      </c>
      <c r="S45" s="176">
        <f t="shared" si="9"/>
        <v>8</v>
      </c>
      <c r="T45" s="201">
        <f t="shared" si="0"/>
        <v>5</v>
      </c>
      <c r="U45" s="179">
        <f t="shared" si="21"/>
        <v>38441.999999999978</v>
      </c>
      <c r="V45" s="176">
        <f t="shared" si="11"/>
        <v>21109.000000000007</v>
      </c>
      <c r="W45" s="176">
        <f t="shared" si="12"/>
        <v>17333.000000000004</v>
      </c>
      <c r="X45" s="179">
        <f t="shared" si="13"/>
        <v>338.99999999999989</v>
      </c>
      <c r="Y45" s="176">
        <f t="shared" si="14"/>
        <v>192.99999999999997</v>
      </c>
      <c r="Z45" s="201">
        <f t="shared" si="15"/>
        <v>145.99999999999991</v>
      </c>
    </row>
    <row r="46" spans="2:51" x14ac:dyDescent="0.25">
      <c r="L46" s="177">
        <v>44013</v>
      </c>
      <c r="M46" s="55">
        <f t="shared" si="4"/>
        <v>2020</v>
      </c>
      <c r="N46" s="178" t="s">
        <v>243</v>
      </c>
      <c r="O46" s="179">
        <f t="shared" si="5"/>
        <v>3296</v>
      </c>
      <c r="P46" s="176">
        <f t="shared" si="18"/>
        <v>2554</v>
      </c>
      <c r="Q46" s="176">
        <f t="shared" si="19"/>
        <v>742</v>
      </c>
      <c r="R46" s="179">
        <f t="shared" si="20"/>
        <v>18</v>
      </c>
      <c r="S46" s="176">
        <f t="shared" si="9"/>
        <v>17</v>
      </c>
      <c r="T46" s="201">
        <f t="shared" si="0"/>
        <v>1</v>
      </c>
      <c r="U46" s="179">
        <f t="shared" si="21"/>
        <v>39540.666666666642</v>
      </c>
      <c r="V46" s="176">
        <f t="shared" si="11"/>
        <v>21960.333333333339</v>
      </c>
      <c r="W46" s="176">
        <f t="shared" si="12"/>
        <v>17580.333333333336</v>
      </c>
      <c r="X46" s="179">
        <f t="shared" si="13"/>
        <v>344.99999999999989</v>
      </c>
      <c r="Y46" s="176">
        <f t="shared" si="14"/>
        <v>198.66666666666663</v>
      </c>
      <c r="Z46" s="201">
        <f t="shared" si="15"/>
        <v>146.33333333333326</v>
      </c>
    </row>
    <row r="47" spans="2:51" x14ac:dyDescent="0.25">
      <c r="L47" s="177">
        <v>44044</v>
      </c>
      <c r="M47" s="55">
        <f t="shared" si="4"/>
        <v>2020</v>
      </c>
      <c r="N47" s="178" t="s">
        <v>243</v>
      </c>
      <c r="O47" s="179">
        <f t="shared" si="5"/>
        <v>3296</v>
      </c>
      <c r="P47" s="176">
        <f t="shared" si="18"/>
        <v>2554</v>
      </c>
      <c r="Q47" s="176">
        <f t="shared" si="19"/>
        <v>742</v>
      </c>
      <c r="R47" s="179">
        <f t="shared" si="20"/>
        <v>18</v>
      </c>
      <c r="S47" s="176">
        <f t="shared" si="9"/>
        <v>17</v>
      </c>
      <c r="T47" s="201">
        <f t="shared" si="0"/>
        <v>1</v>
      </c>
      <c r="U47" s="179">
        <f t="shared" si="21"/>
        <v>40639.333333333307</v>
      </c>
      <c r="V47" s="176">
        <f t="shared" si="11"/>
        <v>22811.666666666672</v>
      </c>
      <c r="W47" s="176">
        <f t="shared" si="12"/>
        <v>17827.666666666668</v>
      </c>
      <c r="X47" s="179">
        <f t="shared" si="13"/>
        <v>350.99999999999989</v>
      </c>
      <c r="Y47" s="176">
        <f t="shared" si="14"/>
        <v>204.33333333333329</v>
      </c>
      <c r="Z47" s="201">
        <f t="shared" si="15"/>
        <v>146.6666666666666</v>
      </c>
    </row>
    <row r="48" spans="2:51" x14ac:dyDescent="0.25">
      <c r="L48" s="177">
        <v>44075</v>
      </c>
      <c r="M48" s="55">
        <f t="shared" si="4"/>
        <v>2020</v>
      </c>
      <c r="N48" s="178" t="s">
        <v>243</v>
      </c>
      <c r="O48" s="179">
        <f t="shared" si="5"/>
        <v>3296</v>
      </c>
      <c r="P48" s="176">
        <f t="shared" si="18"/>
        <v>2554</v>
      </c>
      <c r="Q48" s="176">
        <f t="shared" si="19"/>
        <v>742</v>
      </c>
      <c r="R48" s="179">
        <f t="shared" si="20"/>
        <v>18</v>
      </c>
      <c r="S48" s="176">
        <f t="shared" si="9"/>
        <v>17</v>
      </c>
      <c r="T48" s="201">
        <f t="shared" si="0"/>
        <v>1</v>
      </c>
      <c r="U48" s="179">
        <f t="shared" si="21"/>
        <v>41737.999999999971</v>
      </c>
      <c r="V48" s="176">
        <f t="shared" si="11"/>
        <v>23663.000000000004</v>
      </c>
      <c r="W48" s="176">
        <f t="shared" si="12"/>
        <v>18075</v>
      </c>
      <c r="X48" s="179">
        <f t="shared" si="13"/>
        <v>356.99999999999989</v>
      </c>
      <c r="Y48" s="176">
        <f t="shared" si="14"/>
        <v>209.99999999999994</v>
      </c>
      <c r="Z48" s="201">
        <f t="shared" si="15"/>
        <v>146.99999999999994</v>
      </c>
    </row>
    <row r="49" spans="12:26" x14ac:dyDescent="0.25">
      <c r="L49" s="177">
        <v>44105</v>
      </c>
      <c r="M49" s="55">
        <f t="shared" si="4"/>
        <v>2020</v>
      </c>
      <c r="N49" s="178" t="s">
        <v>244</v>
      </c>
      <c r="O49" s="179">
        <f t="shared" si="5"/>
        <v>3477</v>
      </c>
      <c r="P49" s="176">
        <f t="shared" si="18"/>
        <v>2833</v>
      </c>
      <c r="Q49" s="176">
        <f t="shared" si="19"/>
        <v>644</v>
      </c>
      <c r="R49" s="179">
        <f t="shared" si="20"/>
        <v>28</v>
      </c>
      <c r="S49" s="176">
        <f t="shared" si="9"/>
        <v>20</v>
      </c>
      <c r="T49" s="201">
        <f t="shared" si="0"/>
        <v>8</v>
      </c>
      <c r="U49" s="179">
        <f t="shared" si="21"/>
        <v>42896.999999999971</v>
      </c>
      <c r="V49" s="176">
        <f t="shared" si="11"/>
        <v>24607.333333333336</v>
      </c>
      <c r="W49" s="176">
        <f t="shared" si="12"/>
        <v>18289.666666666668</v>
      </c>
      <c r="X49" s="179">
        <f t="shared" si="13"/>
        <v>366.3333333333332</v>
      </c>
      <c r="Y49" s="176">
        <f t="shared" si="14"/>
        <v>216.6666666666666</v>
      </c>
      <c r="Z49" s="201">
        <f t="shared" si="15"/>
        <v>149.6666666666666</v>
      </c>
    </row>
    <row r="50" spans="12:26" x14ac:dyDescent="0.25">
      <c r="L50" s="177">
        <v>44136</v>
      </c>
      <c r="M50" s="55">
        <f t="shared" si="4"/>
        <v>2020</v>
      </c>
      <c r="N50" s="178" t="s">
        <v>244</v>
      </c>
      <c r="O50" s="179">
        <f t="shared" si="5"/>
        <v>3477</v>
      </c>
      <c r="P50" s="176">
        <f t="shared" si="18"/>
        <v>2833</v>
      </c>
      <c r="Q50" s="176">
        <f t="shared" si="19"/>
        <v>644</v>
      </c>
      <c r="R50" s="179">
        <f t="shared" si="20"/>
        <v>28</v>
      </c>
      <c r="S50" s="176">
        <f t="shared" si="9"/>
        <v>20</v>
      </c>
      <c r="T50" s="201">
        <f t="shared" si="0"/>
        <v>8</v>
      </c>
      <c r="U50" s="179">
        <f t="shared" si="21"/>
        <v>44055.999999999971</v>
      </c>
      <c r="V50" s="176">
        <f t="shared" si="11"/>
        <v>25551.666666666668</v>
      </c>
      <c r="W50" s="176">
        <f t="shared" si="12"/>
        <v>18504.333333333336</v>
      </c>
      <c r="X50" s="179">
        <f t="shared" si="13"/>
        <v>375.66666666666652</v>
      </c>
      <c r="Y50" s="176">
        <f t="shared" si="14"/>
        <v>223.33333333333326</v>
      </c>
      <c r="Z50" s="201">
        <f t="shared" si="15"/>
        <v>152.33333333333326</v>
      </c>
    </row>
    <row r="51" spans="12:26" x14ac:dyDescent="0.25">
      <c r="L51" s="177">
        <v>44166</v>
      </c>
      <c r="M51" s="55">
        <f t="shared" si="4"/>
        <v>2020</v>
      </c>
      <c r="N51" s="178" t="s">
        <v>244</v>
      </c>
      <c r="O51" s="179">
        <f t="shared" si="5"/>
        <v>3477</v>
      </c>
      <c r="P51" s="176">
        <f t="shared" si="18"/>
        <v>2833</v>
      </c>
      <c r="Q51" s="176">
        <f t="shared" si="19"/>
        <v>644</v>
      </c>
      <c r="R51" s="179">
        <f t="shared" si="20"/>
        <v>28</v>
      </c>
      <c r="S51" s="176">
        <f t="shared" si="9"/>
        <v>20</v>
      </c>
      <c r="T51" s="201">
        <f t="shared" si="0"/>
        <v>8</v>
      </c>
      <c r="U51" s="179">
        <f t="shared" si="21"/>
        <v>45214.999999999971</v>
      </c>
      <c r="V51" s="176">
        <f t="shared" si="11"/>
        <v>26496</v>
      </c>
      <c r="W51" s="176">
        <f t="shared" si="12"/>
        <v>18719.000000000004</v>
      </c>
      <c r="X51" s="179">
        <f t="shared" si="13"/>
        <v>384.99999999999983</v>
      </c>
      <c r="Y51" s="176">
        <f t="shared" si="14"/>
        <v>229.99999999999991</v>
      </c>
      <c r="Z51" s="201">
        <f t="shared" si="15"/>
        <v>154.99999999999991</v>
      </c>
    </row>
    <row r="52" spans="12:26" x14ac:dyDescent="0.25">
      <c r="L52" s="177">
        <v>44197</v>
      </c>
      <c r="M52" s="55">
        <f t="shared" si="4"/>
        <v>2021</v>
      </c>
      <c r="N52" s="178" t="s">
        <v>245</v>
      </c>
      <c r="O52" s="179">
        <f t="shared" si="5"/>
        <v>3329</v>
      </c>
      <c r="P52" s="176">
        <f t="shared" si="18"/>
        <v>2568</v>
      </c>
      <c r="Q52" s="176">
        <f t="shared" ref="Q52:Q83" si="22">SUMIFS(G:G,$B:$B,$N52)</f>
        <v>761</v>
      </c>
      <c r="R52" s="179">
        <f t="shared" ref="R52:R83" si="23">SUMIFS(H:H,$B:$B,$N52)</f>
        <v>34</v>
      </c>
      <c r="S52" s="176">
        <f t="shared" si="9"/>
        <v>31</v>
      </c>
      <c r="T52" s="201">
        <f t="shared" si="0"/>
        <v>3</v>
      </c>
      <c r="U52" s="179">
        <f t="shared" si="21"/>
        <v>46324.666666666635</v>
      </c>
      <c r="V52" s="176">
        <f t="shared" si="11"/>
        <v>27352</v>
      </c>
      <c r="W52" s="176">
        <f t="shared" si="12"/>
        <v>18972.666666666672</v>
      </c>
      <c r="X52" s="179">
        <f t="shared" si="13"/>
        <v>396.33333333333314</v>
      </c>
      <c r="Y52" s="176">
        <f t="shared" si="14"/>
        <v>240.33333333333326</v>
      </c>
      <c r="Z52" s="201">
        <f t="shared" si="15"/>
        <v>155.99999999999991</v>
      </c>
    </row>
    <row r="53" spans="12:26" x14ac:dyDescent="0.25">
      <c r="L53" s="177">
        <v>44228</v>
      </c>
      <c r="M53" s="55">
        <f t="shared" si="4"/>
        <v>2021</v>
      </c>
      <c r="N53" s="178" t="s">
        <v>245</v>
      </c>
      <c r="O53" s="179">
        <f t="shared" si="5"/>
        <v>3329</v>
      </c>
      <c r="P53" s="176">
        <f t="shared" si="18"/>
        <v>2568</v>
      </c>
      <c r="Q53" s="176">
        <f t="shared" si="22"/>
        <v>761</v>
      </c>
      <c r="R53" s="179">
        <f t="shared" si="23"/>
        <v>34</v>
      </c>
      <c r="S53" s="176">
        <f t="shared" si="9"/>
        <v>31</v>
      </c>
      <c r="T53" s="201">
        <f t="shared" si="0"/>
        <v>3</v>
      </c>
      <c r="U53" s="179">
        <f t="shared" si="21"/>
        <v>47434.333333333299</v>
      </c>
      <c r="V53" s="176">
        <f t="shared" si="11"/>
        <v>28208</v>
      </c>
      <c r="W53" s="176">
        <f t="shared" si="12"/>
        <v>19226.333333333339</v>
      </c>
      <c r="X53" s="179">
        <f t="shared" si="13"/>
        <v>407.66666666666646</v>
      </c>
      <c r="Y53" s="176">
        <f t="shared" si="14"/>
        <v>250.6666666666666</v>
      </c>
      <c r="Z53" s="201">
        <f t="shared" si="15"/>
        <v>156.99999999999991</v>
      </c>
    </row>
    <row r="54" spans="12:26" x14ac:dyDescent="0.25">
      <c r="L54" s="177">
        <v>44256</v>
      </c>
      <c r="M54" s="55">
        <f t="shared" si="4"/>
        <v>2021</v>
      </c>
      <c r="N54" s="178" t="s">
        <v>245</v>
      </c>
      <c r="O54" s="179">
        <f t="shared" si="5"/>
        <v>3329</v>
      </c>
      <c r="P54" s="176">
        <f t="shared" si="18"/>
        <v>2568</v>
      </c>
      <c r="Q54" s="176">
        <f t="shared" si="22"/>
        <v>761</v>
      </c>
      <c r="R54" s="179">
        <f t="shared" si="23"/>
        <v>34</v>
      </c>
      <c r="S54" s="176">
        <f t="shared" si="9"/>
        <v>31</v>
      </c>
      <c r="T54" s="201">
        <f t="shared" si="0"/>
        <v>3</v>
      </c>
      <c r="U54" s="179">
        <f t="shared" si="21"/>
        <v>48543.999999999964</v>
      </c>
      <c r="V54" s="176">
        <f t="shared" si="11"/>
        <v>29064</v>
      </c>
      <c r="W54" s="176">
        <f t="shared" si="12"/>
        <v>19480.000000000007</v>
      </c>
      <c r="X54" s="179">
        <f t="shared" si="13"/>
        <v>418.99999999999977</v>
      </c>
      <c r="Y54" s="176">
        <f t="shared" si="14"/>
        <v>260.99999999999994</v>
      </c>
      <c r="Z54" s="201">
        <f t="shared" si="15"/>
        <v>157.99999999999991</v>
      </c>
    </row>
    <row r="55" spans="12:26" x14ac:dyDescent="0.25">
      <c r="L55" s="177">
        <v>44287</v>
      </c>
      <c r="M55" s="55">
        <f t="shared" si="4"/>
        <v>2021</v>
      </c>
      <c r="N55" s="178" t="s">
        <v>246</v>
      </c>
      <c r="O55" s="179">
        <f t="shared" si="5"/>
        <v>5096</v>
      </c>
      <c r="P55" s="176">
        <f t="shared" si="18"/>
        <v>3710</v>
      </c>
      <c r="Q55" s="176">
        <f t="shared" si="22"/>
        <v>1386</v>
      </c>
      <c r="R55" s="179">
        <f t="shared" si="23"/>
        <v>49</v>
      </c>
      <c r="S55" s="176">
        <f t="shared" si="9"/>
        <v>41</v>
      </c>
      <c r="T55" s="201">
        <f t="shared" si="0"/>
        <v>8</v>
      </c>
      <c r="U55" s="179">
        <f t="shared" si="21"/>
        <v>50242.666666666628</v>
      </c>
      <c r="V55" s="176">
        <f t="shared" si="11"/>
        <v>30300.666666666668</v>
      </c>
      <c r="W55" s="176">
        <f t="shared" si="12"/>
        <v>19942.000000000007</v>
      </c>
      <c r="X55" s="179">
        <f t="shared" si="13"/>
        <v>435.33333333333309</v>
      </c>
      <c r="Y55" s="176">
        <f t="shared" si="14"/>
        <v>274.66666666666663</v>
      </c>
      <c r="Z55" s="201">
        <f t="shared" si="15"/>
        <v>160.66666666666657</v>
      </c>
    </row>
    <row r="56" spans="12:26" x14ac:dyDescent="0.25">
      <c r="L56" s="177">
        <v>44317</v>
      </c>
      <c r="M56" s="55">
        <f t="shared" si="4"/>
        <v>2021</v>
      </c>
      <c r="N56" s="178" t="s">
        <v>246</v>
      </c>
      <c r="O56" s="179">
        <f t="shared" si="5"/>
        <v>5096</v>
      </c>
      <c r="P56" s="176">
        <f t="shared" si="18"/>
        <v>3710</v>
      </c>
      <c r="Q56" s="176">
        <f t="shared" si="22"/>
        <v>1386</v>
      </c>
      <c r="R56" s="179">
        <f t="shared" si="23"/>
        <v>49</v>
      </c>
      <c r="S56" s="176">
        <f t="shared" si="9"/>
        <v>41</v>
      </c>
      <c r="T56" s="201">
        <f t="shared" si="0"/>
        <v>8</v>
      </c>
      <c r="U56" s="179">
        <f t="shared" si="21"/>
        <v>51941.333333333292</v>
      </c>
      <c r="V56" s="176">
        <f t="shared" si="11"/>
        <v>31537.333333333336</v>
      </c>
      <c r="W56" s="176">
        <f t="shared" si="12"/>
        <v>20404.000000000007</v>
      </c>
      <c r="X56" s="179">
        <f t="shared" si="13"/>
        <v>451.6666666666664</v>
      </c>
      <c r="Y56" s="176">
        <f t="shared" si="14"/>
        <v>288.33333333333331</v>
      </c>
      <c r="Z56" s="201">
        <f t="shared" si="15"/>
        <v>163.33333333333323</v>
      </c>
    </row>
    <row r="57" spans="12:26" x14ac:dyDescent="0.25">
      <c r="L57" s="177">
        <v>44348</v>
      </c>
      <c r="M57" s="55">
        <f t="shared" si="4"/>
        <v>2021</v>
      </c>
      <c r="N57" s="178" t="s">
        <v>246</v>
      </c>
      <c r="O57" s="179">
        <f t="shared" si="5"/>
        <v>5096</v>
      </c>
      <c r="P57" s="176">
        <f t="shared" si="18"/>
        <v>3710</v>
      </c>
      <c r="Q57" s="176">
        <f t="shared" si="22"/>
        <v>1386</v>
      </c>
      <c r="R57" s="179">
        <f t="shared" si="23"/>
        <v>49</v>
      </c>
      <c r="S57" s="176">
        <f t="shared" si="9"/>
        <v>41</v>
      </c>
      <c r="T57" s="201">
        <f t="shared" si="0"/>
        <v>8</v>
      </c>
      <c r="U57" s="179">
        <f t="shared" si="21"/>
        <v>53639.999999999956</v>
      </c>
      <c r="V57" s="176">
        <f t="shared" si="11"/>
        <v>32774</v>
      </c>
      <c r="W57" s="176">
        <f t="shared" si="12"/>
        <v>20866.000000000007</v>
      </c>
      <c r="X57" s="179">
        <f t="shared" si="13"/>
        <v>467.99999999999972</v>
      </c>
      <c r="Y57" s="176">
        <f t="shared" si="14"/>
        <v>302</v>
      </c>
      <c r="Z57" s="201">
        <f t="shared" si="15"/>
        <v>165.99999999999989</v>
      </c>
    </row>
    <row r="58" spans="12:26" x14ac:dyDescent="0.25">
      <c r="L58" s="177">
        <v>44378</v>
      </c>
      <c r="M58" s="55">
        <f t="shared" si="4"/>
        <v>2021</v>
      </c>
      <c r="N58" s="178" t="s">
        <v>247</v>
      </c>
      <c r="O58" s="179">
        <f t="shared" si="5"/>
        <v>5162</v>
      </c>
      <c r="P58" s="176">
        <f t="shared" si="18"/>
        <v>3671</v>
      </c>
      <c r="Q58" s="176">
        <f t="shared" si="22"/>
        <v>1491</v>
      </c>
      <c r="R58" s="179">
        <f t="shared" si="23"/>
        <v>57</v>
      </c>
      <c r="S58" s="176">
        <f t="shared" si="9"/>
        <v>46</v>
      </c>
      <c r="T58" s="201">
        <f t="shared" si="0"/>
        <v>11</v>
      </c>
      <c r="U58" s="179">
        <f t="shared" si="21"/>
        <v>55360.666666666621</v>
      </c>
      <c r="V58" s="176">
        <f t="shared" si="11"/>
        <v>33997.666666666664</v>
      </c>
      <c r="W58" s="176">
        <f t="shared" si="12"/>
        <v>21363.000000000007</v>
      </c>
      <c r="X58" s="179">
        <f t="shared" si="13"/>
        <v>486.99999999999972</v>
      </c>
      <c r="Y58" s="176">
        <f t="shared" si="14"/>
        <v>317.33333333333331</v>
      </c>
      <c r="Z58" s="201">
        <f t="shared" si="15"/>
        <v>169.66666666666654</v>
      </c>
    </row>
    <row r="59" spans="12:26" x14ac:dyDescent="0.25">
      <c r="L59" s="177">
        <v>44409</v>
      </c>
      <c r="M59" s="55">
        <f t="shared" si="4"/>
        <v>2021</v>
      </c>
      <c r="N59" s="178" t="s">
        <v>247</v>
      </c>
      <c r="O59" s="179">
        <f t="shared" si="5"/>
        <v>5162</v>
      </c>
      <c r="P59" s="176">
        <f t="shared" si="18"/>
        <v>3671</v>
      </c>
      <c r="Q59" s="176">
        <f t="shared" si="22"/>
        <v>1491</v>
      </c>
      <c r="R59" s="179">
        <f t="shared" si="23"/>
        <v>57</v>
      </c>
      <c r="S59" s="176">
        <f t="shared" si="9"/>
        <v>46</v>
      </c>
      <c r="T59" s="201">
        <f t="shared" si="0"/>
        <v>11</v>
      </c>
      <c r="U59" s="179">
        <f t="shared" si="21"/>
        <v>57081.333333333285</v>
      </c>
      <c r="V59" s="176">
        <f t="shared" si="11"/>
        <v>35221.333333333328</v>
      </c>
      <c r="W59" s="176">
        <f t="shared" si="12"/>
        <v>21860.000000000007</v>
      </c>
      <c r="X59" s="179">
        <f t="shared" si="13"/>
        <v>505.99999999999972</v>
      </c>
      <c r="Y59" s="176">
        <f t="shared" si="14"/>
        <v>332.66666666666663</v>
      </c>
      <c r="Z59" s="201">
        <f t="shared" si="15"/>
        <v>173.3333333333332</v>
      </c>
    </row>
    <row r="60" spans="12:26" x14ac:dyDescent="0.25">
      <c r="L60" s="177">
        <v>44440</v>
      </c>
      <c r="M60" s="55">
        <f t="shared" si="4"/>
        <v>2021</v>
      </c>
      <c r="N60" s="178" t="s">
        <v>247</v>
      </c>
      <c r="O60" s="179">
        <f t="shared" si="5"/>
        <v>5162</v>
      </c>
      <c r="P60" s="176">
        <f t="shared" si="18"/>
        <v>3671</v>
      </c>
      <c r="Q60" s="176">
        <f t="shared" si="22"/>
        <v>1491</v>
      </c>
      <c r="R60" s="179">
        <f t="shared" si="23"/>
        <v>57</v>
      </c>
      <c r="S60" s="176">
        <f t="shared" si="9"/>
        <v>46</v>
      </c>
      <c r="T60" s="201">
        <f t="shared" si="0"/>
        <v>11</v>
      </c>
      <c r="U60" s="179">
        <f t="shared" si="21"/>
        <v>58801.999999999949</v>
      </c>
      <c r="V60" s="176">
        <f t="shared" si="11"/>
        <v>36444.999999999993</v>
      </c>
      <c r="W60" s="176">
        <f t="shared" si="12"/>
        <v>22357.000000000007</v>
      </c>
      <c r="X60" s="179">
        <f t="shared" si="13"/>
        <v>524.99999999999977</v>
      </c>
      <c r="Y60" s="176">
        <f t="shared" si="14"/>
        <v>347.99999999999994</v>
      </c>
      <c r="Z60" s="201">
        <f t="shared" si="15"/>
        <v>176.99999999999986</v>
      </c>
    </row>
    <row r="61" spans="12:26" x14ac:dyDescent="0.25">
      <c r="L61" s="177">
        <v>44470</v>
      </c>
      <c r="M61" s="55">
        <f t="shared" si="4"/>
        <v>2021</v>
      </c>
      <c r="N61" s="178" t="s">
        <v>248</v>
      </c>
      <c r="O61" s="179">
        <f t="shared" si="5"/>
        <v>6129</v>
      </c>
      <c r="P61" s="176">
        <f t="shared" si="18"/>
        <v>4787</v>
      </c>
      <c r="Q61" s="176">
        <f t="shared" si="22"/>
        <v>1342</v>
      </c>
      <c r="R61" s="179">
        <f t="shared" si="23"/>
        <v>39</v>
      </c>
      <c r="S61" s="176">
        <f t="shared" si="9"/>
        <v>29</v>
      </c>
      <c r="T61" s="201">
        <f t="shared" si="0"/>
        <v>10</v>
      </c>
      <c r="U61" s="179">
        <f t="shared" si="21"/>
        <v>60844.999999999949</v>
      </c>
      <c r="V61" s="176">
        <f t="shared" si="11"/>
        <v>38040.666666666657</v>
      </c>
      <c r="W61" s="176">
        <f t="shared" si="12"/>
        <v>22804.333333333339</v>
      </c>
      <c r="X61" s="179">
        <f t="shared" si="13"/>
        <v>537.99999999999977</v>
      </c>
      <c r="Y61" s="176">
        <f t="shared" si="14"/>
        <v>357.66666666666663</v>
      </c>
      <c r="Z61" s="201">
        <f t="shared" si="15"/>
        <v>180.3333333333332</v>
      </c>
    </row>
    <row r="62" spans="12:26" x14ac:dyDescent="0.25">
      <c r="L62" s="177">
        <v>44501</v>
      </c>
      <c r="M62" s="55">
        <f t="shared" si="4"/>
        <v>2021</v>
      </c>
      <c r="N62" s="178" t="s">
        <v>248</v>
      </c>
      <c r="O62" s="179">
        <f t="shared" si="5"/>
        <v>6129</v>
      </c>
      <c r="P62" s="176">
        <f t="shared" si="18"/>
        <v>4787</v>
      </c>
      <c r="Q62" s="176">
        <f t="shared" si="22"/>
        <v>1342</v>
      </c>
      <c r="R62" s="179">
        <f t="shared" si="23"/>
        <v>39</v>
      </c>
      <c r="S62" s="176">
        <f t="shared" si="9"/>
        <v>29</v>
      </c>
      <c r="T62" s="201">
        <f t="shared" si="0"/>
        <v>10</v>
      </c>
      <c r="U62" s="179">
        <f t="shared" si="21"/>
        <v>62887.999999999949</v>
      </c>
      <c r="V62" s="176">
        <f t="shared" si="11"/>
        <v>39636.333333333321</v>
      </c>
      <c r="W62" s="176">
        <f t="shared" si="12"/>
        <v>23251.666666666672</v>
      </c>
      <c r="X62" s="179">
        <f t="shared" si="13"/>
        <v>550.99999999999977</v>
      </c>
      <c r="Y62" s="176">
        <f t="shared" si="14"/>
        <v>367.33333333333331</v>
      </c>
      <c r="Z62" s="201">
        <f t="shared" si="15"/>
        <v>183.66666666666654</v>
      </c>
    </row>
    <row r="63" spans="12:26" x14ac:dyDescent="0.25">
      <c r="L63" s="177">
        <v>44531</v>
      </c>
      <c r="M63" s="55">
        <f t="shared" si="4"/>
        <v>2021</v>
      </c>
      <c r="N63" s="178" t="s">
        <v>248</v>
      </c>
      <c r="O63" s="179">
        <f t="shared" si="5"/>
        <v>6129</v>
      </c>
      <c r="P63" s="176">
        <f t="shared" si="18"/>
        <v>4787</v>
      </c>
      <c r="Q63" s="176">
        <f t="shared" si="22"/>
        <v>1342</v>
      </c>
      <c r="R63" s="179">
        <f t="shared" si="23"/>
        <v>39</v>
      </c>
      <c r="S63" s="176">
        <f t="shared" si="9"/>
        <v>29</v>
      </c>
      <c r="T63" s="201">
        <f t="shared" si="0"/>
        <v>10</v>
      </c>
      <c r="U63" s="179">
        <f t="shared" si="21"/>
        <v>64930.999999999949</v>
      </c>
      <c r="V63" s="176">
        <f t="shared" si="11"/>
        <v>41231.999999999985</v>
      </c>
      <c r="W63" s="176">
        <f t="shared" si="12"/>
        <v>23699.000000000004</v>
      </c>
      <c r="X63" s="179">
        <f t="shared" si="13"/>
        <v>563.99999999999977</v>
      </c>
      <c r="Y63" s="176">
        <f t="shared" si="14"/>
        <v>377</v>
      </c>
      <c r="Z63" s="201">
        <f t="shared" si="15"/>
        <v>186.99999999999989</v>
      </c>
    </row>
    <row r="64" spans="12:26" x14ac:dyDescent="0.25">
      <c r="L64" s="177">
        <v>44562</v>
      </c>
      <c r="M64" s="55">
        <f t="shared" si="4"/>
        <v>2022</v>
      </c>
      <c r="N64" s="178" t="s">
        <v>249</v>
      </c>
      <c r="O64" s="179">
        <f t="shared" si="5"/>
        <v>7124</v>
      </c>
      <c r="P64" s="176">
        <f t="shared" si="18"/>
        <v>5686</v>
      </c>
      <c r="Q64" s="176">
        <f t="shared" si="22"/>
        <v>1438</v>
      </c>
      <c r="R64" s="179">
        <f t="shared" si="23"/>
        <v>52</v>
      </c>
      <c r="S64" s="176">
        <f t="shared" si="9"/>
        <v>41</v>
      </c>
      <c r="T64" s="201">
        <f t="shared" si="0"/>
        <v>11</v>
      </c>
      <c r="U64" s="179">
        <f t="shared" si="21"/>
        <v>67305.666666666613</v>
      </c>
      <c r="V64" s="176">
        <f t="shared" si="11"/>
        <v>43127.333333333321</v>
      </c>
      <c r="W64" s="176">
        <f t="shared" si="12"/>
        <v>24178.333333333336</v>
      </c>
      <c r="X64" s="179">
        <f t="shared" si="13"/>
        <v>581.33333333333314</v>
      </c>
      <c r="Y64" s="176">
        <f t="shared" si="14"/>
        <v>390.66666666666669</v>
      </c>
      <c r="Z64" s="201">
        <f t="shared" si="15"/>
        <v>190.66666666666654</v>
      </c>
    </row>
    <row r="65" spans="12:26" x14ac:dyDescent="0.25">
      <c r="L65" s="177">
        <v>44593</v>
      </c>
      <c r="M65" s="55">
        <f t="shared" si="4"/>
        <v>2022</v>
      </c>
      <c r="N65" s="178" t="s">
        <v>249</v>
      </c>
      <c r="O65" s="179">
        <f t="shared" si="5"/>
        <v>7124</v>
      </c>
      <c r="P65" s="176">
        <f t="shared" si="18"/>
        <v>5686</v>
      </c>
      <c r="Q65" s="176">
        <f t="shared" si="22"/>
        <v>1438</v>
      </c>
      <c r="R65" s="179">
        <f t="shared" si="23"/>
        <v>52</v>
      </c>
      <c r="S65" s="176">
        <f t="shared" si="9"/>
        <v>41</v>
      </c>
      <c r="T65" s="201">
        <f t="shared" si="0"/>
        <v>11</v>
      </c>
      <c r="U65" s="179">
        <f t="shared" si="21"/>
        <v>69680.333333333285</v>
      </c>
      <c r="V65" s="176">
        <f t="shared" si="11"/>
        <v>45022.666666666657</v>
      </c>
      <c r="W65" s="176">
        <f t="shared" si="12"/>
        <v>24657.666666666668</v>
      </c>
      <c r="X65" s="179">
        <f t="shared" si="13"/>
        <v>598.66666666666652</v>
      </c>
      <c r="Y65" s="176">
        <f t="shared" si="14"/>
        <v>404.33333333333337</v>
      </c>
      <c r="Z65" s="201">
        <f t="shared" si="15"/>
        <v>194.3333333333332</v>
      </c>
    </row>
    <row r="66" spans="12:26" x14ac:dyDescent="0.25">
      <c r="L66" s="177">
        <v>44621</v>
      </c>
      <c r="M66" s="55">
        <f t="shared" si="4"/>
        <v>2022</v>
      </c>
      <c r="N66" s="178" t="s">
        <v>249</v>
      </c>
      <c r="O66" s="179">
        <f t="shared" si="5"/>
        <v>7124</v>
      </c>
      <c r="P66" s="176">
        <f t="shared" si="18"/>
        <v>5686</v>
      </c>
      <c r="Q66" s="176">
        <f t="shared" si="22"/>
        <v>1438</v>
      </c>
      <c r="R66" s="179">
        <f t="shared" si="23"/>
        <v>52</v>
      </c>
      <c r="S66" s="176">
        <f t="shared" si="9"/>
        <v>41</v>
      </c>
      <c r="T66" s="201">
        <f t="shared" si="0"/>
        <v>11</v>
      </c>
      <c r="U66" s="179">
        <f t="shared" si="21"/>
        <v>72054.999999999956</v>
      </c>
      <c r="V66" s="176">
        <f t="shared" si="11"/>
        <v>46917.999999999993</v>
      </c>
      <c r="W66" s="176">
        <f t="shared" si="12"/>
        <v>25137</v>
      </c>
      <c r="X66" s="179">
        <f t="shared" si="13"/>
        <v>615.99999999999989</v>
      </c>
      <c r="Y66" s="176">
        <f t="shared" si="14"/>
        <v>418.00000000000006</v>
      </c>
      <c r="Z66" s="201">
        <f t="shared" si="15"/>
        <v>197.99999999999986</v>
      </c>
    </row>
    <row r="67" spans="12:26" x14ac:dyDescent="0.25">
      <c r="L67" s="177">
        <v>44652</v>
      </c>
      <c r="M67" s="55">
        <f t="shared" si="4"/>
        <v>2022</v>
      </c>
      <c r="N67" s="178" t="s">
        <v>250</v>
      </c>
      <c r="O67" s="179">
        <f t="shared" si="5"/>
        <v>9534</v>
      </c>
      <c r="P67" s="176">
        <f t="shared" si="18"/>
        <v>7875</v>
      </c>
      <c r="Q67" s="176">
        <f t="shared" si="22"/>
        <v>1659</v>
      </c>
      <c r="R67" s="179">
        <f t="shared" si="23"/>
        <v>81</v>
      </c>
      <c r="S67" s="176">
        <f t="shared" si="9"/>
        <v>68</v>
      </c>
      <c r="T67" s="201">
        <f t="shared" si="0"/>
        <v>13</v>
      </c>
      <c r="U67" s="179">
        <f t="shared" si="21"/>
        <v>75232.999999999956</v>
      </c>
      <c r="V67" s="176">
        <f t="shared" si="11"/>
        <v>49542.999999999993</v>
      </c>
      <c r="W67" s="176">
        <f t="shared" si="12"/>
        <v>25690</v>
      </c>
      <c r="X67" s="179">
        <f t="shared" si="13"/>
        <v>642.99999999999989</v>
      </c>
      <c r="Y67" s="176">
        <f t="shared" si="14"/>
        <v>440.66666666666674</v>
      </c>
      <c r="Z67" s="201">
        <f t="shared" si="15"/>
        <v>202.3333333333332</v>
      </c>
    </row>
    <row r="68" spans="12:26" x14ac:dyDescent="0.25">
      <c r="L68" s="177">
        <v>44682</v>
      </c>
      <c r="M68" s="55">
        <f t="shared" si="4"/>
        <v>2022</v>
      </c>
      <c r="N68" s="178" t="s">
        <v>250</v>
      </c>
      <c r="O68" s="179">
        <f t="shared" si="5"/>
        <v>9534</v>
      </c>
      <c r="P68" s="176">
        <f t="shared" si="18"/>
        <v>7875</v>
      </c>
      <c r="Q68" s="176">
        <f t="shared" si="22"/>
        <v>1659</v>
      </c>
      <c r="R68" s="179">
        <f t="shared" si="23"/>
        <v>81</v>
      </c>
      <c r="S68" s="176">
        <f t="shared" si="9"/>
        <v>68</v>
      </c>
      <c r="T68" s="201">
        <f t="shared" ref="T68:T93" si="24">SUMIFS(J:J,$B:$B,$N68)</f>
        <v>13</v>
      </c>
      <c r="U68" s="179">
        <f t="shared" si="21"/>
        <v>78410.999999999956</v>
      </c>
      <c r="V68" s="176">
        <f t="shared" si="11"/>
        <v>52167.999999999993</v>
      </c>
      <c r="W68" s="176">
        <f t="shared" si="12"/>
        <v>26243</v>
      </c>
      <c r="X68" s="179">
        <f t="shared" si="13"/>
        <v>669.99999999999989</v>
      </c>
      <c r="Y68" s="176">
        <f t="shared" si="14"/>
        <v>463.33333333333343</v>
      </c>
      <c r="Z68" s="201">
        <f t="shared" si="15"/>
        <v>206.66666666666654</v>
      </c>
    </row>
    <row r="69" spans="12:26" x14ac:dyDescent="0.25">
      <c r="L69" s="177">
        <v>44713</v>
      </c>
      <c r="M69" s="55">
        <f t="shared" ref="M69:M87" si="25">YEAR(L69)</f>
        <v>2022</v>
      </c>
      <c r="N69" s="178" t="s">
        <v>250</v>
      </c>
      <c r="O69" s="179">
        <f t="shared" ref="O69:O93" si="26">SUMIFS(E:E,$B:$B,$N69)</f>
        <v>9534</v>
      </c>
      <c r="P69" s="176">
        <f t="shared" si="18"/>
        <v>7875</v>
      </c>
      <c r="Q69" s="176">
        <f t="shared" si="22"/>
        <v>1659</v>
      </c>
      <c r="R69" s="179">
        <f t="shared" si="23"/>
        <v>81</v>
      </c>
      <c r="S69" s="176">
        <f t="shared" ref="S69:S93" si="27">SUMIFS(I:I,$B:$B,$N69)</f>
        <v>68</v>
      </c>
      <c r="T69" s="201">
        <f t="shared" si="24"/>
        <v>13</v>
      </c>
      <c r="U69" s="179">
        <f t="shared" ref="U69:U87" si="28">O69/3+U68</f>
        <v>81588.999999999956</v>
      </c>
      <c r="V69" s="176">
        <f t="shared" ref="V69:V93" si="29">P69/3+V68</f>
        <v>54792.999999999993</v>
      </c>
      <c r="W69" s="176">
        <f t="shared" ref="W69:W93" si="30">Q69/3+W68</f>
        <v>26796</v>
      </c>
      <c r="X69" s="179">
        <f t="shared" ref="X69:X93" si="31">R69/3+X68</f>
        <v>696.99999999999989</v>
      </c>
      <c r="Y69" s="176">
        <f t="shared" ref="Y69:Y93" si="32">S69/3+Y68</f>
        <v>486.00000000000011</v>
      </c>
      <c r="Z69" s="201">
        <f t="shared" ref="Z69:Z93" si="33">T69/3+Z68</f>
        <v>210.99999999999989</v>
      </c>
    </row>
    <row r="70" spans="12:26" x14ac:dyDescent="0.25">
      <c r="L70" s="177">
        <v>44743</v>
      </c>
      <c r="M70" s="55">
        <f t="shared" si="25"/>
        <v>2022</v>
      </c>
      <c r="N70" s="178" t="s">
        <v>251</v>
      </c>
      <c r="O70" s="179">
        <f t="shared" si="26"/>
        <v>11013</v>
      </c>
      <c r="P70" s="176">
        <f t="shared" si="18"/>
        <v>9716</v>
      </c>
      <c r="Q70" s="176">
        <f t="shared" si="22"/>
        <v>1297</v>
      </c>
      <c r="R70" s="179">
        <f t="shared" si="23"/>
        <v>98</v>
      </c>
      <c r="S70" s="176">
        <f t="shared" si="27"/>
        <v>86</v>
      </c>
      <c r="T70" s="201">
        <f t="shared" si="24"/>
        <v>12</v>
      </c>
      <c r="U70" s="179">
        <f t="shared" si="28"/>
        <v>85259.999999999956</v>
      </c>
      <c r="V70" s="176">
        <f t="shared" si="29"/>
        <v>58031.666666666657</v>
      </c>
      <c r="W70" s="176">
        <f t="shared" si="30"/>
        <v>27228.333333333332</v>
      </c>
      <c r="X70" s="179">
        <f t="shared" si="31"/>
        <v>729.66666666666652</v>
      </c>
      <c r="Y70" s="176">
        <f t="shared" si="32"/>
        <v>514.66666666666674</v>
      </c>
      <c r="Z70" s="201">
        <f t="shared" si="33"/>
        <v>214.99999999999989</v>
      </c>
    </row>
    <row r="71" spans="12:26" x14ac:dyDescent="0.25">
      <c r="L71" s="177">
        <v>44774</v>
      </c>
      <c r="M71" s="55">
        <f t="shared" si="25"/>
        <v>2022</v>
      </c>
      <c r="N71" s="178" t="s">
        <v>251</v>
      </c>
      <c r="O71" s="179">
        <f t="shared" si="26"/>
        <v>11013</v>
      </c>
      <c r="P71" s="176">
        <f t="shared" si="18"/>
        <v>9716</v>
      </c>
      <c r="Q71" s="176">
        <f t="shared" si="22"/>
        <v>1297</v>
      </c>
      <c r="R71" s="179">
        <f t="shared" si="23"/>
        <v>98</v>
      </c>
      <c r="S71" s="176">
        <f t="shared" si="27"/>
        <v>86</v>
      </c>
      <c r="T71" s="201">
        <f t="shared" si="24"/>
        <v>12</v>
      </c>
      <c r="U71" s="179">
        <f t="shared" si="28"/>
        <v>88930.999999999956</v>
      </c>
      <c r="V71" s="176">
        <f t="shared" si="29"/>
        <v>61270.333333333321</v>
      </c>
      <c r="W71" s="176">
        <f t="shared" si="30"/>
        <v>27660.666666666664</v>
      </c>
      <c r="X71" s="179">
        <f t="shared" si="31"/>
        <v>762.33333333333314</v>
      </c>
      <c r="Y71" s="176">
        <f t="shared" si="32"/>
        <v>543.33333333333337</v>
      </c>
      <c r="Z71" s="201">
        <f t="shared" si="33"/>
        <v>218.99999999999989</v>
      </c>
    </row>
    <row r="72" spans="12:26" x14ac:dyDescent="0.25">
      <c r="L72" s="177">
        <v>44805</v>
      </c>
      <c r="M72" s="55">
        <f t="shared" si="25"/>
        <v>2022</v>
      </c>
      <c r="N72" s="178" t="s">
        <v>251</v>
      </c>
      <c r="O72" s="179">
        <f t="shared" si="26"/>
        <v>11013</v>
      </c>
      <c r="P72" s="176">
        <f t="shared" si="18"/>
        <v>9716</v>
      </c>
      <c r="Q72" s="176">
        <f t="shared" si="22"/>
        <v>1297</v>
      </c>
      <c r="R72" s="179">
        <f t="shared" si="23"/>
        <v>98</v>
      </c>
      <c r="S72" s="176">
        <f t="shared" si="27"/>
        <v>86</v>
      </c>
      <c r="T72" s="201">
        <f t="shared" si="24"/>
        <v>12</v>
      </c>
      <c r="U72" s="179">
        <f t="shared" si="28"/>
        <v>92601.999999999956</v>
      </c>
      <c r="V72" s="176">
        <f t="shared" si="29"/>
        <v>64508.999999999985</v>
      </c>
      <c r="W72" s="176">
        <f t="shared" si="30"/>
        <v>28092.999999999996</v>
      </c>
      <c r="X72" s="179">
        <f t="shared" si="31"/>
        <v>794.99999999999977</v>
      </c>
      <c r="Y72" s="176">
        <f t="shared" si="32"/>
        <v>572</v>
      </c>
      <c r="Z72" s="201">
        <f t="shared" si="33"/>
        <v>222.99999999999989</v>
      </c>
    </row>
    <row r="73" spans="12:26" x14ac:dyDescent="0.25">
      <c r="L73" s="177">
        <v>44835</v>
      </c>
      <c r="M73" s="55">
        <f t="shared" si="25"/>
        <v>2022</v>
      </c>
      <c r="N73" s="178" t="s">
        <v>252</v>
      </c>
      <c r="O73" s="179">
        <f t="shared" si="26"/>
        <v>10991</v>
      </c>
      <c r="P73" s="176">
        <f t="shared" si="18"/>
        <v>9506</v>
      </c>
      <c r="Q73" s="176">
        <f t="shared" si="22"/>
        <v>1485</v>
      </c>
      <c r="R73" s="179">
        <f t="shared" si="23"/>
        <v>97</v>
      </c>
      <c r="S73" s="176">
        <f t="shared" si="27"/>
        <v>86</v>
      </c>
      <c r="T73" s="201">
        <f t="shared" si="24"/>
        <v>11</v>
      </c>
      <c r="U73" s="179">
        <f t="shared" si="28"/>
        <v>96265.666666666628</v>
      </c>
      <c r="V73" s="176">
        <f t="shared" si="29"/>
        <v>67677.666666666657</v>
      </c>
      <c r="W73" s="176">
        <f t="shared" si="30"/>
        <v>28587.999999999996</v>
      </c>
      <c r="X73" s="179">
        <f t="shared" si="31"/>
        <v>827.33333333333314</v>
      </c>
      <c r="Y73" s="176">
        <f t="shared" si="32"/>
        <v>600.66666666666663</v>
      </c>
      <c r="Z73" s="201">
        <f t="shared" si="33"/>
        <v>226.66666666666654</v>
      </c>
    </row>
    <row r="74" spans="12:26" x14ac:dyDescent="0.25">
      <c r="L74" s="177">
        <v>44866</v>
      </c>
      <c r="M74" s="55">
        <f t="shared" si="25"/>
        <v>2022</v>
      </c>
      <c r="N74" s="178" t="s">
        <v>252</v>
      </c>
      <c r="O74" s="179">
        <f t="shared" si="26"/>
        <v>10991</v>
      </c>
      <c r="P74" s="176">
        <f t="shared" si="18"/>
        <v>9506</v>
      </c>
      <c r="Q74" s="176">
        <f t="shared" si="22"/>
        <v>1485</v>
      </c>
      <c r="R74" s="179">
        <f t="shared" si="23"/>
        <v>97</v>
      </c>
      <c r="S74" s="176">
        <f t="shared" si="27"/>
        <v>86</v>
      </c>
      <c r="T74" s="201">
        <f t="shared" si="24"/>
        <v>11</v>
      </c>
      <c r="U74" s="179">
        <f t="shared" si="28"/>
        <v>99929.333333333299</v>
      </c>
      <c r="V74" s="176">
        <f t="shared" si="29"/>
        <v>70846.333333333328</v>
      </c>
      <c r="W74" s="176">
        <f t="shared" si="30"/>
        <v>29082.999999999996</v>
      </c>
      <c r="X74" s="179">
        <f t="shared" si="31"/>
        <v>859.66666666666652</v>
      </c>
      <c r="Y74" s="176">
        <f t="shared" si="32"/>
        <v>629.33333333333326</v>
      </c>
      <c r="Z74" s="201">
        <f t="shared" si="33"/>
        <v>230.3333333333332</v>
      </c>
    </row>
    <row r="75" spans="12:26" x14ac:dyDescent="0.25">
      <c r="L75" s="177">
        <v>44896</v>
      </c>
      <c r="M75" s="55">
        <f t="shared" si="25"/>
        <v>2022</v>
      </c>
      <c r="N75" s="178" t="s">
        <v>252</v>
      </c>
      <c r="O75" s="179">
        <f t="shared" si="26"/>
        <v>10991</v>
      </c>
      <c r="P75" s="176">
        <f t="shared" si="18"/>
        <v>9506</v>
      </c>
      <c r="Q75" s="176">
        <f t="shared" si="22"/>
        <v>1485</v>
      </c>
      <c r="R75" s="179">
        <f t="shared" si="23"/>
        <v>97</v>
      </c>
      <c r="S75" s="176">
        <f t="shared" si="27"/>
        <v>86</v>
      </c>
      <c r="T75" s="201">
        <f t="shared" si="24"/>
        <v>11</v>
      </c>
      <c r="U75" s="179">
        <f t="shared" si="28"/>
        <v>103592.99999999997</v>
      </c>
      <c r="V75" s="176">
        <f t="shared" si="29"/>
        <v>74015</v>
      </c>
      <c r="W75" s="176">
        <f t="shared" si="30"/>
        <v>29577.999999999996</v>
      </c>
      <c r="X75" s="179">
        <f t="shared" si="31"/>
        <v>891.99999999999989</v>
      </c>
      <c r="Y75" s="176">
        <f t="shared" si="32"/>
        <v>657.99999999999989</v>
      </c>
      <c r="Z75" s="201">
        <f t="shared" si="33"/>
        <v>233.99999999999986</v>
      </c>
    </row>
    <row r="76" spans="12:26" x14ac:dyDescent="0.25">
      <c r="L76" s="177">
        <v>44927</v>
      </c>
      <c r="M76" s="55">
        <f t="shared" si="25"/>
        <v>2023</v>
      </c>
      <c r="N76" s="178" t="s">
        <v>253</v>
      </c>
      <c r="O76" s="179">
        <f t="shared" si="26"/>
        <v>8520</v>
      </c>
      <c r="P76" s="176">
        <f t="shared" si="18"/>
        <v>6760</v>
      </c>
      <c r="Q76" s="176">
        <f t="shared" si="22"/>
        <v>1760</v>
      </c>
      <c r="R76" s="179">
        <f t="shared" si="23"/>
        <v>82</v>
      </c>
      <c r="S76" s="176">
        <f t="shared" si="27"/>
        <v>69</v>
      </c>
      <c r="T76" s="201">
        <f t="shared" si="24"/>
        <v>13</v>
      </c>
      <c r="U76" s="179">
        <f t="shared" si="28"/>
        <v>106432.99999999997</v>
      </c>
      <c r="V76" s="176">
        <f t="shared" si="29"/>
        <v>76268.333333333328</v>
      </c>
      <c r="W76" s="176">
        <f t="shared" si="30"/>
        <v>30164.666666666664</v>
      </c>
      <c r="X76" s="179">
        <f t="shared" si="31"/>
        <v>919.33333333333326</v>
      </c>
      <c r="Y76" s="176">
        <f t="shared" si="32"/>
        <v>680.99999999999989</v>
      </c>
      <c r="Z76" s="201">
        <f t="shared" si="33"/>
        <v>238.3333333333332</v>
      </c>
    </row>
    <row r="77" spans="12:26" x14ac:dyDescent="0.25">
      <c r="L77" s="177">
        <v>44958</v>
      </c>
      <c r="M77" s="55">
        <f t="shared" si="25"/>
        <v>2023</v>
      </c>
      <c r="N77" s="178" t="s">
        <v>253</v>
      </c>
      <c r="O77" s="179">
        <f t="shared" si="26"/>
        <v>8520</v>
      </c>
      <c r="P77" s="176">
        <f t="shared" si="18"/>
        <v>6760</v>
      </c>
      <c r="Q77" s="176">
        <f t="shared" si="22"/>
        <v>1760</v>
      </c>
      <c r="R77" s="179">
        <f t="shared" si="23"/>
        <v>82</v>
      </c>
      <c r="S77" s="176">
        <f t="shared" si="27"/>
        <v>69</v>
      </c>
      <c r="T77" s="201">
        <f t="shared" si="24"/>
        <v>13</v>
      </c>
      <c r="U77" s="179">
        <f t="shared" si="28"/>
        <v>109272.99999999997</v>
      </c>
      <c r="V77" s="176">
        <f t="shared" si="29"/>
        <v>78521.666666666657</v>
      </c>
      <c r="W77" s="176">
        <f t="shared" si="30"/>
        <v>30751.333333333332</v>
      </c>
      <c r="X77" s="179">
        <f t="shared" si="31"/>
        <v>946.66666666666663</v>
      </c>
      <c r="Y77" s="176">
        <f t="shared" si="32"/>
        <v>703.99999999999989</v>
      </c>
      <c r="Z77" s="201">
        <f t="shared" si="33"/>
        <v>242.66666666666654</v>
      </c>
    </row>
    <row r="78" spans="12:26" x14ac:dyDescent="0.25">
      <c r="L78" s="177">
        <v>44986</v>
      </c>
      <c r="M78" s="55">
        <f t="shared" si="25"/>
        <v>2023</v>
      </c>
      <c r="N78" s="178" t="s">
        <v>253</v>
      </c>
      <c r="O78" s="179">
        <f t="shared" si="26"/>
        <v>8520</v>
      </c>
      <c r="P78" s="176">
        <f t="shared" si="18"/>
        <v>6760</v>
      </c>
      <c r="Q78" s="176">
        <f t="shared" si="22"/>
        <v>1760</v>
      </c>
      <c r="R78" s="179">
        <f t="shared" si="23"/>
        <v>82</v>
      </c>
      <c r="S78" s="176">
        <f t="shared" si="27"/>
        <v>69</v>
      </c>
      <c r="T78" s="201">
        <f t="shared" si="24"/>
        <v>13</v>
      </c>
      <c r="U78" s="179">
        <f t="shared" si="28"/>
        <v>112112.99999999997</v>
      </c>
      <c r="V78" s="176">
        <f t="shared" si="29"/>
        <v>80774.999999999985</v>
      </c>
      <c r="W78" s="176">
        <f t="shared" si="30"/>
        <v>31338</v>
      </c>
      <c r="X78" s="179">
        <f t="shared" si="31"/>
        <v>974</v>
      </c>
      <c r="Y78" s="176">
        <f t="shared" si="32"/>
        <v>726.99999999999989</v>
      </c>
      <c r="Z78" s="201">
        <f t="shared" si="33"/>
        <v>246.99999999999989</v>
      </c>
    </row>
    <row r="79" spans="12:26" x14ac:dyDescent="0.25">
      <c r="L79" s="177">
        <v>45017</v>
      </c>
      <c r="M79" s="55">
        <f t="shared" si="25"/>
        <v>2023</v>
      </c>
      <c r="N79" s="178" t="s">
        <v>254</v>
      </c>
      <c r="O79" s="179">
        <f t="shared" si="26"/>
        <v>12797</v>
      </c>
      <c r="P79" s="176">
        <f t="shared" si="18"/>
        <v>9486</v>
      </c>
      <c r="Q79" s="176">
        <f t="shared" si="22"/>
        <v>3311</v>
      </c>
      <c r="R79" s="179">
        <f t="shared" si="23"/>
        <v>147</v>
      </c>
      <c r="S79" s="176">
        <f t="shared" si="27"/>
        <v>113</v>
      </c>
      <c r="T79" s="201">
        <f t="shared" si="24"/>
        <v>34</v>
      </c>
      <c r="U79" s="179">
        <f t="shared" si="28"/>
        <v>116378.66666666664</v>
      </c>
      <c r="V79" s="176">
        <f t="shared" si="29"/>
        <v>83936.999999999985</v>
      </c>
      <c r="W79" s="176">
        <f t="shared" si="30"/>
        <v>32441.666666666668</v>
      </c>
      <c r="X79" s="179">
        <f t="shared" si="31"/>
        <v>1023</v>
      </c>
      <c r="Y79" s="176">
        <f t="shared" si="32"/>
        <v>764.66666666666652</v>
      </c>
      <c r="Z79" s="201">
        <f t="shared" si="33"/>
        <v>258.3333333333332</v>
      </c>
    </row>
    <row r="80" spans="12:26" x14ac:dyDescent="0.25">
      <c r="L80" s="177">
        <v>45047</v>
      </c>
      <c r="M80" s="55">
        <f t="shared" si="25"/>
        <v>2023</v>
      </c>
      <c r="N80" s="178" t="s">
        <v>254</v>
      </c>
      <c r="O80" s="179">
        <f t="shared" si="26"/>
        <v>12797</v>
      </c>
      <c r="P80" s="176">
        <f t="shared" si="18"/>
        <v>9486</v>
      </c>
      <c r="Q80" s="176">
        <f t="shared" si="22"/>
        <v>3311</v>
      </c>
      <c r="R80" s="179">
        <f t="shared" si="23"/>
        <v>147</v>
      </c>
      <c r="S80" s="176">
        <f t="shared" si="27"/>
        <v>113</v>
      </c>
      <c r="T80" s="201">
        <f t="shared" si="24"/>
        <v>34</v>
      </c>
      <c r="U80" s="179">
        <f t="shared" si="28"/>
        <v>120644.33333333331</v>
      </c>
      <c r="V80" s="176">
        <f t="shared" si="29"/>
        <v>87098.999999999985</v>
      </c>
      <c r="W80" s="176">
        <f t="shared" si="30"/>
        <v>33545.333333333336</v>
      </c>
      <c r="X80" s="179">
        <f t="shared" si="31"/>
        <v>1072</v>
      </c>
      <c r="Y80" s="176">
        <f t="shared" si="32"/>
        <v>802.33333333333314</v>
      </c>
      <c r="Z80" s="201">
        <f t="shared" si="33"/>
        <v>269.66666666666652</v>
      </c>
    </row>
    <row r="81" spans="12:26" x14ac:dyDescent="0.25">
      <c r="L81" s="177">
        <v>45078</v>
      </c>
      <c r="M81" s="55">
        <f t="shared" si="25"/>
        <v>2023</v>
      </c>
      <c r="N81" s="178" t="s">
        <v>254</v>
      </c>
      <c r="O81" s="179">
        <f t="shared" si="26"/>
        <v>12797</v>
      </c>
      <c r="P81" s="176">
        <f t="shared" si="18"/>
        <v>9486</v>
      </c>
      <c r="Q81" s="176">
        <f t="shared" si="22"/>
        <v>3311</v>
      </c>
      <c r="R81" s="179">
        <f t="shared" si="23"/>
        <v>147</v>
      </c>
      <c r="S81" s="176">
        <f t="shared" si="27"/>
        <v>113</v>
      </c>
      <c r="T81" s="201">
        <f t="shared" si="24"/>
        <v>34</v>
      </c>
      <c r="U81" s="179">
        <f t="shared" si="28"/>
        <v>124909.99999999999</v>
      </c>
      <c r="V81" s="176">
        <f t="shared" si="29"/>
        <v>90260.999999999985</v>
      </c>
      <c r="W81" s="176">
        <f t="shared" si="30"/>
        <v>34649</v>
      </c>
      <c r="X81" s="179">
        <f t="shared" si="31"/>
        <v>1121</v>
      </c>
      <c r="Y81" s="176">
        <f t="shared" si="32"/>
        <v>839.99999999999977</v>
      </c>
      <c r="Z81" s="201">
        <f t="shared" si="33"/>
        <v>280.99999999999983</v>
      </c>
    </row>
    <row r="82" spans="12:26" x14ac:dyDescent="0.25">
      <c r="L82" s="177">
        <v>45108</v>
      </c>
      <c r="M82" s="55">
        <f t="shared" si="25"/>
        <v>2023</v>
      </c>
      <c r="N82" s="178" t="s">
        <v>255</v>
      </c>
      <c r="O82" s="179">
        <f t="shared" si="26"/>
        <v>14710</v>
      </c>
      <c r="P82" s="176">
        <f t="shared" si="18"/>
        <v>11458</v>
      </c>
      <c r="Q82" s="176">
        <f t="shared" si="22"/>
        <v>3252</v>
      </c>
      <c r="R82" s="179">
        <f t="shared" si="23"/>
        <v>147</v>
      </c>
      <c r="S82" s="176">
        <f t="shared" si="27"/>
        <v>113</v>
      </c>
      <c r="T82" s="201">
        <f t="shared" si="24"/>
        <v>34</v>
      </c>
      <c r="U82" s="179">
        <f t="shared" si="28"/>
        <v>129813.33333333331</v>
      </c>
      <c r="V82" s="176">
        <f t="shared" si="29"/>
        <v>94080.333333333314</v>
      </c>
      <c r="W82" s="176">
        <f t="shared" si="30"/>
        <v>35733</v>
      </c>
      <c r="X82" s="179">
        <f t="shared" si="31"/>
        <v>1170</v>
      </c>
      <c r="Y82" s="176">
        <f t="shared" si="32"/>
        <v>877.6666666666664</v>
      </c>
      <c r="Z82" s="201">
        <f t="shared" si="33"/>
        <v>292.33333333333314</v>
      </c>
    </row>
    <row r="83" spans="12:26" x14ac:dyDescent="0.25">
      <c r="L83" s="177">
        <v>45139</v>
      </c>
      <c r="M83" s="55">
        <f t="shared" si="25"/>
        <v>2023</v>
      </c>
      <c r="N83" s="178" t="s">
        <v>255</v>
      </c>
      <c r="O83" s="179">
        <f t="shared" si="26"/>
        <v>14710</v>
      </c>
      <c r="P83" s="176">
        <f t="shared" si="18"/>
        <v>11458</v>
      </c>
      <c r="Q83" s="176">
        <f t="shared" si="22"/>
        <v>3252</v>
      </c>
      <c r="R83" s="179">
        <f t="shared" si="23"/>
        <v>147</v>
      </c>
      <c r="S83" s="176">
        <f t="shared" si="27"/>
        <v>113</v>
      </c>
      <c r="T83" s="201">
        <f t="shared" si="24"/>
        <v>34</v>
      </c>
      <c r="U83" s="179">
        <f t="shared" si="28"/>
        <v>134716.66666666666</v>
      </c>
      <c r="V83" s="176">
        <f t="shared" si="29"/>
        <v>97899.666666666642</v>
      </c>
      <c r="W83" s="176">
        <f t="shared" si="30"/>
        <v>36817</v>
      </c>
      <c r="X83" s="179">
        <f t="shared" si="31"/>
        <v>1219</v>
      </c>
      <c r="Y83" s="176">
        <f t="shared" si="32"/>
        <v>915.33333333333303</v>
      </c>
      <c r="Z83" s="201">
        <f t="shared" si="33"/>
        <v>303.66666666666646</v>
      </c>
    </row>
    <row r="84" spans="12:26" x14ac:dyDescent="0.25">
      <c r="L84" s="177">
        <v>45170</v>
      </c>
      <c r="M84" s="55">
        <f t="shared" si="25"/>
        <v>2023</v>
      </c>
      <c r="N84" s="178" t="s">
        <v>255</v>
      </c>
      <c r="O84" s="179">
        <f t="shared" si="26"/>
        <v>14710</v>
      </c>
      <c r="P84" s="176">
        <f t="shared" ref="P84:P93" si="34">SUMIFS(F:F,$B:$B,$N84)</f>
        <v>11458</v>
      </c>
      <c r="Q84" s="176">
        <f t="shared" ref="Q84:Q93" si="35">SUMIFS(G:G,$B:$B,$N84)</f>
        <v>3252</v>
      </c>
      <c r="R84" s="179">
        <f t="shared" ref="R84:R93" si="36">SUMIFS(H:H,$B:$B,$N84)</f>
        <v>147</v>
      </c>
      <c r="S84" s="176">
        <f t="shared" si="27"/>
        <v>113</v>
      </c>
      <c r="T84" s="201">
        <f t="shared" si="24"/>
        <v>34</v>
      </c>
      <c r="U84" s="179">
        <f t="shared" si="28"/>
        <v>139620</v>
      </c>
      <c r="V84" s="176">
        <f t="shared" si="29"/>
        <v>101718.99999999997</v>
      </c>
      <c r="W84" s="176">
        <f t="shared" si="30"/>
        <v>37901</v>
      </c>
      <c r="X84" s="179">
        <f t="shared" si="31"/>
        <v>1268</v>
      </c>
      <c r="Y84" s="176">
        <f t="shared" si="32"/>
        <v>952.99999999999966</v>
      </c>
      <c r="Z84" s="201">
        <f t="shared" si="33"/>
        <v>314.99999999999977</v>
      </c>
    </row>
    <row r="85" spans="12:26" x14ac:dyDescent="0.25">
      <c r="L85" s="177">
        <v>45200</v>
      </c>
      <c r="M85" s="55">
        <f t="shared" si="25"/>
        <v>2023</v>
      </c>
      <c r="N85" s="178" t="s">
        <v>256</v>
      </c>
      <c r="O85" s="179">
        <f t="shared" si="26"/>
        <v>14105</v>
      </c>
      <c r="P85" s="176">
        <f t="shared" si="34"/>
        <v>10931</v>
      </c>
      <c r="Q85" s="176">
        <f t="shared" si="35"/>
        <v>3174</v>
      </c>
      <c r="R85" s="179">
        <f t="shared" si="36"/>
        <v>146</v>
      </c>
      <c r="S85" s="176">
        <f t="shared" si="27"/>
        <v>117</v>
      </c>
      <c r="T85" s="201">
        <f t="shared" si="24"/>
        <v>29</v>
      </c>
      <c r="U85" s="179">
        <f t="shared" si="28"/>
        <v>144321.66666666666</v>
      </c>
      <c r="V85" s="176">
        <f t="shared" si="29"/>
        <v>105362.66666666664</v>
      </c>
      <c r="W85" s="176">
        <f t="shared" si="30"/>
        <v>38959</v>
      </c>
      <c r="X85" s="179">
        <f t="shared" si="31"/>
        <v>1316.6666666666667</v>
      </c>
      <c r="Y85" s="176">
        <f t="shared" si="32"/>
        <v>991.99999999999966</v>
      </c>
      <c r="Z85" s="201">
        <f t="shared" si="33"/>
        <v>324.66666666666646</v>
      </c>
    </row>
    <row r="86" spans="12:26" x14ac:dyDescent="0.25">
      <c r="L86" s="177">
        <v>45231</v>
      </c>
      <c r="M86" s="55">
        <f t="shared" si="25"/>
        <v>2023</v>
      </c>
      <c r="N86" s="178" t="s">
        <v>256</v>
      </c>
      <c r="O86" s="179">
        <f t="shared" si="26"/>
        <v>14105</v>
      </c>
      <c r="P86" s="176">
        <f t="shared" si="34"/>
        <v>10931</v>
      </c>
      <c r="Q86" s="176">
        <f t="shared" si="35"/>
        <v>3174</v>
      </c>
      <c r="R86" s="179">
        <f t="shared" si="36"/>
        <v>146</v>
      </c>
      <c r="S86" s="176">
        <f t="shared" si="27"/>
        <v>117</v>
      </c>
      <c r="T86" s="201">
        <f t="shared" si="24"/>
        <v>29</v>
      </c>
      <c r="U86" s="179">
        <f t="shared" si="28"/>
        <v>149023.33333333331</v>
      </c>
      <c r="V86" s="176">
        <f t="shared" si="29"/>
        <v>109006.33333333331</v>
      </c>
      <c r="W86" s="176">
        <f t="shared" si="30"/>
        <v>40017</v>
      </c>
      <c r="X86" s="179">
        <f t="shared" si="31"/>
        <v>1365.3333333333335</v>
      </c>
      <c r="Y86" s="176">
        <f t="shared" si="32"/>
        <v>1030.9999999999995</v>
      </c>
      <c r="Z86" s="201">
        <f t="shared" si="33"/>
        <v>334.33333333333314</v>
      </c>
    </row>
    <row r="87" spans="12:26" x14ac:dyDescent="0.25">
      <c r="L87" s="177">
        <v>45261</v>
      </c>
      <c r="M87" s="55">
        <f t="shared" si="25"/>
        <v>2023</v>
      </c>
      <c r="N87" s="178" t="s">
        <v>256</v>
      </c>
      <c r="O87" s="179">
        <f t="shared" si="26"/>
        <v>14105</v>
      </c>
      <c r="P87" s="176">
        <f t="shared" si="34"/>
        <v>10931</v>
      </c>
      <c r="Q87" s="176">
        <f t="shared" si="35"/>
        <v>3174</v>
      </c>
      <c r="R87" s="179">
        <f t="shared" si="36"/>
        <v>146</v>
      </c>
      <c r="S87" s="176">
        <f t="shared" si="27"/>
        <v>117</v>
      </c>
      <c r="T87" s="201">
        <f t="shared" si="24"/>
        <v>29</v>
      </c>
      <c r="U87" s="179">
        <f t="shared" si="28"/>
        <v>153724.99999999997</v>
      </c>
      <c r="V87" s="176">
        <f t="shared" si="29"/>
        <v>112649.99999999999</v>
      </c>
      <c r="W87" s="176">
        <f t="shared" si="30"/>
        <v>41075</v>
      </c>
      <c r="X87" s="179">
        <f t="shared" si="31"/>
        <v>1414.0000000000002</v>
      </c>
      <c r="Y87" s="176">
        <f t="shared" si="32"/>
        <v>1069.9999999999995</v>
      </c>
      <c r="Z87" s="201">
        <f t="shared" si="33"/>
        <v>343.99999999999983</v>
      </c>
    </row>
    <row r="88" spans="12:26" x14ac:dyDescent="0.25">
      <c r="L88" s="177">
        <v>45292</v>
      </c>
      <c r="M88" s="55">
        <f t="shared" ref="M88:M93" si="37">YEAR(L88)</f>
        <v>2024</v>
      </c>
      <c r="N88" s="178" t="s">
        <v>257</v>
      </c>
      <c r="O88" s="179">
        <f t="shared" si="26"/>
        <v>11026</v>
      </c>
      <c r="P88" s="176">
        <f t="shared" si="34"/>
        <v>8144</v>
      </c>
      <c r="Q88" s="176">
        <f t="shared" si="35"/>
        <v>2882</v>
      </c>
      <c r="R88" s="179">
        <f t="shared" si="36"/>
        <v>111</v>
      </c>
      <c r="S88" s="176">
        <f t="shared" si="27"/>
        <v>90</v>
      </c>
      <c r="T88" s="201">
        <f t="shared" si="24"/>
        <v>21</v>
      </c>
      <c r="U88" s="179">
        <f t="shared" ref="U88:U93" si="38">O88/3+U87</f>
        <v>157400.33333333331</v>
      </c>
      <c r="V88" s="176">
        <f t="shared" si="29"/>
        <v>115364.66666666666</v>
      </c>
      <c r="W88" s="176">
        <f t="shared" si="30"/>
        <v>42035.666666666664</v>
      </c>
      <c r="X88" s="179">
        <f t="shared" si="31"/>
        <v>1451.0000000000002</v>
      </c>
      <c r="Y88" s="176">
        <f t="shared" si="32"/>
        <v>1099.9999999999995</v>
      </c>
      <c r="Z88" s="201">
        <f t="shared" si="33"/>
        <v>350.99999999999983</v>
      </c>
    </row>
    <row r="89" spans="12:26" x14ac:dyDescent="0.25">
      <c r="L89" s="177">
        <v>45323</v>
      </c>
      <c r="M89" s="55">
        <f t="shared" si="37"/>
        <v>2024</v>
      </c>
      <c r="N89" s="178" t="s">
        <v>257</v>
      </c>
      <c r="O89" s="179">
        <f t="shared" si="26"/>
        <v>11026</v>
      </c>
      <c r="P89" s="176">
        <f t="shared" si="34"/>
        <v>8144</v>
      </c>
      <c r="Q89" s="176">
        <f t="shared" si="35"/>
        <v>2882</v>
      </c>
      <c r="R89" s="179">
        <f t="shared" si="36"/>
        <v>111</v>
      </c>
      <c r="S89" s="176">
        <f t="shared" si="27"/>
        <v>90</v>
      </c>
      <c r="T89" s="201">
        <f t="shared" si="24"/>
        <v>21</v>
      </c>
      <c r="U89" s="179">
        <f t="shared" si="38"/>
        <v>161075.66666666666</v>
      </c>
      <c r="V89" s="176">
        <f t="shared" si="29"/>
        <v>118079.33333333333</v>
      </c>
      <c r="W89" s="176">
        <f t="shared" si="30"/>
        <v>42996.333333333328</v>
      </c>
      <c r="X89" s="179">
        <f t="shared" si="31"/>
        <v>1488.0000000000002</v>
      </c>
      <c r="Y89" s="176">
        <f t="shared" si="32"/>
        <v>1129.9999999999995</v>
      </c>
      <c r="Z89" s="201">
        <f t="shared" si="33"/>
        <v>357.99999999999983</v>
      </c>
    </row>
    <row r="90" spans="12:26" x14ac:dyDescent="0.25">
      <c r="L90" s="177">
        <v>45352</v>
      </c>
      <c r="M90" s="55">
        <f t="shared" si="37"/>
        <v>2024</v>
      </c>
      <c r="N90" s="178" t="s">
        <v>257</v>
      </c>
      <c r="O90" s="179">
        <f t="shared" si="26"/>
        <v>11026</v>
      </c>
      <c r="P90" s="176">
        <f t="shared" si="34"/>
        <v>8144</v>
      </c>
      <c r="Q90" s="176">
        <f t="shared" si="35"/>
        <v>2882</v>
      </c>
      <c r="R90" s="179">
        <f t="shared" si="36"/>
        <v>111</v>
      </c>
      <c r="S90" s="176">
        <f t="shared" si="27"/>
        <v>90</v>
      </c>
      <c r="T90" s="201">
        <f t="shared" si="24"/>
        <v>21</v>
      </c>
      <c r="U90" s="179">
        <f t="shared" si="38"/>
        <v>164751</v>
      </c>
      <c r="V90" s="176">
        <f t="shared" si="29"/>
        <v>120794</v>
      </c>
      <c r="W90" s="176">
        <f t="shared" si="30"/>
        <v>43956.999999999993</v>
      </c>
      <c r="X90" s="179">
        <f t="shared" si="31"/>
        <v>1525.0000000000002</v>
      </c>
      <c r="Y90" s="176">
        <f t="shared" si="32"/>
        <v>1159.9999999999995</v>
      </c>
      <c r="Z90" s="201">
        <f t="shared" si="33"/>
        <v>364.99999999999983</v>
      </c>
    </row>
    <row r="91" spans="12:26" x14ac:dyDescent="0.25">
      <c r="L91" s="177">
        <v>45383</v>
      </c>
      <c r="M91" s="55">
        <f t="shared" si="37"/>
        <v>2024</v>
      </c>
      <c r="N91" s="178" t="s">
        <v>258</v>
      </c>
      <c r="O91" s="179">
        <f t="shared" si="26"/>
        <v>14377</v>
      </c>
      <c r="P91" s="176">
        <f t="shared" si="34"/>
        <v>10469</v>
      </c>
      <c r="Q91" s="176">
        <f t="shared" si="35"/>
        <v>3908</v>
      </c>
      <c r="R91" s="179">
        <f t="shared" si="36"/>
        <v>214</v>
      </c>
      <c r="S91" s="176">
        <f t="shared" si="27"/>
        <v>184</v>
      </c>
      <c r="T91" s="201">
        <f t="shared" si="24"/>
        <v>30</v>
      </c>
      <c r="U91" s="179">
        <f t="shared" si="38"/>
        <v>169543.33333333334</v>
      </c>
      <c r="V91" s="176">
        <f t="shared" si="29"/>
        <v>124283.66666666667</v>
      </c>
      <c r="W91" s="176">
        <f t="shared" si="30"/>
        <v>45259.666666666657</v>
      </c>
      <c r="X91" s="179">
        <f t="shared" si="31"/>
        <v>1596.3333333333335</v>
      </c>
      <c r="Y91" s="176">
        <f t="shared" si="32"/>
        <v>1221.3333333333328</v>
      </c>
      <c r="Z91" s="201">
        <f t="shared" si="33"/>
        <v>374.99999999999983</v>
      </c>
    </row>
    <row r="92" spans="12:26" x14ac:dyDescent="0.25">
      <c r="L92" s="177">
        <v>45413</v>
      </c>
      <c r="M92" s="55">
        <f t="shared" si="37"/>
        <v>2024</v>
      </c>
      <c r="N92" s="178" t="s">
        <v>258</v>
      </c>
      <c r="O92" s="179">
        <f t="shared" si="26"/>
        <v>14377</v>
      </c>
      <c r="P92" s="176">
        <f t="shared" si="34"/>
        <v>10469</v>
      </c>
      <c r="Q92" s="176">
        <f t="shared" si="35"/>
        <v>3908</v>
      </c>
      <c r="R92" s="179">
        <f t="shared" si="36"/>
        <v>214</v>
      </c>
      <c r="S92" s="176">
        <f t="shared" si="27"/>
        <v>184</v>
      </c>
      <c r="T92" s="201">
        <f t="shared" si="24"/>
        <v>30</v>
      </c>
      <c r="U92" s="179">
        <f t="shared" si="38"/>
        <v>174335.66666666669</v>
      </c>
      <c r="V92" s="176">
        <f t="shared" si="29"/>
        <v>127773.33333333334</v>
      </c>
      <c r="W92" s="176">
        <f t="shared" si="30"/>
        <v>46562.333333333321</v>
      </c>
      <c r="X92" s="179">
        <f t="shared" si="31"/>
        <v>1667.6666666666667</v>
      </c>
      <c r="Y92" s="176">
        <f t="shared" si="32"/>
        <v>1282.6666666666661</v>
      </c>
      <c r="Z92" s="201">
        <f t="shared" si="33"/>
        <v>384.99999999999983</v>
      </c>
    </row>
    <row r="93" spans="12:26" x14ac:dyDescent="0.25">
      <c r="L93" s="177">
        <v>45444</v>
      </c>
      <c r="M93" s="55">
        <f t="shared" si="37"/>
        <v>2024</v>
      </c>
      <c r="N93" s="178" t="s">
        <v>258</v>
      </c>
      <c r="O93" s="179">
        <f t="shared" si="26"/>
        <v>14377</v>
      </c>
      <c r="P93" s="176">
        <f t="shared" si="34"/>
        <v>10469</v>
      </c>
      <c r="Q93" s="176">
        <f t="shared" si="35"/>
        <v>3908</v>
      </c>
      <c r="R93" s="179">
        <f t="shared" si="36"/>
        <v>214</v>
      </c>
      <c r="S93" s="176">
        <f t="shared" si="27"/>
        <v>184</v>
      </c>
      <c r="T93" s="201">
        <f t="shared" si="24"/>
        <v>30</v>
      </c>
      <c r="U93" s="179">
        <f t="shared" si="38"/>
        <v>179128.00000000003</v>
      </c>
      <c r="V93" s="176">
        <f t="shared" si="29"/>
        <v>131263</v>
      </c>
      <c r="W93" s="176">
        <f t="shared" si="30"/>
        <v>47864.999999999985</v>
      </c>
      <c r="X93" s="179">
        <f t="shared" si="31"/>
        <v>1739</v>
      </c>
      <c r="Y93" s="176">
        <f t="shared" si="32"/>
        <v>1343.9999999999993</v>
      </c>
      <c r="Z93" s="201">
        <f t="shared" si="33"/>
        <v>394.99999999999983</v>
      </c>
    </row>
    <row r="94" spans="12:26" x14ac:dyDescent="0.25">
      <c r="L94" s="177">
        <v>45474</v>
      </c>
      <c r="M94" s="55">
        <f t="shared" ref="M94:M99" si="39">YEAR(L94)</f>
        <v>2024</v>
      </c>
      <c r="N94" s="178" t="s">
        <v>259</v>
      </c>
      <c r="O94" s="179">
        <f t="shared" ref="O94:T99" si="40">SUMIFS(E:E,$B:$B,$N94)</f>
        <v>15946</v>
      </c>
      <c r="P94" s="176">
        <f t="shared" si="40"/>
        <v>11771</v>
      </c>
      <c r="Q94" s="176">
        <f t="shared" si="40"/>
        <v>4175</v>
      </c>
      <c r="R94" s="179">
        <f t="shared" si="40"/>
        <v>229</v>
      </c>
      <c r="S94" s="176">
        <f t="shared" si="40"/>
        <v>179</v>
      </c>
      <c r="T94" s="201">
        <f t="shared" si="40"/>
        <v>50</v>
      </c>
      <c r="U94" s="179">
        <f t="shared" ref="U94:Z99" si="41">O94/3+U93</f>
        <v>184443.33333333337</v>
      </c>
      <c r="V94" s="176">
        <f t="shared" si="41"/>
        <v>135186.66666666666</v>
      </c>
      <c r="W94" s="176">
        <f t="shared" si="41"/>
        <v>49256.66666666665</v>
      </c>
      <c r="X94" s="179">
        <f t="shared" si="41"/>
        <v>1815.3333333333333</v>
      </c>
      <c r="Y94" s="176">
        <f t="shared" si="41"/>
        <v>1403.6666666666661</v>
      </c>
      <c r="Z94" s="201">
        <f t="shared" si="41"/>
        <v>411.66666666666652</v>
      </c>
    </row>
    <row r="95" spans="12:26" x14ac:dyDescent="0.25">
      <c r="L95" s="177">
        <v>45505</v>
      </c>
      <c r="M95" s="55">
        <f t="shared" si="39"/>
        <v>2024</v>
      </c>
      <c r="N95" s="178" t="s">
        <v>259</v>
      </c>
      <c r="O95" s="179">
        <f t="shared" si="40"/>
        <v>15946</v>
      </c>
      <c r="P95" s="176">
        <f t="shared" si="40"/>
        <v>11771</v>
      </c>
      <c r="Q95" s="176">
        <f t="shared" si="40"/>
        <v>4175</v>
      </c>
      <c r="R95" s="179">
        <f t="shared" si="40"/>
        <v>229</v>
      </c>
      <c r="S95" s="176">
        <f t="shared" si="40"/>
        <v>179</v>
      </c>
      <c r="T95" s="201">
        <f t="shared" si="40"/>
        <v>50</v>
      </c>
      <c r="U95" s="179">
        <f t="shared" si="41"/>
        <v>189758.66666666672</v>
      </c>
      <c r="V95" s="176">
        <f t="shared" si="41"/>
        <v>139110.33333333331</v>
      </c>
      <c r="W95" s="176">
        <f t="shared" si="41"/>
        <v>50648.333333333314</v>
      </c>
      <c r="X95" s="179">
        <f t="shared" si="41"/>
        <v>1891.6666666666665</v>
      </c>
      <c r="Y95" s="176">
        <f t="shared" si="41"/>
        <v>1463.3333333333328</v>
      </c>
      <c r="Z95" s="201">
        <f t="shared" si="41"/>
        <v>428.3333333333332</v>
      </c>
    </row>
    <row r="96" spans="12:26" x14ac:dyDescent="0.25">
      <c r="L96" s="177">
        <v>45536</v>
      </c>
      <c r="M96" s="55">
        <f t="shared" si="39"/>
        <v>2024</v>
      </c>
      <c r="N96" s="178" t="s">
        <v>259</v>
      </c>
      <c r="O96" s="179">
        <f t="shared" si="40"/>
        <v>15946</v>
      </c>
      <c r="P96" s="176">
        <f t="shared" si="40"/>
        <v>11771</v>
      </c>
      <c r="Q96" s="176">
        <f t="shared" si="40"/>
        <v>4175</v>
      </c>
      <c r="R96" s="179">
        <f t="shared" si="40"/>
        <v>229</v>
      </c>
      <c r="S96" s="176">
        <f t="shared" si="40"/>
        <v>179</v>
      </c>
      <c r="T96" s="201">
        <f t="shared" si="40"/>
        <v>50</v>
      </c>
      <c r="U96" s="179">
        <f t="shared" si="41"/>
        <v>195074.00000000006</v>
      </c>
      <c r="V96" s="176">
        <f t="shared" si="41"/>
        <v>143033.99999999997</v>
      </c>
      <c r="W96" s="176">
        <f t="shared" si="41"/>
        <v>52039.999999999978</v>
      </c>
      <c r="X96" s="179">
        <f t="shared" si="41"/>
        <v>1967.9999999999998</v>
      </c>
      <c r="Y96" s="176">
        <f t="shared" si="41"/>
        <v>1522.9999999999995</v>
      </c>
      <c r="Z96" s="201">
        <f t="shared" si="41"/>
        <v>444.99999999999989</v>
      </c>
    </row>
    <row r="97" spans="12:26" x14ac:dyDescent="0.25">
      <c r="L97" s="177">
        <v>45566</v>
      </c>
      <c r="M97" s="55">
        <f t="shared" si="39"/>
        <v>2024</v>
      </c>
      <c r="N97" s="178" t="s">
        <v>260</v>
      </c>
      <c r="O97" s="179">
        <f t="shared" si="40"/>
        <v>15251</v>
      </c>
      <c r="P97" s="176">
        <f t="shared" si="40"/>
        <v>11282</v>
      </c>
      <c r="Q97" s="176">
        <f t="shared" si="40"/>
        <v>3969</v>
      </c>
      <c r="R97" s="179">
        <f t="shared" si="40"/>
        <v>172</v>
      </c>
      <c r="S97" s="176">
        <f t="shared" si="40"/>
        <v>148</v>
      </c>
      <c r="T97" s="201">
        <f t="shared" si="40"/>
        <v>24</v>
      </c>
      <c r="U97" s="179">
        <f t="shared" si="41"/>
        <v>200157.66666666672</v>
      </c>
      <c r="V97" s="176">
        <f t="shared" si="41"/>
        <v>146794.66666666663</v>
      </c>
      <c r="W97" s="176">
        <f t="shared" si="41"/>
        <v>53362.999999999978</v>
      </c>
      <c r="X97" s="179">
        <f t="shared" si="41"/>
        <v>2025.333333333333</v>
      </c>
      <c r="Y97" s="176">
        <f t="shared" si="41"/>
        <v>1572.3333333333328</v>
      </c>
      <c r="Z97" s="201">
        <f t="shared" si="41"/>
        <v>452.99999999999989</v>
      </c>
    </row>
    <row r="98" spans="12:26" x14ac:dyDescent="0.25">
      <c r="L98" s="177">
        <v>45597</v>
      </c>
      <c r="M98" s="55">
        <f t="shared" si="39"/>
        <v>2024</v>
      </c>
      <c r="N98" s="178" t="s">
        <v>260</v>
      </c>
      <c r="O98" s="179">
        <f t="shared" si="40"/>
        <v>15251</v>
      </c>
      <c r="P98" s="176">
        <f t="shared" si="40"/>
        <v>11282</v>
      </c>
      <c r="Q98" s="176">
        <f t="shared" si="40"/>
        <v>3969</v>
      </c>
      <c r="R98" s="179">
        <f t="shared" si="40"/>
        <v>172</v>
      </c>
      <c r="S98" s="176">
        <f t="shared" si="40"/>
        <v>148</v>
      </c>
      <c r="T98" s="201">
        <f t="shared" si="40"/>
        <v>24</v>
      </c>
      <c r="U98" s="179">
        <f t="shared" si="41"/>
        <v>205241.33333333337</v>
      </c>
      <c r="V98" s="176">
        <f t="shared" si="41"/>
        <v>150555.33333333328</v>
      </c>
      <c r="W98" s="176">
        <f t="shared" si="41"/>
        <v>54685.999999999978</v>
      </c>
      <c r="X98" s="179">
        <f t="shared" si="41"/>
        <v>2082.6666666666665</v>
      </c>
      <c r="Y98" s="176">
        <f t="shared" si="41"/>
        <v>1621.6666666666661</v>
      </c>
      <c r="Z98" s="201">
        <f t="shared" si="41"/>
        <v>460.99999999999989</v>
      </c>
    </row>
    <row r="99" spans="12:26" x14ac:dyDescent="0.25">
      <c r="L99" s="181">
        <v>45627</v>
      </c>
      <c r="M99" s="182">
        <f t="shared" si="39"/>
        <v>2024</v>
      </c>
      <c r="N99" s="183" t="s">
        <v>260</v>
      </c>
      <c r="O99" s="184">
        <f t="shared" si="40"/>
        <v>15251</v>
      </c>
      <c r="P99" s="180">
        <f t="shared" si="40"/>
        <v>11282</v>
      </c>
      <c r="Q99" s="180">
        <f t="shared" si="40"/>
        <v>3969</v>
      </c>
      <c r="R99" s="184">
        <f t="shared" si="40"/>
        <v>172</v>
      </c>
      <c r="S99" s="180">
        <f t="shared" si="40"/>
        <v>148</v>
      </c>
      <c r="T99" s="202">
        <f t="shared" si="40"/>
        <v>24</v>
      </c>
      <c r="U99" s="184">
        <f t="shared" si="41"/>
        <v>210325.00000000003</v>
      </c>
      <c r="V99" s="180">
        <f t="shared" si="41"/>
        <v>154315.99999999994</v>
      </c>
      <c r="W99" s="180">
        <f t="shared" si="41"/>
        <v>56008.999999999978</v>
      </c>
      <c r="X99" s="184">
        <f t="shared" si="41"/>
        <v>2140</v>
      </c>
      <c r="Y99" s="180">
        <f t="shared" si="41"/>
        <v>1670.9999999999993</v>
      </c>
      <c r="Z99" s="202">
        <f t="shared" si="41"/>
        <v>468.99999999999989</v>
      </c>
    </row>
  </sheetData>
  <mergeCells count="12">
    <mergeCell ref="E2:G2"/>
    <mergeCell ref="H2:J2"/>
    <mergeCell ref="AU2:AY2"/>
    <mergeCell ref="AF2:AJ2"/>
    <mergeCell ref="AK2:AO2"/>
    <mergeCell ref="AP2:AT2"/>
    <mergeCell ref="U1:Z1"/>
    <mergeCell ref="O1:T1"/>
    <mergeCell ref="O2:Q2"/>
    <mergeCell ref="R2:T2"/>
    <mergeCell ref="U2:W2"/>
    <mergeCell ref="X2:Z2"/>
  </mergeCells>
  <phoneticPr fontId="3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3" tint="0.499984740745262"/>
  </sheetPr>
  <dimension ref="B1:AA174"/>
  <sheetViews>
    <sheetView topLeftCell="N27" zoomScaleNormal="100" workbookViewId="0">
      <selection activeCell="G45" sqref="G45"/>
    </sheetView>
  </sheetViews>
  <sheetFormatPr defaultColWidth="8.77734375" defaultRowHeight="13.8" x14ac:dyDescent="0.25"/>
  <cols>
    <col min="1" max="1" width="2.77734375" style="47" customWidth="1"/>
    <col min="2" max="2" width="37.6640625" style="47" customWidth="1"/>
    <col min="3" max="3" width="13.6640625" style="47" customWidth="1"/>
    <col min="4" max="4" width="17.109375" style="47" customWidth="1"/>
    <col min="5" max="5" width="33.77734375" style="47" customWidth="1"/>
    <col min="6" max="7" width="18.6640625" style="47" bestFit="1" customWidth="1"/>
    <col min="8" max="8" width="18.77734375" style="47" bestFit="1" customWidth="1"/>
    <col min="9" max="9" width="18.109375" style="47" customWidth="1"/>
    <col min="10" max="10" width="23.6640625" style="47" customWidth="1"/>
    <col min="11" max="11" width="13.77734375" style="47" bestFit="1" customWidth="1"/>
    <col min="12" max="12" width="16.109375" style="47" bestFit="1" customWidth="1"/>
    <col min="13" max="17" width="13.109375" style="47" customWidth="1"/>
    <col min="18" max="21" width="12.6640625" style="47" bestFit="1" customWidth="1"/>
    <col min="22" max="23" width="13.109375" style="47" bestFit="1" customWidth="1"/>
    <col min="24" max="24" width="14.33203125" style="47" customWidth="1"/>
    <col min="25" max="25" width="11.109375" style="47" customWidth="1"/>
    <col min="26" max="26" width="13.109375" style="47" customWidth="1"/>
    <col min="27" max="27" width="10" style="47" customWidth="1"/>
    <col min="28" max="16384" width="8.77734375" style="47"/>
  </cols>
  <sheetData>
    <row r="1" spans="2:27" x14ac:dyDescent="0.25">
      <c r="C1" s="47" t="s">
        <v>261</v>
      </c>
      <c r="D1" s="47" t="s">
        <v>262</v>
      </c>
    </row>
    <row r="2" spans="2:27" x14ac:dyDescent="0.25">
      <c r="C2" s="47" t="s">
        <v>263</v>
      </c>
      <c r="D2" s="47" t="s">
        <v>264</v>
      </c>
    </row>
    <row r="3" spans="2:27" x14ac:dyDescent="0.25">
      <c r="B3" s="47" t="s">
        <v>265</v>
      </c>
      <c r="C3" s="337">
        <f>39*365</f>
        <v>14235</v>
      </c>
      <c r="D3" s="47">
        <v>20</v>
      </c>
      <c r="E3" s="338">
        <f>C3*D3/100</f>
        <v>2847</v>
      </c>
      <c r="F3" s="320" t="s">
        <v>266</v>
      </c>
      <c r="Q3" s="117"/>
      <c r="R3" s="117"/>
      <c r="S3" s="117"/>
    </row>
    <row r="4" spans="2:27" x14ac:dyDescent="0.25">
      <c r="B4" s="47" t="s">
        <v>267</v>
      </c>
      <c r="C4" s="337">
        <f>C3</f>
        <v>14235</v>
      </c>
      <c r="D4" s="47">
        <v>20</v>
      </c>
      <c r="E4" s="338">
        <f>C4*D4/100</f>
        <v>2847</v>
      </c>
      <c r="K4" s="339"/>
      <c r="O4" s="98"/>
      <c r="P4" s="117"/>
      <c r="Q4" s="117"/>
      <c r="R4" s="117"/>
      <c r="S4" s="117"/>
      <c r="T4" s="57"/>
      <c r="U4" s="57"/>
      <c r="V4" s="57"/>
      <c r="W4" s="57"/>
      <c r="X4" s="117"/>
    </row>
    <row r="5" spans="2:27" x14ac:dyDescent="0.25">
      <c r="B5" s="47" t="s">
        <v>268</v>
      </c>
      <c r="C5" s="337">
        <v>20000</v>
      </c>
      <c r="D5" s="47">
        <v>25</v>
      </c>
      <c r="E5" s="338">
        <f>C5*D5/100</f>
        <v>5000</v>
      </c>
      <c r="F5" s="337"/>
      <c r="G5" s="337"/>
      <c r="H5" s="337"/>
      <c r="I5" s="337"/>
      <c r="L5" s="98"/>
      <c r="M5" s="98"/>
      <c r="N5" s="98"/>
      <c r="O5" s="98"/>
    </row>
    <row r="6" spans="2:27" x14ac:dyDescent="0.25">
      <c r="B6" s="47" t="s">
        <v>269</v>
      </c>
      <c r="C6" s="337">
        <v>20000</v>
      </c>
      <c r="D6" s="47">
        <v>30</v>
      </c>
      <c r="E6" s="338">
        <f>C6*D6/100</f>
        <v>6000</v>
      </c>
    </row>
    <row r="7" spans="2:27" x14ac:dyDescent="0.25">
      <c r="B7" s="480" t="s">
        <v>270</v>
      </c>
      <c r="C7" s="69"/>
      <c r="D7" s="70"/>
      <c r="E7" s="340"/>
      <c r="F7" s="341">
        <v>2017</v>
      </c>
      <c r="G7" s="341">
        <v>2018</v>
      </c>
      <c r="H7" s="341">
        <v>2019</v>
      </c>
      <c r="I7" s="341">
        <v>2020</v>
      </c>
      <c r="J7" s="341">
        <v>2021</v>
      </c>
      <c r="K7" s="341">
        <v>2022</v>
      </c>
      <c r="L7" s="341">
        <v>2023</v>
      </c>
      <c r="M7" s="341">
        <v>2024</v>
      </c>
      <c r="N7" s="341">
        <v>2025</v>
      </c>
      <c r="O7" s="341">
        <v>2026</v>
      </c>
      <c r="P7" s="341">
        <v>2027</v>
      </c>
      <c r="Q7" s="341">
        <v>2028</v>
      </c>
      <c r="R7" s="341">
        <v>2029</v>
      </c>
      <c r="S7" s="341">
        <v>2030</v>
      </c>
      <c r="T7" s="341">
        <v>2031</v>
      </c>
      <c r="U7" s="341">
        <v>2032</v>
      </c>
      <c r="V7" s="341">
        <v>2033</v>
      </c>
      <c r="W7" s="341">
        <v>2034</v>
      </c>
      <c r="X7" s="341">
        <v>2035</v>
      </c>
      <c r="Y7" s="341">
        <v>2036</v>
      </c>
      <c r="Z7" s="341">
        <v>2037</v>
      </c>
      <c r="AA7" s="341">
        <v>2038</v>
      </c>
    </row>
    <row r="8" spans="2:27" x14ac:dyDescent="0.25">
      <c r="B8" s="481"/>
      <c r="C8" s="73"/>
      <c r="AA8" s="92"/>
    </row>
    <row r="9" spans="2:27" x14ac:dyDescent="0.25">
      <c r="B9" s="481"/>
      <c r="C9" s="486" t="s">
        <v>271</v>
      </c>
      <c r="D9" s="342" t="s">
        <v>168</v>
      </c>
      <c r="E9" s="47" t="s">
        <v>272</v>
      </c>
      <c r="F9" s="343">
        <f>SUMIFS('EV Data'!$S:$S,'EV Data'!$M:$M,'EV Forecast'!F7)/3</f>
        <v>30</v>
      </c>
      <c r="G9" s="343">
        <f>SUMIFS('EV Data'!$S:$S,'EV Data'!$M:$M,'EV Forecast'!G7)/3</f>
        <v>76</v>
      </c>
      <c r="H9" s="343">
        <f>SUMIFS('EV Data'!$S:$S,'EV Data'!$M:$M,'EV Forecast'!H7)/3</f>
        <v>63</v>
      </c>
      <c r="I9" s="343">
        <f>SUMIFS('EV Data'!$S:$S,'EV Data'!$M:$M,'EV Forecast'!I7)/3</f>
        <v>61</v>
      </c>
      <c r="J9" s="343">
        <f>SUMIFS('EV Data'!$S:$S,'EV Data'!$M:$M,'EV Forecast'!J7)/3</f>
        <v>147</v>
      </c>
      <c r="K9" s="343">
        <f>SUMIFS('EV Data'!$S:$S,'EV Data'!$M:$M,'EV Forecast'!K7)/3</f>
        <v>281</v>
      </c>
      <c r="L9" s="343">
        <f>SUMIFS('EV Data'!$S:$S,'EV Data'!$M:$M,'EV Forecast'!L7)/3</f>
        <v>412</v>
      </c>
      <c r="M9" s="343">
        <f>SUMIFS('EV Data'!$S:$S,'EV Data'!$M:$M,'EV Forecast'!M7)/3</f>
        <v>601</v>
      </c>
      <c r="N9" s="344">
        <f t="shared" ref="N9:W9" si="0">N12+N17+N22</f>
        <v>768.58553925940055</v>
      </c>
      <c r="O9" s="344">
        <f t="shared" si="0"/>
        <v>982.90138295950703</v>
      </c>
      <c r="P9" s="344">
        <f t="shared" si="0"/>
        <v>1256.9780190694564</v>
      </c>
      <c r="Q9" s="344">
        <f t="shared" si="0"/>
        <v>1607.4794153472728</v>
      </c>
      <c r="R9" s="344">
        <f t="shared" si="0"/>
        <v>1885.5733542023513</v>
      </c>
      <c r="S9" s="344">
        <f t="shared" si="0"/>
        <v>2843.1166923364153</v>
      </c>
      <c r="T9" s="344">
        <f t="shared" si="0"/>
        <v>3667.6205331139754</v>
      </c>
      <c r="U9" s="344">
        <f t="shared" si="0"/>
        <v>5219.9622471296589</v>
      </c>
      <c r="V9" s="344">
        <f t="shared" si="0"/>
        <v>6034.2763576818843</v>
      </c>
      <c r="W9" s="344">
        <f t="shared" si="0"/>
        <v>6879.0750477573474</v>
      </c>
      <c r="X9" s="344">
        <f>X12+X17+X22</f>
        <v>7755.251974892758</v>
      </c>
      <c r="Y9" s="344">
        <f>Y12+Y17+Y22</f>
        <v>8663.7243490944802</v>
      </c>
      <c r="Z9" s="344">
        <f>Z12+Z17+Z22</f>
        <v>9605.4335174743155</v>
      </c>
      <c r="AA9" s="345">
        <f>AA12+AA17+AA22</f>
        <v>9797.5421878238012</v>
      </c>
    </row>
    <row r="10" spans="2:27" x14ac:dyDescent="0.25">
      <c r="B10" s="481"/>
      <c r="C10" s="486"/>
      <c r="D10" s="342" t="s">
        <v>168</v>
      </c>
      <c r="E10" s="47" t="s">
        <v>211</v>
      </c>
      <c r="F10" s="343">
        <f>F9</f>
        <v>30</v>
      </c>
      <c r="G10" s="343">
        <f>F10+G9</f>
        <v>106</v>
      </c>
      <c r="H10" s="343">
        <f t="shared" ref="H10:T10" si="1">G10+H9</f>
        <v>169</v>
      </c>
      <c r="I10" s="343">
        <f t="shared" si="1"/>
        <v>230</v>
      </c>
      <c r="J10" s="343">
        <f t="shared" si="1"/>
        <v>377</v>
      </c>
      <c r="K10" s="343">
        <f t="shared" si="1"/>
        <v>658</v>
      </c>
      <c r="L10" s="343">
        <f t="shared" si="1"/>
        <v>1070</v>
      </c>
      <c r="M10" s="343">
        <f t="shared" si="1"/>
        <v>1671</v>
      </c>
      <c r="N10" s="344">
        <f t="shared" si="1"/>
        <v>2439.5855392594003</v>
      </c>
      <c r="O10" s="344">
        <f t="shared" si="1"/>
        <v>3422.4869222189072</v>
      </c>
      <c r="P10" s="344">
        <f t="shared" si="1"/>
        <v>4679.4649412883637</v>
      </c>
      <c r="Q10" s="344">
        <f t="shared" si="1"/>
        <v>6286.9443566356367</v>
      </c>
      <c r="R10" s="344">
        <f t="shared" si="1"/>
        <v>8172.5177108379885</v>
      </c>
      <c r="S10" s="344">
        <f t="shared" si="1"/>
        <v>11015.634403174405</v>
      </c>
      <c r="T10" s="344">
        <f t="shared" si="1"/>
        <v>14683.25493628838</v>
      </c>
      <c r="U10" s="344">
        <f t="shared" ref="U10:AA10" si="2">T10+U9-F9</f>
        <v>19873.217183418041</v>
      </c>
      <c r="V10" s="344">
        <f t="shared" si="2"/>
        <v>25831.493541099924</v>
      </c>
      <c r="W10" s="344">
        <f t="shared" si="2"/>
        <v>32647.56858885727</v>
      </c>
      <c r="X10" s="344">
        <f t="shared" si="2"/>
        <v>40341.820563750029</v>
      </c>
      <c r="Y10" s="344">
        <f t="shared" si="2"/>
        <v>48858.544912844511</v>
      </c>
      <c r="Z10" s="344">
        <f t="shared" si="2"/>
        <v>58182.978430318828</v>
      </c>
      <c r="AA10" s="345">
        <f t="shared" si="2"/>
        <v>67568.520618142633</v>
      </c>
    </row>
    <row r="11" spans="2:27" x14ac:dyDescent="0.25">
      <c r="B11" s="481"/>
      <c r="C11" s="73"/>
      <c r="D11" s="342"/>
      <c r="G11" s="346"/>
      <c r="AA11" s="92"/>
    </row>
    <row r="12" spans="2:27" x14ac:dyDescent="0.25">
      <c r="B12" s="481"/>
      <c r="C12" s="475" t="s">
        <v>273</v>
      </c>
      <c r="D12" s="347" t="s">
        <v>168</v>
      </c>
      <c r="E12" s="70" t="s">
        <v>272</v>
      </c>
      <c r="F12" s="348">
        <f t="shared" ref="F12:K12" si="3">F9*(F38+F39)</f>
        <v>30</v>
      </c>
      <c r="G12" s="348">
        <f t="shared" si="3"/>
        <v>76</v>
      </c>
      <c r="H12" s="348">
        <f t="shared" si="3"/>
        <v>63</v>
      </c>
      <c r="I12" s="348">
        <f t="shared" si="3"/>
        <v>61</v>
      </c>
      <c r="J12" s="348">
        <f t="shared" si="3"/>
        <v>147</v>
      </c>
      <c r="K12" s="348">
        <f t="shared" si="3"/>
        <v>272.01705152060521</v>
      </c>
      <c r="L12" s="348">
        <f>L9*(L38+L39)</f>
        <v>387.30239420214826</v>
      </c>
      <c r="M12" s="348">
        <f>M9*(M38+M39)</f>
        <v>538.13920222723561</v>
      </c>
      <c r="N12" s="349">
        <f t="shared" ref="N12:W12" si="4">N29*N83*(N38+N39)*N28</f>
        <v>705.35426878656142</v>
      </c>
      <c r="O12" s="349">
        <f t="shared" si="4"/>
        <v>902.03842103866828</v>
      </c>
      <c r="P12" s="349">
        <f t="shared" si="4"/>
        <v>1153.5668656683911</v>
      </c>
      <c r="Q12" s="349">
        <f t="shared" si="4"/>
        <v>1475.2326314833888</v>
      </c>
      <c r="R12" s="349">
        <f t="shared" si="4"/>
        <v>1730.4478767300152</v>
      </c>
      <c r="S12" s="349">
        <f t="shared" si="4"/>
        <v>2609.2144506520408</v>
      </c>
      <c r="T12" s="349">
        <f t="shared" si="4"/>
        <v>3365.886641341132</v>
      </c>
      <c r="U12" s="349">
        <f t="shared" si="4"/>
        <v>4790.5177313971471</v>
      </c>
      <c r="V12" s="349">
        <f t="shared" si="4"/>
        <v>5537.8384974951005</v>
      </c>
      <c r="W12" s="349">
        <f t="shared" si="4"/>
        <v>6313.1358871444145</v>
      </c>
      <c r="X12" s="349">
        <f>X29*X83*(X38+X39)*X28</f>
        <v>7117.2300369807035</v>
      </c>
      <c r="Y12" s="349">
        <f>Y29*Y83*(Y38+Y39)*Y28</f>
        <v>7950.9626984555862</v>
      </c>
      <c r="Z12" s="349">
        <f>Z29*Z83*(Z38+Z39)*Z28</f>
        <v>8815.197774374672</v>
      </c>
      <c r="AA12" s="350">
        <f>AA29*AA83*(AA38+AA39)*AA28</f>
        <v>8991.5017298621642</v>
      </c>
    </row>
    <row r="13" spans="2:27" x14ac:dyDescent="0.25">
      <c r="B13" s="481"/>
      <c r="C13" s="478"/>
      <c r="D13" s="342" t="s">
        <v>168</v>
      </c>
      <c r="E13" s="47" t="s">
        <v>211</v>
      </c>
      <c r="F13" s="343">
        <f>F12</f>
        <v>30</v>
      </c>
      <c r="G13" s="343">
        <f t="shared" ref="G13:N13" si="5">F13+G12</f>
        <v>106</v>
      </c>
      <c r="H13" s="343">
        <f t="shared" si="5"/>
        <v>169</v>
      </c>
      <c r="I13" s="343">
        <f t="shared" si="5"/>
        <v>230</v>
      </c>
      <c r="J13" s="343">
        <f t="shared" si="5"/>
        <v>377</v>
      </c>
      <c r="K13" s="343">
        <f t="shared" si="5"/>
        <v>649.01705152060526</v>
      </c>
      <c r="L13" s="343">
        <f t="shared" si="5"/>
        <v>1036.3194457227535</v>
      </c>
      <c r="M13" s="351">
        <f t="shared" si="5"/>
        <v>1574.458647949989</v>
      </c>
      <c r="N13" s="351">
        <f t="shared" si="5"/>
        <v>2279.8129167365505</v>
      </c>
      <c r="O13" s="351">
        <f t="shared" ref="O13:W13" si="6">N13+O12</f>
        <v>3181.8513377752188</v>
      </c>
      <c r="P13" s="351">
        <f t="shared" si="6"/>
        <v>4335.4182034436099</v>
      </c>
      <c r="Q13" s="351">
        <f t="shared" si="6"/>
        <v>5810.6508349269989</v>
      </c>
      <c r="R13" s="351">
        <f t="shared" si="6"/>
        <v>7541.0987116570141</v>
      </c>
      <c r="S13" s="351">
        <f t="shared" si="6"/>
        <v>10150.313162309056</v>
      </c>
      <c r="T13" s="351">
        <f t="shared" si="6"/>
        <v>13516.199803650188</v>
      </c>
      <c r="U13" s="351">
        <f t="shared" si="6"/>
        <v>18306.717535047334</v>
      </c>
      <c r="V13" s="351">
        <f t="shared" si="6"/>
        <v>23844.556032542434</v>
      </c>
      <c r="W13" s="351">
        <f t="shared" si="6"/>
        <v>30157.691919686848</v>
      </c>
      <c r="X13" s="351">
        <f>W13+X12</f>
        <v>37274.921956667553</v>
      </c>
      <c r="Y13" s="351">
        <f>X13+Y12</f>
        <v>45225.88465512314</v>
      </c>
      <c r="Z13" s="351">
        <f>Y13+Z12</f>
        <v>54041.082429497808</v>
      </c>
      <c r="AA13" s="352">
        <f>Z13+AA12</f>
        <v>63032.584159359976</v>
      </c>
    </row>
    <row r="14" spans="2:27" x14ac:dyDescent="0.25">
      <c r="B14" s="481"/>
      <c r="C14" s="478"/>
      <c r="D14" s="342" t="s">
        <v>168</v>
      </c>
      <c r="E14" s="47" t="s">
        <v>274</v>
      </c>
      <c r="F14" s="343">
        <f>E3</f>
        <v>2847</v>
      </c>
      <c r="G14" s="343">
        <f>F14</f>
        <v>2847</v>
      </c>
      <c r="H14" s="343">
        <f t="shared" ref="H14:W14" si="7">G14</f>
        <v>2847</v>
      </c>
      <c r="I14" s="343">
        <f t="shared" si="7"/>
        <v>2847</v>
      </c>
      <c r="J14" s="343">
        <f t="shared" si="7"/>
        <v>2847</v>
      </c>
      <c r="K14" s="343">
        <f t="shared" si="7"/>
        <v>2847</v>
      </c>
      <c r="L14" s="343">
        <f t="shared" si="7"/>
        <v>2847</v>
      </c>
      <c r="M14" s="343">
        <f t="shared" si="7"/>
        <v>2847</v>
      </c>
      <c r="N14" s="343">
        <f t="shared" si="7"/>
        <v>2847</v>
      </c>
      <c r="O14" s="343">
        <f t="shared" si="7"/>
        <v>2847</v>
      </c>
      <c r="P14" s="343">
        <f t="shared" si="7"/>
        <v>2847</v>
      </c>
      <c r="Q14" s="343">
        <f t="shared" si="7"/>
        <v>2847</v>
      </c>
      <c r="R14" s="343">
        <f t="shared" si="7"/>
        <v>2847</v>
      </c>
      <c r="S14" s="343">
        <f t="shared" si="7"/>
        <v>2847</v>
      </c>
      <c r="T14" s="343">
        <f t="shared" si="7"/>
        <v>2847</v>
      </c>
      <c r="U14" s="343">
        <f t="shared" si="7"/>
        <v>2847</v>
      </c>
      <c r="V14" s="343">
        <f t="shared" si="7"/>
        <v>2847</v>
      </c>
      <c r="W14" s="343">
        <f t="shared" si="7"/>
        <v>2847</v>
      </c>
      <c r="X14" s="343">
        <f>W14</f>
        <v>2847</v>
      </c>
      <c r="Y14" s="343">
        <f>X14</f>
        <v>2847</v>
      </c>
      <c r="Z14" s="343">
        <f>Y14</f>
        <v>2847</v>
      </c>
      <c r="AA14" s="353">
        <f>Z14</f>
        <v>2847</v>
      </c>
    </row>
    <row r="15" spans="2:27" x14ac:dyDescent="0.25">
      <c r="B15" s="481"/>
      <c r="C15" s="478"/>
      <c r="D15" s="342" t="s">
        <v>168</v>
      </c>
      <c r="E15" s="47" t="s">
        <v>275</v>
      </c>
      <c r="F15" s="343">
        <f>F12*F14</f>
        <v>85410</v>
      </c>
      <c r="G15" s="343">
        <f t="shared" ref="G15:W15" si="8">G12*G14</f>
        <v>216372</v>
      </c>
      <c r="H15" s="343">
        <f t="shared" si="8"/>
        <v>179361</v>
      </c>
      <c r="I15" s="343">
        <f t="shared" si="8"/>
        <v>173667</v>
      </c>
      <c r="J15" s="343">
        <f t="shared" si="8"/>
        <v>418509</v>
      </c>
      <c r="K15" s="343">
        <f t="shared" si="8"/>
        <v>774432.54567916307</v>
      </c>
      <c r="L15" s="343">
        <f t="shared" si="8"/>
        <v>1102649.9162935161</v>
      </c>
      <c r="M15" s="343">
        <f t="shared" si="8"/>
        <v>1532082.3087409397</v>
      </c>
      <c r="N15" s="343">
        <f t="shared" si="8"/>
        <v>2008143.6032353404</v>
      </c>
      <c r="O15" s="343">
        <f t="shared" si="8"/>
        <v>2568103.3846970885</v>
      </c>
      <c r="P15" s="343">
        <f t="shared" si="8"/>
        <v>3284204.8665579092</v>
      </c>
      <c r="Q15" s="343">
        <f t="shared" si="8"/>
        <v>4199987.3018332077</v>
      </c>
      <c r="R15" s="343">
        <f t="shared" si="8"/>
        <v>4926585.1050503533</v>
      </c>
      <c r="S15" s="343">
        <f t="shared" si="8"/>
        <v>7428433.5410063602</v>
      </c>
      <c r="T15" s="343">
        <f t="shared" si="8"/>
        <v>9582679.2678982019</v>
      </c>
      <c r="U15" s="343">
        <f t="shared" si="8"/>
        <v>13638603.981287679</v>
      </c>
      <c r="V15" s="343">
        <f t="shared" si="8"/>
        <v>15766226.202368552</v>
      </c>
      <c r="W15" s="343">
        <f t="shared" si="8"/>
        <v>17973497.870700147</v>
      </c>
      <c r="X15" s="343">
        <f>X12*X14</f>
        <v>20262753.915284064</v>
      </c>
      <c r="Y15" s="343">
        <f>Y12*Y14</f>
        <v>22636390.802503053</v>
      </c>
      <c r="Z15" s="343">
        <f>Z12*Z14</f>
        <v>25096868.063644692</v>
      </c>
      <c r="AA15" s="353">
        <f>AA12*AA14</f>
        <v>25598805.424917582</v>
      </c>
    </row>
    <row r="16" spans="2:27" x14ac:dyDescent="0.25">
      <c r="B16" s="481"/>
      <c r="C16" s="479"/>
      <c r="D16" s="354" t="s">
        <v>168</v>
      </c>
      <c r="E16" s="118" t="s">
        <v>276</v>
      </c>
      <c r="F16" s="355">
        <f>F13*F14-F12*F14/2</f>
        <v>42705</v>
      </c>
      <c r="G16" s="355">
        <f>G13*G14-G12*G14/2</f>
        <v>193596</v>
      </c>
      <c r="H16" s="355">
        <f>H13*H14-H12*H14/2</f>
        <v>391462.5</v>
      </c>
      <c r="I16" s="355">
        <f>I13*I14-I12*I14/2</f>
        <v>567976.5</v>
      </c>
      <c r="J16" s="355">
        <f>J13*J14-J12*J14/2</f>
        <v>864064.5</v>
      </c>
      <c r="K16" s="355">
        <f t="shared" ref="K16:W16" si="9">K13*K14-K12*K14/2</f>
        <v>1460535.2728395816</v>
      </c>
      <c r="L16" s="355">
        <f t="shared" si="9"/>
        <v>2399076.5038259211</v>
      </c>
      <c r="M16" s="355">
        <f t="shared" si="9"/>
        <v>3716442.616343149</v>
      </c>
      <c r="N16" s="355">
        <f t="shared" si="9"/>
        <v>5486555.5723312898</v>
      </c>
      <c r="O16" s="355">
        <f t="shared" si="9"/>
        <v>7774679.0662975041</v>
      </c>
      <c r="P16" s="355">
        <f t="shared" si="9"/>
        <v>10700833.191925004</v>
      </c>
      <c r="Q16" s="355">
        <f t="shared" si="9"/>
        <v>14442929.276120562</v>
      </c>
      <c r="R16" s="355">
        <f t="shared" si="9"/>
        <v>19006215.479562342</v>
      </c>
      <c r="S16" s="355">
        <f t="shared" si="9"/>
        <v>25183724.802590698</v>
      </c>
      <c r="T16" s="355">
        <f t="shared" si="9"/>
        <v>33689281.207042985</v>
      </c>
      <c r="U16" s="355">
        <f t="shared" si="9"/>
        <v>45299922.831635922</v>
      </c>
      <c r="V16" s="355">
        <f t="shared" si="9"/>
        <v>60002337.92346403</v>
      </c>
      <c r="W16" s="355">
        <f t="shared" si="9"/>
        <v>76872199.959998384</v>
      </c>
      <c r="X16" s="355">
        <f>X13*X14-X12*X14/2</f>
        <v>95990325.852990493</v>
      </c>
      <c r="Y16" s="355">
        <f>Y13*Y14-Y12*Y14/2</f>
        <v>117439898.21188405</v>
      </c>
      <c r="Z16" s="355">
        <f>Z13*Z14-Z12*Z14/2</f>
        <v>141306527.6449579</v>
      </c>
      <c r="AA16" s="356">
        <f>AA13*AA14-AA12*AA14/2</f>
        <v>166654364.38923907</v>
      </c>
    </row>
    <row r="17" spans="2:27" x14ac:dyDescent="0.25">
      <c r="B17" s="481"/>
      <c r="C17" s="478" t="s">
        <v>277</v>
      </c>
      <c r="D17" s="347" t="s">
        <v>168</v>
      </c>
      <c r="E17" s="47" t="s">
        <v>272</v>
      </c>
      <c r="F17" s="357">
        <f t="shared" ref="F17:M17" si="10">F9*F40</f>
        <v>0</v>
      </c>
      <c r="G17" s="357">
        <f t="shared" si="10"/>
        <v>0</v>
      </c>
      <c r="H17" s="357">
        <f t="shared" si="10"/>
        <v>0</v>
      </c>
      <c r="I17" s="357">
        <f t="shared" si="10"/>
        <v>0</v>
      </c>
      <c r="J17" s="357">
        <f t="shared" si="10"/>
        <v>0</v>
      </c>
      <c r="K17" s="357">
        <f t="shared" si="10"/>
        <v>1.5085867675319526</v>
      </c>
      <c r="L17" s="357">
        <f t="shared" si="10"/>
        <v>5.4066002329493985</v>
      </c>
      <c r="M17" s="357">
        <f t="shared" si="10"/>
        <v>4.0099361589785438</v>
      </c>
      <c r="N17" s="349">
        <f>N29*N83*N40*N28</f>
        <v>7.6070457278239729</v>
      </c>
      <c r="O17" s="349">
        <f t="shared" ref="O17:W17" si="11">O29*O83*O40*O28</f>
        <v>9.7282285239442743</v>
      </c>
      <c r="P17" s="349">
        <f t="shared" si="11"/>
        <v>12.440891457761049</v>
      </c>
      <c r="Q17" s="349">
        <f t="shared" si="11"/>
        <v>15.909965507372624</v>
      </c>
      <c r="R17" s="349">
        <f t="shared" si="11"/>
        <v>18.662389540148087</v>
      </c>
      <c r="S17" s="349">
        <f t="shared" si="11"/>
        <v>28.139637793579816</v>
      </c>
      <c r="T17" s="349">
        <f t="shared" si="11"/>
        <v>36.300132753717953</v>
      </c>
      <c r="U17" s="349">
        <f t="shared" si="11"/>
        <v>51.664374989012536</v>
      </c>
      <c r="V17" s="349">
        <f t="shared" si="11"/>
        <v>59.724017487298482</v>
      </c>
      <c r="W17" s="349">
        <f t="shared" si="11"/>
        <v>68.085379935520265</v>
      </c>
      <c r="X17" s="349">
        <f>X29*X83*X40*X28</f>
        <v>76.757307274676009</v>
      </c>
      <c r="Y17" s="349">
        <f>Y29*Y83*Y40*Y28</f>
        <v>85.748877555423775</v>
      </c>
      <c r="Z17" s="349">
        <f>Z29*Z83*Z40*Z28</f>
        <v>95.069407724491583</v>
      </c>
      <c r="AA17" s="350">
        <f>AA29*AA83*AA40*AA28</f>
        <v>96.97079587898142</v>
      </c>
    </row>
    <row r="18" spans="2:27" x14ac:dyDescent="0.25">
      <c r="B18" s="481"/>
      <c r="C18" s="478"/>
      <c r="D18" s="342" t="s">
        <v>168</v>
      </c>
      <c r="E18" s="47" t="s">
        <v>211</v>
      </c>
      <c r="F18" s="357">
        <f>F17</f>
        <v>0</v>
      </c>
      <c r="G18" s="357">
        <f t="shared" ref="G18:M18" si="12">F18+G17</f>
        <v>0</v>
      </c>
      <c r="H18" s="357">
        <f t="shared" si="12"/>
        <v>0</v>
      </c>
      <c r="I18" s="357">
        <f t="shared" si="12"/>
        <v>0</v>
      </c>
      <c r="J18" s="357">
        <f t="shared" si="12"/>
        <v>0</v>
      </c>
      <c r="K18" s="357">
        <f t="shared" si="12"/>
        <v>1.5085867675319526</v>
      </c>
      <c r="L18" s="357">
        <f t="shared" si="12"/>
        <v>6.9151870004813514</v>
      </c>
      <c r="M18" s="357">
        <f t="shared" si="12"/>
        <v>10.925123159459895</v>
      </c>
      <c r="N18" s="357">
        <f t="shared" ref="N18:W18" si="13">M18+N17</f>
        <v>18.532168887283866</v>
      </c>
      <c r="O18" s="357">
        <f t="shared" si="13"/>
        <v>28.260397411228141</v>
      </c>
      <c r="P18" s="357">
        <f t="shared" si="13"/>
        <v>40.701288868989188</v>
      </c>
      <c r="Q18" s="357">
        <f t="shared" si="13"/>
        <v>56.611254376361813</v>
      </c>
      <c r="R18" s="357">
        <f t="shared" si="13"/>
        <v>75.273643916509897</v>
      </c>
      <c r="S18" s="357">
        <f t="shared" si="13"/>
        <v>103.41328171008971</v>
      </c>
      <c r="T18" s="357">
        <f t="shared" si="13"/>
        <v>139.71341446380765</v>
      </c>
      <c r="U18" s="357">
        <f t="shared" si="13"/>
        <v>191.3777894528202</v>
      </c>
      <c r="V18" s="357">
        <f t="shared" si="13"/>
        <v>251.10180694011868</v>
      </c>
      <c r="W18" s="357">
        <f t="shared" si="13"/>
        <v>319.18718687563893</v>
      </c>
      <c r="X18" s="357">
        <f>W18+X17</f>
        <v>395.94449415031494</v>
      </c>
      <c r="Y18" s="357">
        <f>X18+Y17</f>
        <v>481.69337170573874</v>
      </c>
      <c r="Z18" s="357">
        <f>Y18+Z17</f>
        <v>576.76277943023035</v>
      </c>
      <c r="AA18" s="358">
        <f>Z18+AA17</f>
        <v>673.7335753092118</v>
      </c>
    </row>
    <row r="19" spans="2:27" x14ac:dyDescent="0.25">
      <c r="B19" s="481"/>
      <c r="C19" s="478"/>
      <c r="D19" s="342" t="s">
        <v>168</v>
      </c>
      <c r="E19" s="47" t="s">
        <v>274</v>
      </c>
      <c r="F19" s="343">
        <f>E5</f>
        <v>5000</v>
      </c>
      <c r="G19" s="343">
        <f t="shared" ref="G19:W19" si="14">F19</f>
        <v>5000</v>
      </c>
      <c r="H19" s="343">
        <f t="shared" si="14"/>
        <v>5000</v>
      </c>
      <c r="I19" s="343">
        <f t="shared" si="14"/>
        <v>5000</v>
      </c>
      <c r="J19" s="343">
        <f t="shared" si="14"/>
        <v>5000</v>
      </c>
      <c r="K19" s="343">
        <f t="shared" si="14"/>
        <v>5000</v>
      </c>
      <c r="L19" s="343">
        <f t="shared" si="14"/>
        <v>5000</v>
      </c>
      <c r="M19" s="343">
        <f t="shared" si="14"/>
        <v>5000</v>
      </c>
      <c r="N19" s="343">
        <f t="shared" si="14"/>
        <v>5000</v>
      </c>
      <c r="O19" s="343">
        <f t="shared" si="14"/>
        <v>5000</v>
      </c>
      <c r="P19" s="343">
        <f t="shared" si="14"/>
        <v>5000</v>
      </c>
      <c r="Q19" s="343">
        <f t="shared" si="14"/>
        <v>5000</v>
      </c>
      <c r="R19" s="343">
        <f t="shared" si="14"/>
        <v>5000</v>
      </c>
      <c r="S19" s="343">
        <f t="shared" si="14"/>
        <v>5000</v>
      </c>
      <c r="T19" s="343">
        <f t="shared" si="14"/>
        <v>5000</v>
      </c>
      <c r="U19" s="343">
        <f t="shared" si="14"/>
        <v>5000</v>
      </c>
      <c r="V19" s="343">
        <f t="shared" si="14"/>
        <v>5000</v>
      </c>
      <c r="W19" s="343">
        <f t="shared" si="14"/>
        <v>5000</v>
      </c>
      <c r="X19" s="343">
        <f>W19</f>
        <v>5000</v>
      </c>
      <c r="Y19" s="343">
        <f>X19</f>
        <v>5000</v>
      </c>
      <c r="Z19" s="343">
        <f>Y19</f>
        <v>5000</v>
      </c>
      <c r="AA19" s="353">
        <f>Z19</f>
        <v>5000</v>
      </c>
    </row>
    <row r="20" spans="2:27" x14ac:dyDescent="0.25">
      <c r="B20" s="481"/>
      <c r="C20" s="478"/>
      <c r="D20" s="342" t="s">
        <v>168</v>
      </c>
      <c r="E20" s="47" t="s">
        <v>275</v>
      </c>
      <c r="F20" s="343">
        <f>F17*F19</f>
        <v>0</v>
      </c>
      <c r="G20" s="343">
        <f t="shared" ref="G20:W20" si="15">G17*G19</f>
        <v>0</v>
      </c>
      <c r="H20" s="343">
        <f t="shared" si="15"/>
        <v>0</v>
      </c>
      <c r="I20" s="343">
        <f t="shared" si="15"/>
        <v>0</v>
      </c>
      <c r="J20" s="343">
        <f t="shared" si="15"/>
        <v>0</v>
      </c>
      <c r="K20" s="343">
        <f t="shared" si="15"/>
        <v>7542.9338376597634</v>
      </c>
      <c r="L20" s="343">
        <f t="shared" si="15"/>
        <v>27033.001164746991</v>
      </c>
      <c r="M20" s="343">
        <f t="shared" si="15"/>
        <v>20049.68079489272</v>
      </c>
      <c r="N20" s="343">
        <f t="shared" si="15"/>
        <v>38035.228639119865</v>
      </c>
      <c r="O20" s="343">
        <f t="shared" si="15"/>
        <v>48641.142619721373</v>
      </c>
      <c r="P20" s="343">
        <f t="shared" si="15"/>
        <v>62204.457288805243</v>
      </c>
      <c r="Q20" s="343">
        <f t="shared" si="15"/>
        <v>79549.827536863115</v>
      </c>
      <c r="R20" s="343">
        <f t="shared" si="15"/>
        <v>93311.947700740435</v>
      </c>
      <c r="S20" s="343">
        <f t="shared" si="15"/>
        <v>140698.18896789907</v>
      </c>
      <c r="T20" s="343">
        <f t="shared" si="15"/>
        <v>181500.66376858976</v>
      </c>
      <c r="U20" s="343">
        <f t="shared" si="15"/>
        <v>258321.87494506268</v>
      </c>
      <c r="V20" s="343">
        <f t="shared" si="15"/>
        <v>298620.08743649244</v>
      </c>
      <c r="W20" s="343">
        <f t="shared" si="15"/>
        <v>340426.89967760135</v>
      </c>
      <c r="X20" s="343">
        <f>X17*X19</f>
        <v>383786.53637338005</v>
      </c>
      <c r="Y20" s="343">
        <f>Y17*Y19</f>
        <v>428744.38777711889</v>
      </c>
      <c r="Z20" s="343">
        <f>Z17*Z19</f>
        <v>475347.03862245794</v>
      </c>
      <c r="AA20" s="353">
        <f>AA17*AA19</f>
        <v>484853.97939490707</v>
      </c>
    </row>
    <row r="21" spans="2:27" x14ac:dyDescent="0.25">
      <c r="B21" s="481"/>
      <c r="C21" s="478"/>
      <c r="D21" s="354" t="s">
        <v>168</v>
      </c>
      <c r="E21" s="47" t="s">
        <v>276</v>
      </c>
      <c r="F21" s="355">
        <f>F18*F19-F17*F19/2</f>
        <v>0</v>
      </c>
      <c r="G21" s="355">
        <f>G18*G19-G17*G19/2</f>
        <v>0</v>
      </c>
      <c r="H21" s="355">
        <f>H18*H19-H17*H19/2</f>
        <v>0</v>
      </c>
      <c r="I21" s="355">
        <f>I18*I19-I17*I19/2</f>
        <v>0</v>
      </c>
      <c r="J21" s="355">
        <f>J18*J19-J17*J19/2</f>
        <v>0</v>
      </c>
      <c r="K21" s="355">
        <f t="shared" ref="K21:W21" si="16">K18*K19-K17*K19/2</f>
        <v>3771.4669188298817</v>
      </c>
      <c r="L21" s="355">
        <f t="shared" si="16"/>
        <v>21059.434420033256</v>
      </c>
      <c r="M21" s="355">
        <f t="shared" si="16"/>
        <v>44600.775399853119</v>
      </c>
      <c r="N21" s="355">
        <f t="shared" si="16"/>
        <v>73643.230116859399</v>
      </c>
      <c r="O21" s="355">
        <f t="shared" si="16"/>
        <v>116981.41574628002</v>
      </c>
      <c r="P21" s="355">
        <f t="shared" si="16"/>
        <v>172404.21570054334</v>
      </c>
      <c r="Q21" s="355">
        <f t="shared" si="16"/>
        <v>243281.3581133775</v>
      </c>
      <c r="R21" s="355">
        <f t="shared" si="16"/>
        <v>329712.24573217926</v>
      </c>
      <c r="S21" s="355">
        <f t="shared" si="16"/>
        <v>446717.31406649901</v>
      </c>
      <c r="T21" s="355">
        <f t="shared" si="16"/>
        <v>607816.74043474335</v>
      </c>
      <c r="U21" s="355">
        <f t="shared" si="16"/>
        <v>827728.00979156967</v>
      </c>
      <c r="V21" s="355">
        <f t="shared" si="16"/>
        <v>1106198.9909823472</v>
      </c>
      <c r="W21" s="355">
        <f t="shared" si="16"/>
        <v>1425722.484539394</v>
      </c>
      <c r="X21" s="355">
        <f>X18*X19-X17*X19/2</f>
        <v>1787829.2025648847</v>
      </c>
      <c r="Y21" s="355">
        <f>Y18*Y19-Y17*Y19/2</f>
        <v>2194094.6646401342</v>
      </c>
      <c r="Z21" s="355">
        <f>Z18*Z19-Z17*Z19/2</f>
        <v>2646140.3778399229</v>
      </c>
      <c r="AA21" s="356">
        <f>AA18*AA19-AA17*AA19/2</f>
        <v>3126240.8868486052</v>
      </c>
    </row>
    <row r="22" spans="2:27" x14ac:dyDescent="0.25">
      <c r="B22" s="481"/>
      <c r="C22" s="475" t="s">
        <v>278</v>
      </c>
      <c r="D22" s="347" t="s">
        <v>168</v>
      </c>
      <c r="E22" s="70" t="s">
        <v>272</v>
      </c>
      <c r="F22" s="359">
        <f t="shared" ref="F22:M22" si="17">F9*F41</f>
        <v>0</v>
      </c>
      <c r="G22" s="359">
        <f t="shared" si="17"/>
        <v>0</v>
      </c>
      <c r="H22" s="359">
        <f t="shared" si="17"/>
        <v>0</v>
      </c>
      <c r="I22" s="359">
        <f t="shared" si="17"/>
        <v>0</v>
      </c>
      <c r="J22" s="359">
        <f t="shared" si="17"/>
        <v>0</v>
      </c>
      <c r="K22" s="360">
        <f t="shared" si="17"/>
        <v>7.4743617118628558</v>
      </c>
      <c r="L22" s="360">
        <f t="shared" si="17"/>
        <v>19.291005564902292</v>
      </c>
      <c r="M22" s="360">
        <f t="shared" si="17"/>
        <v>58.850861613785824</v>
      </c>
      <c r="N22" s="349">
        <f t="shared" ref="N22:W22" si="18">N29*N83*N41*N28</f>
        <v>55.624224745015169</v>
      </c>
      <c r="O22" s="349">
        <f t="shared" si="18"/>
        <v>71.134733396894489</v>
      </c>
      <c r="P22" s="349">
        <f t="shared" si="18"/>
        <v>90.970261943304209</v>
      </c>
      <c r="Q22" s="349">
        <f t="shared" si="18"/>
        <v>116.33681835651147</v>
      </c>
      <c r="R22" s="349">
        <f t="shared" si="18"/>
        <v>136.46308793218796</v>
      </c>
      <c r="S22" s="349">
        <f t="shared" si="18"/>
        <v>205.76260389079474</v>
      </c>
      <c r="T22" s="349">
        <f t="shared" si="18"/>
        <v>265.43375901912515</v>
      </c>
      <c r="U22" s="349">
        <f t="shared" si="18"/>
        <v>377.78014074349915</v>
      </c>
      <c r="V22" s="349">
        <f t="shared" si="18"/>
        <v>436.71384269948493</v>
      </c>
      <c r="W22" s="349">
        <f t="shared" si="18"/>
        <v>497.85378067741283</v>
      </c>
      <c r="X22" s="349">
        <f>X29*X83*X41*X28</f>
        <v>561.26463063737799</v>
      </c>
      <c r="Y22" s="349">
        <f>Y29*Y83*Y41*Y28</f>
        <v>627.01277308347085</v>
      </c>
      <c r="Z22" s="349">
        <f>Z29*Z83*Z41*Z28</f>
        <v>695.16633537515258</v>
      </c>
      <c r="AA22" s="350">
        <f>AA29*AA83*AA41*AA28</f>
        <v>709.06966208265555</v>
      </c>
    </row>
    <row r="23" spans="2:27" x14ac:dyDescent="0.25">
      <c r="B23" s="481"/>
      <c r="C23" s="478"/>
      <c r="D23" s="342" t="s">
        <v>168</v>
      </c>
      <c r="E23" s="47" t="s">
        <v>211</v>
      </c>
      <c r="F23" s="357">
        <f>F22</f>
        <v>0</v>
      </c>
      <c r="G23" s="357">
        <f t="shared" ref="G23:L23" si="19">F23+G22</f>
        <v>0</v>
      </c>
      <c r="H23" s="357">
        <f t="shared" si="19"/>
        <v>0</v>
      </c>
      <c r="I23" s="357">
        <f t="shared" si="19"/>
        <v>0</v>
      </c>
      <c r="J23" s="357">
        <f t="shared" si="19"/>
        <v>0</v>
      </c>
      <c r="K23" s="357">
        <f t="shared" si="19"/>
        <v>7.4743617118628558</v>
      </c>
      <c r="L23" s="357">
        <f t="shared" si="19"/>
        <v>26.765367276765147</v>
      </c>
      <c r="M23" s="357">
        <f t="shared" ref="M23:W23" si="20">L23+M22</f>
        <v>85.616228890550971</v>
      </c>
      <c r="N23" s="357">
        <f t="shared" si="20"/>
        <v>141.24045363556615</v>
      </c>
      <c r="O23" s="357">
        <f t="shared" si="20"/>
        <v>212.37518703246064</v>
      </c>
      <c r="P23" s="357">
        <f>O23+P22</f>
        <v>303.34544897576484</v>
      </c>
      <c r="Q23" s="357">
        <f t="shared" si="20"/>
        <v>419.6822673322763</v>
      </c>
      <c r="R23" s="357">
        <f t="shared" si="20"/>
        <v>556.14535526446423</v>
      </c>
      <c r="S23" s="357">
        <f t="shared" si="20"/>
        <v>761.90795915525894</v>
      </c>
      <c r="T23" s="357">
        <f t="shared" si="20"/>
        <v>1027.3417181743841</v>
      </c>
      <c r="U23" s="357">
        <f t="shared" si="20"/>
        <v>1405.1218589178834</v>
      </c>
      <c r="V23" s="357">
        <f t="shared" si="20"/>
        <v>1841.8357016173684</v>
      </c>
      <c r="W23" s="357">
        <f t="shared" si="20"/>
        <v>2339.6894822947811</v>
      </c>
      <c r="X23" s="357">
        <f>W23+X22</f>
        <v>2900.9541129321592</v>
      </c>
      <c r="Y23" s="357">
        <f>X23+Y22</f>
        <v>3527.9668860156298</v>
      </c>
      <c r="Z23" s="357">
        <f>Y23+Z22</f>
        <v>4223.1332213907826</v>
      </c>
      <c r="AA23" s="358">
        <f>Z23+AA22</f>
        <v>4932.2028834734383</v>
      </c>
    </row>
    <row r="24" spans="2:27" x14ac:dyDescent="0.25">
      <c r="B24" s="481"/>
      <c r="C24" s="478"/>
      <c r="D24" s="342" t="s">
        <v>168</v>
      </c>
      <c r="E24" s="47" t="s">
        <v>274</v>
      </c>
      <c r="F24" s="343"/>
      <c r="G24" s="343"/>
      <c r="H24" s="343"/>
      <c r="I24" s="343"/>
      <c r="J24" s="343"/>
      <c r="K24" s="343">
        <f>E6</f>
        <v>6000</v>
      </c>
      <c r="L24" s="343">
        <f t="shared" ref="L24:W24" si="21">K24</f>
        <v>6000</v>
      </c>
      <c r="M24" s="343">
        <f t="shared" si="21"/>
        <v>6000</v>
      </c>
      <c r="N24" s="343">
        <f t="shared" si="21"/>
        <v>6000</v>
      </c>
      <c r="O24" s="343">
        <f t="shared" si="21"/>
        <v>6000</v>
      </c>
      <c r="P24" s="343">
        <f t="shared" si="21"/>
        <v>6000</v>
      </c>
      <c r="Q24" s="343">
        <f t="shared" si="21"/>
        <v>6000</v>
      </c>
      <c r="R24" s="343">
        <f t="shared" si="21"/>
        <v>6000</v>
      </c>
      <c r="S24" s="343">
        <f t="shared" si="21"/>
        <v>6000</v>
      </c>
      <c r="T24" s="343">
        <f t="shared" si="21"/>
        <v>6000</v>
      </c>
      <c r="U24" s="343">
        <f t="shared" si="21"/>
        <v>6000</v>
      </c>
      <c r="V24" s="343">
        <f t="shared" si="21"/>
        <v>6000</v>
      </c>
      <c r="W24" s="343">
        <f t="shared" si="21"/>
        <v>6000</v>
      </c>
      <c r="X24" s="343">
        <f>W24</f>
        <v>6000</v>
      </c>
      <c r="Y24" s="343">
        <f>X24</f>
        <v>6000</v>
      </c>
      <c r="Z24" s="343">
        <f>Y24</f>
        <v>6000</v>
      </c>
      <c r="AA24" s="353">
        <f>Z24</f>
        <v>6000</v>
      </c>
    </row>
    <row r="25" spans="2:27" x14ac:dyDescent="0.25">
      <c r="B25" s="481"/>
      <c r="C25" s="478"/>
      <c r="D25" s="342" t="s">
        <v>168</v>
      </c>
      <c r="E25" s="47" t="s">
        <v>275</v>
      </c>
      <c r="F25" s="343">
        <f>F22*F24</f>
        <v>0</v>
      </c>
      <c r="G25" s="343">
        <f t="shared" ref="G25:W25" si="22">G22*G24</f>
        <v>0</v>
      </c>
      <c r="H25" s="343">
        <f t="shared" si="22"/>
        <v>0</v>
      </c>
      <c r="I25" s="343">
        <f t="shared" si="22"/>
        <v>0</v>
      </c>
      <c r="J25" s="343">
        <f t="shared" si="22"/>
        <v>0</v>
      </c>
      <c r="K25" s="343">
        <f t="shared" si="22"/>
        <v>44846.170271177136</v>
      </c>
      <c r="L25" s="343">
        <f t="shared" si="22"/>
        <v>115746.03338941376</v>
      </c>
      <c r="M25" s="343">
        <f t="shared" si="22"/>
        <v>353105.16968271497</v>
      </c>
      <c r="N25" s="343">
        <f t="shared" si="22"/>
        <v>333745.348470091</v>
      </c>
      <c r="O25" s="343">
        <f t="shared" si="22"/>
        <v>426808.40038136696</v>
      </c>
      <c r="P25" s="343">
        <f t="shared" si="22"/>
        <v>545821.57165982528</v>
      </c>
      <c r="Q25" s="343">
        <f t="shared" si="22"/>
        <v>698020.91013906884</v>
      </c>
      <c r="R25" s="343">
        <f t="shared" si="22"/>
        <v>818778.5275931278</v>
      </c>
      <c r="S25" s="343">
        <f t="shared" si="22"/>
        <v>1234575.6233447683</v>
      </c>
      <c r="T25" s="343">
        <f t="shared" si="22"/>
        <v>1592602.5541147508</v>
      </c>
      <c r="U25" s="343">
        <f t="shared" si="22"/>
        <v>2266680.8444609949</v>
      </c>
      <c r="V25" s="343">
        <f t="shared" si="22"/>
        <v>2620283.0561969094</v>
      </c>
      <c r="W25" s="343">
        <f t="shared" si="22"/>
        <v>2987122.6840644768</v>
      </c>
      <c r="X25" s="343">
        <f>X22*X24</f>
        <v>3367587.7838242678</v>
      </c>
      <c r="Y25" s="343">
        <f>Y22*Y24</f>
        <v>3762076.638500825</v>
      </c>
      <c r="Z25" s="343">
        <f>Z22*Z24</f>
        <v>4170998.0122509156</v>
      </c>
      <c r="AA25" s="353">
        <f>AA22*AA24</f>
        <v>4254417.9724959331</v>
      </c>
    </row>
    <row r="26" spans="2:27" x14ac:dyDescent="0.25">
      <c r="B26" s="481"/>
      <c r="C26" s="479"/>
      <c r="D26" s="354" t="s">
        <v>168</v>
      </c>
      <c r="E26" s="118" t="s">
        <v>276</v>
      </c>
      <c r="F26" s="355">
        <f>F23*F24-F22*F24/2</f>
        <v>0</v>
      </c>
      <c r="G26" s="355">
        <f>G23*G24-G22*G24/2</f>
        <v>0</v>
      </c>
      <c r="H26" s="355">
        <f>H23*H24-H22*H24/2</f>
        <v>0</v>
      </c>
      <c r="I26" s="355">
        <f>I23*I24-I22*I24/2</f>
        <v>0</v>
      </c>
      <c r="J26" s="355">
        <f>J23*J24-J22*J24/2</f>
        <v>0</v>
      </c>
      <c r="K26" s="355">
        <f t="shared" ref="K26:W26" si="23">K23*K24-K22*K24/2</f>
        <v>22423.085135588568</v>
      </c>
      <c r="L26" s="355">
        <f t="shared" si="23"/>
        <v>102719.18696588402</v>
      </c>
      <c r="M26" s="355">
        <f t="shared" si="23"/>
        <v>337144.78850194835</v>
      </c>
      <c r="N26" s="355">
        <f t="shared" si="23"/>
        <v>680570.04757835134</v>
      </c>
      <c r="O26" s="355">
        <f t="shared" si="23"/>
        <v>1060846.9220040804</v>
      </c>
      <c r="P26" s="355">
        <f t="shared" si="23"/>
        <v>1547161.9080246764</v>
      </c>
      <c r="Q26" s="355">
        <f t="shared" si="23"/>
        <v>2169083.1489241235</v>
      </c>
      <c r="R26" s="355">
        <f t="shared" si="23"/>
        <v>2927482.8677902217</v>
      </c>
      <c r="S26" s="355">
        <f t="shared" si="23"/>
        <v>3954159.9432591693</v>
      </c>
      <c r="T26" s="355">
        <f t="shared" si="23"/>
        <v>5367749.031988929</v>
      </c>
      <c r="U26" s="355">
        <f t="shared" si="23"/>
        <v>7297390.7312768027</v>
      </c>
      <c r="V26" s="355">
        <f t="shared" si="23"/>
        <v>9740872.6816057563</v>
      </c>
      <c r="W26" s="355">
        <f t="shared" si="23"/>
        <v>12544575.551736448</v>
      </c>
      <c r="X26" s="355">
        <f>X23*X24-X22*X24/2</f>
        <v>15721930.785680821</v>
      </c>
      <c r="Y26" s="355">
        <f>Y23*Y24-Y22*Y24/2</f>
        <v>19286762.996843368</v>
      </c>
      <c r="Z26" s="355">
        <f>Z23*Z24-Z22*Z24/2</f>
        <v>23253300.322219238</v>
      </c>
      <c r="AA26" s="356">
        <f>AA23*AA24-AA22*AA24/2</f>
        <v>27466008.314592663</v>
      </c>
    </row>
    <row r="27" spans="2:27" x14ac:dyDescent="0.25">
      <c r="B27" s="481"/>
      <c r="C27" s="361"/>
      <c r="D27" s="342"/>
      <c r="F27" s="343"/>
      <c r="G27" s="343"/>
      <c r="H27" s="343"/>
      <c r="I27" s="343"/>
      <c r="J27" s="343"/>
      <c r="K27" s="343"/>
      <c r="L27" s="343"/>
      <c r="M27" s="343"/>
      <c r="N27" s="343"/>
      <c r="O27" s="343"/>
      <c r="P27" s="343"/>
      <c r="Q27" s="343"/>
      <c r="R27" s="343"/>
      <c r="S27" s="343"/>
      <c r="T27" s="343"/>
      <c r="U27" s="343"/>
      <c r="V27" s="343"/>
      <c r="W27" s="343"/>
      <c r="X27" s="343"/>
      <c r="Y27" s="343"/>
      <c r="Z27" s="343"/>
      <c r="AA27" s="353"/>
    </row>
    <row r="28" spans="2:27" x14ac:dyDescent="0.25">
      <c r="B28" s="481"/>
      <c r="C28" s="73"/>
      <c r="D28" s="47" t="s">
        <v>279</v>
      </c>
      <c r="F28" s="362">
        <f t="shared" ref="F28:K28" si="24">F31/F32</f>
        <v>8.4198708953129378E-3</v>
      </c>
      <c r="G28" s="362">
        <f t="shared" si="24"/>
        <v>9.2524957389822256E-3</v>
      </c>
      <c r="H28" s="362">
        <f t="shared" si="24"/>
        <v>9.6021947873799734E-3</v>
      </c>
      <c r="I28" s="362">
        <f t="shared" si="24"/>
        <v>7.4773228732532481E-3</v>
      </c>
      <c r="J28" s="362">
        <f t="shared" si="24"/>
        <v>9.9755700325732891E-3</v>
      </c>
      <c r="K28" s="362">
        <f t="shared" si="24"/>
        <v>8.5715157246133659E-3</v>
      </c>
      <c r="L28" s="362">
        <f>L31/L32</f>
        <v>1.0663905784910055E-2</v>
      </c>
      <c r="M28" s="362">
        <f>M31/M32</f>
        <v>1.4424230787692604E-2</v>
      </c>
      <c r="N28" s="363">
        <f>M28</f>
        <v>1.4424230787692604E-2</v>
      </c>
      <c r="O28" s="362">
        <f>N28</f>
        <v>1.4424230787692604E-2</v>
      </c>
      <c r="P28" s="362">
        <f>O28</f>
        <v>1.4424230787692604E-2</v>
      </c>
      <c r="Q28" s="362">
        <f t="shared" ref="Q28:W28" si="25">P28</f>
        <v>1.4424230787692604E-2</v>
      </c>
      <c r="R28" s="362">
        <f t="shared" si="25"/>
        <v>1.4424230787692604E-2</v>
      </c>
      <c r="S28" s="362">
        <f t="shared" si="25"/>
        <v>1.4424230787692604E-2</v>
      </c>
      <c r="T28" s="362">
        <f t="shared" si="25"/>
        <v>1.4424230787692604E-2</v>
      </c>
      <c r="U28" s="362">
        <f t="shared" si="25"/>
        <v>1.4424230787692604E-2</v>
      </c>
      <c r="V28" s="362">
        <f t="shared" si="25"/>
        <v>1.4424230787692604E-2</v>
      </c>
      <c r="W28" s="362">
        <f t="shared" si="25"/>
        <v>1.4424230787692604E-2</v>
      </c>
      <c r="X28" s="362">
        <f>W28</f>
        <v>1.4424230787692604E-2</v>
      </c>
      <c r="Y28" s="362">
        <f>X28</f>
        <v>1.4424230787692604E-2</v>
      </c>
      <c r="Z28" s="362">
        <f>Y28</f>
        <v>1.4424230787692604E-2</v>
      </c>
      <c r="AA28" s="364">
        <f>Z28</f>
        <v>1.4424230787692604E-2</v>
      </c>
    </row>
    <row r="29" spans="2:27" x14ac:dyDescent="0.25">
      <c r="B29" s="481"/>
      <c r="C29" s="73"/>
      <c r="D29" s="325" t="s">
        <v>280</v>
      </c>
      <c r="F29" s="365">
        <f t="shared" ref="F29:M29" si="26">F32/F83</f>
        <v>4.4457920322622507E-3</v>
      </c>
      <c r="G29" s="365">
        <f t="shared" si="26"/>
        <v>1.0285937543045911E-2</v>
      </c>
      <c r="H29" s="365">
        <f t="shared" si="26"/>
        <v>8.2416443594165913E-3</v>
      </c>
      <c r="I29" s="365">
        <f t="shared" si="26"/>
        <v>1.3582495596261235E-2</v>
      </c>
      <c r="J29" s="365">
        <f t="shared" si="26"/>
        <v>2.3496433918671341E-2</v>
      </c>
      <c r="K29" s="365">
        <f t="shared" si="26"/>
        <v>5.514400384862523E-2</v>
      </c>
      <c r="L29" s="365">
        <f t="shared" si="26"/>
        <v>5.7067609644847E-2</v>
      </c>
      <c r="M29" s="365">
        <f t="shared" si="26"/>
        <v>5.9583376829894362E-2</v>
      </c>
      <c r="N29" s="366">
        <f>N82*($M$29/($M$29+$M$66))</f>
        <v>7.4703797285081128E-2</v>
      </c>
      <c r="O29" s="366">
        <f>O82*($M$29/($M$29+$M$66))</f>
        <v>9.3661313368371385E-2</v>
      </c>
      <c r="P29" s="366">
        <f t="shared" ref="P29:W29" si="27">P82*($M$29/($M$29+$M$66))</f>
        <v>0.11742966141883368</v>
      </c>
      <c r="Q29" s="366">
        <f t="shared" si="27"/>
        <v>0.14722968197879857</v>
      </c>
      <c r="R29" s="366">
        <f t="shared" si="27"/>
        <v>0.16931413427561837</v>
      </c>
      <c r="S29" s="366">
        <f t="shared" si="27"/>
        <v>0.25029045936395761</v>
      </c>
      <c r="T29" s="366">
        <f t="shared" si="27"/>
        <v>0.31654381625441691</v>
      </c>
      <c r="U29" s="366">
        <f>U82*($M$29/($M$29+$M$66))</f>
        <v>0.44168904593639574</v>
      </c>
      <c r="V29" s="366">
        <f t="shared" si="27"/>
        <v>0.5005809187279151</v>
      </c>
      <c r="W29" s="366">
        <f t="shared" si="27"/>
        <v>0.55947279151943452</v>
      </c>
      <c r="X29" s="366">
        <f>X82*($M$29/($M$29+$M$66))</f>
        <v>0.61836466431095394</v>
      </c>
      <c r="Y29" s="366">
        <f>Y82*($M$29/($M$29+$M$66))</f>
        <v>0.67725653710247335</v>
      </c>
      <c r="Z29" s="366">
        <f>Z82*($M$29/($M$29+$M$66))</f>
        <v>0.73614840989399288</v>
      </c>
      <c r="AA29" s="367">
        <f>AA82*($M$29/($M$29+$M$66))</f>
        <v>0.73614840989399288</v>
      </c>
    </row>
    <row r="30" spans="2:27" x14ac:dyDescent="0.25">
      <c r="B30" s="481"/>
      <c r="C30" s="73"/>
      <c r="F30" s="365"/>
      <c r="G30" s="365"/>
      <c r="H30" s="365"/>
      <c r="I30" s="365"/>
      <c r="J30" s="365"/>
      <c r="K30" s="365"/>
      <c r="L30" s="365"/>
      <c r="M30" s="331"/>
      <c r="N30" s="331"/>
      <c r="O30" s="331"/>
      <c r="AA30" s="92"/>
    </row>
    <row r="31" spans="2:27" x14ac:dyDescent="0.25">
      <c r="B31" s="481"/>
      <c r="C31" s="73"/>
      <c r="D31" s="342" t="s">
        <v>168</v>
      </c>
      <c r="E31" s="47" t="s">
        <v>281</v>
      </c>
      <c r="F31" s="98">
        <f t="shared" ref="F31:N31" si="28">F9</f>
        <v>30</v>
      </c>
      <c r="G31" s="98">
        <f t="shared" si="28"/>
        <v>76</v>
      </c>
      <c r="H31" s="98">
        <f t="shared" si="28"/>
        <v>63</v>
      </c>
      <c r="I31" s="98">
        <f t="shared" si="28"/>
        <v>61</v>
      </c>
      <c r="J31" s="98">
        <f t="shared" si="28"/>
        <v>147</v>
      </c>
      <c r="K31" s="98">
        <f t="shared" si="28"/>
        <v>281</v>
      </c>
      <c r="L31" s="98">
        <f t="shared" si="28"/>
        <v>412</v>
      </c>
      <c r="M31" s="98">
        <f t="shared" si="28"/>
        <v>601</v>
      </c>
      <c r="N31" s="98">
        <f t="shared" si="28"/>
        <v>768.58553925940055</v>
      </c>
      <c r="O31" s="98">
        <f t="shared" ref="O31:W31" si="29">O9</f>
        <v>982.90138295950703</v>
      </c>
      <c r="P31" s="98">
        <f t="shared" si="29"/>
        <v>1256.9780190694564</v>
      </c>
      <c r="Q31" s="98">
        <f t="shared" si="29"/>
        <v>1607.4794153472728</v>
      </c>
      <c r="R31" s="98">
        <f t="shared" si="29"/>
        <v>1885.5733542023513</v>
      </c>
      <c r="S31" s="98">
        <f t="shared" si="29"/>
        <v>2843.1166923364153</v>
      </c>
      <c r="T31" s="98">
        <f t="shared" si="29"/>
        <v>3667.6205331139754</v>
      </c>
      <c r="U31" s="98">
        <f t="shared" si="29"/>
        <v>5219.9622471296589</v>
      </c>
      <c r="V31" s="98">
        <f t="shared" si="29"/>
        <v>6034.2763576818843</v>
      </c>
      <c r="W31" s="98">
        <f t="shared" si="29"/>
        <v>6879.0750477573474</v>
      </c>
      <c r="X31" s="98">
        <f>X9</f>
        <v>7755.251974892758</v>
      </c>
      <c r="Y31" s="98">
        <f>Y9</f>
        <v>8663.7243490944802</v>
      </c>
      <c r="Z31" s="98">
        <f>Z9</f>
        <v>9605.4335174743155</v>
      </c>
      <c r="AA31" s="99">
        <f>AA9</f>
        <v>9797.5421878238012</v>
      </c>
    </row>
    <row r="32" spans="2:27" x14ac:dyDescent="0.25">
      <c r="B32" s="481"/>
      <c r="C32" s="73"/>
      <c r="D32" s="325" t="s">
        <v>214</v>
      </c>
      <c r="E32" s="47" t="s">
        <v>281</v>
      </c>
      <c r="F32" s="343">
        <f>SUMIFS('EV Data'!$AK$6:$AK$33,'EV Data'!$AE$6:$AE$33,'EV Forecast'!F7)</f>
        <v>3563</v>
      </c>
      <c r="G32" s="343">
        <f>SUMIFS('EV Data'!$AK$6:$AK$33,'EV Data'!$AE$6:$AE$33,'EV Forecast'!G7)</f>
        <v>8214</v>
      </c>
      <c r="H32" s="343">
        <f>SUMIFS('EV Data'!$AK$6:$AK$33,'EV Data'!$AE$6:$AE$33,'EV Forecast'!H7)</f>
        <v>6561</v>
      </c>
      <c r="I32" s="343">
        <f>SUMIFS('EV Data'!$AK$6:$AK$33,'EV Data'!$AE$6:$AE$33,'EV Forecast'!I7)</f>
        <v>8158</v>
      </c>
      <c r="J32" s="343">
        <f>SUMIFS('EV Data'!$AK$6:$AK$33,'EV Data'!$AE$6:$AE$33,'EV Forecast'!J7)</f>
        <v>14736</v>
      </c>
      <c r="K32" s="343">
        <f>SUMIFS('EV Data'!$AK$6:$AK$33,'EV Data'!$AE$6:$AE$33,'EV Forecast'!K7)</f>
        <v>32783</v>
      </c>
      <c r="L32" s="343">
        <f>SUMIFS('EV Data'!$AK$6:$AK$37,'EV Data'!$AE$6:$AE$37,'EV Forecast'!L7)</f>
        <v>38635</v>
      </c>
      <c r="M32" s="343">
        <f>SUMIFS('EV Data'!$AK$6:$AK$37,'EV Data'!$AE$6:$AE$37,'EV Forecast'!M7)</f>
        <v>41666</v>
      </c>
      <c r="N32" s="98">
        <f>N29*N83</f>
        <v>53284.334573680841</v>
      </c>
      <c r="O32" s="98">
        <f t="shared" ref="O32:W32" si="30">O29*O83</f>
        <v>68142.377741082892</v>
      </c>
      <c r="P32" s="98">
        <f t="shared" si="30"/>
        <v>87143.504396918404</v>
      </c>
      <c r="Q32" s="98">
        <f t="shared" si="30"/>
        <v>111442.99054885104</v>
      </c>
      <c r="R32" s="98">
        <f t="shared" si="30"/>
        <v>130722.62791380228</v>
      </c>
      <c r="S32" s="98">
        <f t="shared" si="30"/>
        <v>197106.98852394189</v>
      </c>
      <c r="T32" s="98">
        <f t="shared" si="30"/>
        <v>254268.015195885</v>
      </c>
      <c r="U32" s="98">
        <f t="shared" si="30"/>
        <v>361888.43092995731</v>
      </c>
      <c r="V32" s="98">
        <f t="shared" si="30"/>
        <v>418343.02615503059</v>
      </c>
      <c r="W32" s="98">
        <f t="shared" si="30"/>
        <v>476911.04981673486</v>
      </c>
      <c r="X32" s="98">
        <f>X29*X83</f>
        <v>537654.45721444534</v>
      </c>
      <c r="Y32" s="98">
        <f>Y29*Y83</f>
        <v>600636.83648813749</v>
      </c>
      <c r="Z32" s="98">
        <f>Z29*Z83</f>
        <v>665923.44914989162</v>
      </c>
      <c r="AA32" s="99">
        <f>AA29*AA83</f>
        <v>679241.91813288943</v>
      </c>
    </row>
    <row r="33" spans="2:27" x14ac:dyDescent="0.25">
      <c r="B33" s="481"/>
      <c r="C33" s="73"/>
      <c r="D33" s="325" t="s">
        <v>214</v>
      </c>
      <c r="E33" s="47" t="s">
        <v>282</v>
      </c>
      <c r="F33" s="343">
        <f>SUMIFS('EV Data'!$AL$6:$AL$33,'EV Data'!$AE$6:$AE$33,'EV Forecast'!F7)</f>
        <v>2532</v>
      </c>
      <c r="G33" s="343">
        <f>SUMIFS('EV Data'!$AL$6:$AL$33,'EV Data'!$AE$6:$AE$33,'EV Forecast'!G7)</f>
        <v>7311</v>
      </c>
      <c r="H33" s="343">
        <f>SUMIFS('EV Data'!$AL$6:$AL$33,'EV Data'!$AE$6:$AE$33,'EV Forecast'!H7)</f>
        <v>5260</v>
      </c>
      <c r="I33" s="343">
        <f>SUMIFS('EV Data'!$AL$6:$AL$33,'EV Data'!$AE$6:$AE$33,'EV Forecast'!I7)</f>
        <v>4693</v>
      </c>
      <c r="J33" s="343">
        <f>SUMIFS('EV Data'!$AL$6:$AL$33,'EV Data'!$AE$6:$AE$33,'EV Forecast'!J7)</f>
        <v>6998</v>
      </c>
      <c r="K33" s="343">
        <f>SUMIFS('EV Data'!$AL$6:$AL$33,'EV Data'!$AE$6:$AE$33,'EV Forecast'!K7)</f>
        <v>12362</v>
      </c>
      <c r="L33" s="343">
        <f>SUMIFS('EV Data'!$AL$6:$AL$37,'EV Data'!$AE$6:$AE$37,'EV Forecast'!L7)</f>
        <v>10174</v>
      </c>
      <c r="M33" s="343">
        <f>SUMIFS('EV Data'!$AL$6:$AL$37,'EV Data'!$AE$6:$AE$37,'EV Forecast'!M7)</f>
        <v>8434</v>
      </c>
      <c r="N33" s="368"/>
      <c r="O33" s="343"/>
      <c r="P33" s="343"/>
      <c r="Q33" s="343"/>
      <c r="R33" s="343"/>
      <c r="S33" s="343"/>
      <c r="T33" s="343"/>
      <c r="U33" s="343"/>
      <c r="V33" s="343"/>
      <c r="W33" s="343"/>
      <c r="X33" s="343"/>
      <c r="Y33" s="343"/>
      <c r="Z33" s="343"/>
      <c r="AA33" s="353"/>
    </row>
    <row r="34" spans="2:27" x14ac:dyDescent="0.25">
      <c r="B34" s="481"/>
      <c r="C34" s="73"/>
      <c r="D34" s="325" t="s">
        <v>214</v>
      </c>
      <c r="E34" s="47" t="s">
        <v>283</v>
      </c>
      <c r="F34" s="343">
        <f>SUMIFS('EV Data'!$AN$6:$AN$33,'EV Data'!$AE$6:$AE$33,'EV Forecast'!F7)</f>
        <v>1031</v>
      </c>
      <c r="G34" s="343">
        <f>SUMIFS('EV Data'!$AN$6:$AN$33,'EV Data'!$AE$6:$AE$33,'EV Forecast'!G7)</f>
        <v>903</v>
      </c>
      <c r="H34" s="343">
        <f>SUMIFS('EV Data'!$AN$6:$AN$33,'EV Data'!$AE$6:$AE$33,'EV Forecast'!H7)</f>
        <v>1301</v>
      </c>
      <c r="I34" s="343">
        <f>SUMIFS('EV Data'!$AN$6:$AN$33,'EV Data'!$AE$6:$AE$33,'EV Forecast'!I7)</f>
        <v>3465</v>
      </c>
      <c r="J34" s="343">
        <f>SUMIFS('EV Data'!$AN$6:$AN$33,'EV Data'!$AE$6:$AE$33,'EV Forecast'!J7)</f>
        <v>7738</v>
      </c>
      <c r="K34" s="343">
        <f>SUMIFS('EV Data'!$AN$6:$AN$33,'EV Data'!$AE$6:$AE$33,'EV Forecast'!K7)</f>
        <v>19373</v>
      </c>
      <c r="L34" s="343">
        <f>SUMIFS('EV Data'!$AN$6:$AN$37,'EV Data'!$AE$6:$AE$37,'EV Forecast'!L7)</f>
        <v>26145</v>
      </c>
      <c r="M34" s="343">
        <f>SUMIFS('EV Data'!$AN$6:$AN$37,'EV Data'!$AE$6:$AE$37,'EV Forecast'!M7)</f>
        <v>28874</v>
      </c>
      <c r="N34" s="368"/>
      <c r="O34" s="343"/>
      <c r="P34" s="343"/>
      <c r="Q34" s="343"/>
      <c r="R34" s="343"/>
      <c r="S34" s="343"/>
      <c r="T34" s="343"/>
      <c r="U34" s="343"/>
      <c r="V34" s="343"/>
      <c r="W34" s="343"/>
      <c r="X34" s="343"/>
      <c r="Y34" s="343"/>
      <c r="Z34" s="343"/>
      <c r="AA34" s="353"/>
    </row>
    <row r="35" spans="2:27" x14ac:dyDescent="0.25">
      <c r="B35" s="481"/>
      <c r="C35" s="73"/>
      <c r="D35" s="325" t="s">
        <v>214</v>
      </c>
      <c r="E35" s="47" t="s">
        <v>284</v>
      </c>
      <c r="F35" s="343">
        <f>SUMIFS('EV Data'!$AO$6:$AO$33,'EV Data'!$AE$6:$AE$33,'EV Forecast'!F7)</f>
        <v>0</v>
      </c>
      <c r="G35" s="343">
        <f>SUMIFS('EV Data'!$AO$6:$AO$33,'EV Data'!$AE$6:$AE$33,'EV Forecast'!G7)</f>
        <v>0</v>
      </c>
      <c r="H35" s="343">
        <f>SUMIFS('EV Data'!$AO$6:$AO$33,'EV Data'!$AE$6:$AE$33,'EV Forecast'!H7)</f>
        <v>0</v>
      </c>
      <c r="I35" s="343">
        <f>SUMIFS('EV Data'!$AO$6:$AO$33,'EV Data'!$AE$6:$AE$33,'EV Forecast'!I7)</f>
        <v>0</v>
      </c>
      <c r="J35" s="343">
        <f>SUMIFS('EV Data'!$AO$6:$AO$33,'EV Data'!$AE$6:$AE$33,'EV Forecast'!J7)</f>
        <v>0</v>
      </c>
      <c r="K35" s="343">
        <f>SUMIFS('EV Data'!$AO$6:$AO$33,'EV Data'!$AE$6:$AE$33,'EV Forecast'!K7)</f>
        <v>176</v>
      </c>
      <c r="L35" s="343">
        <f>SUMIFS('EV Data'!$AO$6:$AO$37,'EV Data'!$AE$6:$AE$37,'EV Forecast'!L7)</f>
        <v>507</v>
      </c>
      <c r="M35" s="343">
        <f>SUMIFS('EV Data'!$AO$6:$AO$37,'EV Data'!$AE$6:$AE$37,'EV Forecast'!M7)</f>
        <v>278</v>
      </c>
      <c r="N35" s="368"/>
      <c r="O35" s="343"/>
      <c r="P35" s="343"/>
      <c r="Q35" s="343"/>
      <c r="R35" s="343"/>
      <c r="S35" s="343"/>
      <c r="T35" s="343"/>
      <c r="U35" s="343"/>
      <c r="V35" s="343"/>
      <c r="W35" s="343"/>
      <c r="X35" s="343"/>
      <c r="Y35" s="343"/>
      <c r="Z35" s="343"/>
      <c r="AA35" s="353"/>
    </row>
    <row r="36" spans="2:27" x14ac:dyDescent="0.25">
      <c r="B36" s="481"/>
      <c r="C36" s="73"/>
      <c r="D36" s="325" t="s">
        <v>214</v>
      </c>
      <c r="E36" s="47" t="s">
        <v>285</v>
      </c>
      <c r="F36" s="343">
        <f>SUMIFS('EV Data'!$AM$6:$AM$33,'EV Data'!$AE$6:$AE$33,'EV Forecast'!F7)</f>
        <v>0</v>
      </c>
      <c r="G36" s="343">
        <f>SUMIFS('EV Data'!$AM$6:$AM$33,'EV Data'!$AE$6:$AE$33,'EV Forecast'!G7)</f>
        <v>0</v>
      </c>
      <c r="H36" s="343">
        <f>SUMIFS('EV Data'!$AM$6:$AM$33,'EV Data'!$AE$6:$AE$33,'EV Forecast'!H7)</f>
        <v>0</v>
      </c>
      <c r="I36" s="343">
        <f>SUMIFS('EV Data'!$AM$6:$AM$33,'EV Data'!$AE$6:$AE$33,'EV Forecast'!I7)</f>
        <v>0</v>
      </c>
      <c r="J36" s="343">
        <f>SUMIFS('EV Data'!$AM$6:$AM$33,'EV Data'!$AE$6:$AE$33,'EV Forecast'!J7)</f>
        <v>0</v>
      </c>
      <c r="K36" s="343">
        <f>SUMIFS('EV Data'!$AM$6:$AM$33,'EV Data'!$AE$6:$AE$33,'EV Forecast'!K7)</f>
        <v>872</v>
      </c>
      <c r="L36" s="343">
        <f>SUMIFS('EV Data'!$AM$6:$AM$37,'EV Data'!$AE$6:$AE$37,'EV Forecast'!L7)</f>
        <v>1809</v>
      </c>
      <c r="M36" s="343">
        <f>SUMIFS('EV Data'!$AM$6:$AM$37,'EV Data'!$AE$6:$AE$37,'EV Forecast'!M7)</f>
        <v>4080</v>
      </c>
      <c r="N36" s="368"/>
      <c r="O36" s="343"/>
      <c r="P36" s="343"/>
      <c r="Q36" s="343"/>
      <c r="R36" s="343"/>
      <c r="S36" s="343"/>
      <c r="T36" s="343"/>
      <c r="U36" s="343"/>
      <c r="V36" s="343"/>
      <c r="W36" s="343"/>
      <c r="X36" s="343"/>
      <c r="Y36" s="343"/>
      <c r="Z36" s="343"/>
      <c r="AA36" s="353"/>
    </row>
    <row r="37" spans="2:27" x14ac:dyDescent="0.25">
      <c r="B37" s="481"/>
      <c r="C37" s="73"/>
      <c r="D37" s="325"/>
      <c r="F37" s="343"/>
      <c r="G37" s="343"/>
      <c r="H37" s="343"/>
      <c r="I37" s="343"/>
      <c r="J37" s="343"/>
      <c r="K37" s="343"/>
      <c r="L37" s="343"/>
      <c r="M37" s="343"/>
      <c r="N37" s="343"/>
      <c r="O37" s="343"/>
      <c r="P37" s="343"/>
      <c r="Q37" s="343"/>
      <c r="R37" s="343"/>
      <c r="S37" s="343"/>
      <c r="T37" s="343"/>
      <c r="U37" s="343"/>
      <c r="V37" s="343"/>
      <c r="W37" s="343"/>
      <c r="X37" s="343"/>
      <c r="Y37" s="343"/>
      <c r="Z37" s="343"/>
      <c r="AA37" s="353"/>
    </row>
    <row r="38" spans="2:27" x14ac:dyDescent="0.25">
      <c r="B38" s="481"/>
      <c r="C38" s="73"/>
      <c r="D38" s="325" t="s">
        <v>214</v>
      </c>
      <c r="E38" s="47" t="s">
        <v>286</v>
      </c>
      <c r="F38" s="365">
        <f t="shared" ref="F38:M41" si="31">F33/F$32</f>
        <v>0.71063710356441201</v>
      </c>
      <c r="G38" s="365">
        <f t="shared" si="31"/>
        <v>0.89006574141709272</v>
      </c>
      <c r="H38" s="365">
        <f t="shared" si="31"/>
        <v>0.80170705685108978</v>
      </c>
      <c r="I38" s="365">
        <f t="shared" si="31"/>
        <v>0.57526354498651633</v>
      </c>
      <c r="J38" s="365">
        <f t="shared" si="31"/>
        <v>0.47489142236699239</v>
      </c>
      <c r="K38" s="365">
        <f t="shared" si="31"/>
        <v>0.37708568465363146</v>
      </c>
      <c r="L38" s="365">
        <f t="shared" si="31"/>
        <v>0.2633363530477546</v>
      </c>
      <c r="M38" s="365">
        <f>M33/M$32</f>
        <v>0.20241923870781933</v>
      </c>
      <c r="N38" s="331">
        <f>AVERAGE(L38:M38)</f>
        <v>0.23287779587778695</v>
      </c>
      <c r="O38" s="331">
        <f t="shared" ref="O38:W41" si="32">N38</f>
        <v>0.23287779587778695</v>
      </c>
      <c r="P38" s="331">
        <f t="shared" si="32"/>
        <v>0.23287779587778695</v>
      </c>
      <c r="Q38" s="331">
        <f t="shared" si="32"/>
        <v>0.23287779587778695</v>
      </c>
      <c r="R38" s="331">
        <f t="shared" si="32"/>
        <v>0.23287779587778695</v>
      </c>
      <c r="S38" s="331">
        <f t="shared" si="32"/>
        <v>0.23287779587778695</v>
      </c>
      <c r="T38" s="331">
        <f t="shared" si="32"/>
        <v>0.23287779587778695</v>
      </c>
      <c r="U38" s="331">
        <f t="shared" si="32"/>
        <v>0.23287779587778695</v>
      </c>
      <c r="V38" s="331">
        <f t="shared" si="32"/>
        <v>0.23287779587778695</v>
      </c>
      <c r="W38" s="331">
        <f t="shared" si="32"/>
        <v>0.23287779587778695</v>
      </c>
      <c r="X38" s="331">
        <f t="shared" ref="X38:AA41" si="33">W38</f>
        <v>0.23287779587778695</v>
      </c>
      <c r="Y38" s="331">
        <f t="shared" si="33"/>
        <v>0.23287779587778695</v>
      </c>
      <c r="Z38" s="331">
        <f t="shared" si="33"/>
        <v>0.23287779587778695</v>
      </c>
      <c r="AA38" s="369">
        <f t="shared" si="33"/>
        <v>0.23287779587778695</v>
      </c>
    </row>
    <row r="39" spans="2:27" x14ac:dyDescent="0.25">
      <c r="B39" s="481"/>
      <c r="C39" s="73"/>
      <c r="D39" s="62" t="s">
        <v>214</v>
      </c>
      <c r="E39" s="47" t="s">
        <v>287</v>
      </c>
      <c r="F39" s="365">
        <f t="shared" si="31"/>
        <v>0.28936289643558799</v>
      </c>
      <c r="G39" s="365">
        <f t="shared" si="31"/>
        <v>0.10993425858290723</v>
      </c>
      <c r="H39" s="365">
        <f t="shared" si="31"/>
        <v>0.19829294314891022</v>
      </c>
      <c r="I39" s="365">
        <f t="shared" si="31"/>
        <v>0.42473645501348367</v>
      </c>
      <c r="J39" s="365">
        <f t="shared" si="31"/>
        <v>0.52510857763300756</v>
      </c>
      <c r="K39" s="365">
        <f t="shared" si="31"/>
        <v>0.59094652716346885</v>
      </c>
      <c r="L39" s="365">
        <f t="shared" si="31"/>
        <v>0.67671800181182862</v>
      </c>
      <c r="M39" s="365">
        <f t="shared" si="31"/>
        <v>0.69298708779340468</v>
      </c>
      <c r="N39" s="331">
        <f>AVERAGE(L39:M39)</f>
        <v>0.68485254480261659</v>
      </c>
      <c r="O39" s="331">
        <f t="shared" si="32"/>
        <v>0.68485254480261659</v>
      </c>
      <c r="P39" s="331">
        <f t="shared" si="32"/>
        <v>0.68485254480261659</v>
      </c>
      <c r="Q39" s="331">
        <f t="shared" si="32"/>
        <v>0.68485254480261659</v>
      </c>
      <c r="R39" s="331">
        <f t="shared" si="32"/>
        <v>0.68485254480261659</v>
      </c>
      <c r="S39" s="331">
        <f t="shared" si="32"/>
        <v>0.68485254480261659</v>
      </c>
      <c r="T39" s="331">
        <f t="shared" si="32"/>
        <v>0.68485254480261659</v>
      </c>
      <c r="U39" s="331">
        <f t="shared" si="32"/>
        <v>0.68485254480261659</v>
      </c>
      <c r="V39" s="331">
        <f t="shared" si="32"/>
        <v>0.68485254480261659</v>
      </c>
      <c r="W39" s="331">
        <f t="shared" si="32"/>
        <v>0.68485254480261659</v>
      </c>
      <c r="X39" s="331">
        <f t="shared" si="33"/>
        <v>0.68485254480261659</v>
      </c>
      <c r="Y39" s="331">
        <f t="shared" si="33"/>
        <v>0.68485254480261659</v>
      </c>
      <c r="Z39" s="331">
        <f t="shared" si="33"/>
        <v>0.68485254480261659</v>
      </c>
      <c r="AA39" s="369">
        <f t="shared" si="33"/>
        <v>0.68485254480261659</v>
      </c>
    </row>
    <row r="40" spans="2:27" x14ac:dyDescent="0.25">
      <c r="B40" s="481"/>
      <c r="C40" s="73"/>
      <c r="D40" s="325" t="s">
        <v>214</v>
      </c>
      <c r="E40" s="47" t="s">
        <v>288</v>
      </c>
      <c r="F40" s="365">
        <f t="shared" si="31"/>
        <v>0</v>
      </c>
      <c r="G40" s="365">
        <f t="shared" si="31"/>
        <v>0</v>
      </c>
      <c r="H40" s="365">
        <f t="shared" si="31"/>
        <v>0</v>
      </c>
      <c r="I40" s="365">
        <f t="shared" si="31"/>
        <v>0</v>
      </c>
      <c r="J40" s="365">
        <f t="shared" si="31"/>
        <v>0</v>
      </c>
      <c r="K40" s="365">
        <f t="shared" si="31"/>
        <v>5.3686361833877316E-3</v>
      </c>
      <c r="L40" s="365">
        <f t="shared" si="31"/>
        <v>1.3122816099391744E-2</v>
      </c>
      <c r="M40" s="365">
        <f t="shared" si="31"/>
        <v>6.6721067537080592E-3</v>
      </c>
      <c r="N40" s="331">
        <f>AVERAGE(L40:M40)</f>
        <v>9.8974614265499011E-3</v>
      </c>
      <c r="O40" s="331">
        <f t="shared" si="32"/>
        <v>9.8974614265499011E-3</v>
      </c>
      <c r="P40" s="331">
        <f t="shared" si="32"/>
        <v>9.8974614265499011E-3</v>
      </c>
      <c r="Q40" s="331">
        <f t="shared" si="32"/>
        <v>9.8974614265499011E-3</v>
      </c>
      <c r="R40" s="331">
        <f t="shared" si="32"/>
        <v>9.8974614265499011E-3</v>
      </c>
      <c r="S40" s="331">
        <f t="shared" si="32"/>
        <v>9.8974614265499011E-3</v>
      </c>
      <c r="T40" s="331">
        <f t="shared" si="32"/>
        <v>9.8974614265499011E-3</v>
      </c>
      <c r="U40" s="331">
        <f t="shared" si="32"/>
        <v>9.8974614265499011E-3</v>
      </c>
      <c r="V40" s="331">
        <f t="shared" si="32"/>
        <v>9.8974614265499011E-3</v>
      </c>
      <c r="W40" s="331">
        <f t="shared" si="32"/>
        <v>9.8974614265499011E-3</v>
      </c>
      <c r="X40" s="331">
        <f t="shared" si="33"/>
        <v>9.8974614265499011E-3</v>
      </c>
      <c r="Y40" s="331">
        <f t="shared" si="33"/>
        <v>9.8974614265499011E-3</v>
      </c>
      <c r="Z40" s="331">
        <f t="shared" si="33"/>
        <v>9.8974614265499011E-3</v>
      </c>
      <c r="AA40" s="369">
        <f t="shared" si="33"/>
        <v>9.8974614265499011E-3</v>
      </c>
    </row>
    <row r="41" spans="2:27" x14ac:dyDescent="0.25">
      <c r="B41" s="481"/>
      <c r="C41" s="73"/>
      <c r="D41" s="325" t="s">
        <v>214</v>
      </c>
      <c r="E41" s="47" t="s">
        <v>289</v>
      </c>
      <c r="F41" s="365">
        <f t="shared" si="31"/>
        <v>0</v>
      </c>
      <c r="G41" s="365">
        <f t="shared" si="31"/>
        <v>0</v>
      </c>
      <c r="H41" s="365">
        <f t="shared" si="31"/>
        <v>0</v>
      </c>
      <c r="I41" s="365">
        <f t="shared" si="31"/>
        <v>0</v>
      </c>
      <c r="J41" s="365">
        <f t="shared" si="31"/>
        <v>0</v>
      </c>
      <c r="K41" s="365">
        <f t="shared" si="31"/>
        <v>2.6599151999511943E-2</v>
      </c>
      <c r="L41" s="365">
        <f t="shared" si="31"/>
        <v>4.6822829041024978E-2</v>
      </c>
      <c r="M41" s="365">
        <f t="shared" si="31"/>
        <v>9.7921566745067926E-2</v>
      </c>
      <c r="N41" s="331">
        <f>AVERAGE(L41:M41)</f>
        <v>7.2372197893046455E-2</v>
      </c>
      <c r="O41" s="331">
        <f t="shared" si="32"/>
        <v>7.2372197893046455E-2</v>
      </c>
      <c r="P41" s="331">
        <f t="shared" si="32"/>
        <v>7.2372197893046455E-2</v>
      </c>
      <c r="Q41" s="331">
        <f t="shared" si="32"/>
        <v>7.2372197893046455E-2</v>
      </c>
      <c r="R41" s="331">
        <f t="shared" si="32"/>
        <v>7.2372197893046455E-2</v>
      </c>
      <c r="S41" s="331">
        <f t="shared" si="32"/>
        <v>7.2372197893046455E-2</v>
      </c>
      <c r="T41" s="331">
        <f t="shared" si="32"/>
        <v>7.2372197893046455E-2</v>
      </c>
      <c r="U41" s="331">
        <f t="shared" si="32"/>
        <v>7.2372197893046455E-2</v>
      </c>
      <c r="V41" s="331">
        <f t="shared" si="32"/>
        <v>7.2372197893046455E-2</v>
      </c>
      <c r="W41" s="331">
        <f t="shared" si="32"/>
        <v>7.2372197893046455E-2</v>
      </c>
      <c r="X41" s="331">
        <f t="shared" si="33"/>
        <v>7.2372197893046455E-2</v>
      </c>
      <c r="Y41" s="331">
        <f t="shared" si="33"/>
        <v>7.2372197893046455E-2</v>
      </c>
      <c r="Z41" s="331">
        <f t="shared" si="33"/>
        <v>7.2372197893046455E-2</v>
      </c>
      <c r="AA41" s="369">
        <f t="shared" si="33"/>
        <v>7.2372197893046455E-2</v>
      </c>
    </row>
    <row r="42" spans="2:27" x14ac:dyDescent="0.25">
      <c r="B42" s="481"/>
      <c r="C42" s="73"/>
      <c r="F42" s="365"/>
      <c r="G42" s="365"/>
      <c r="H42" s="365"/>
      <c r="I42" s="365"/>
      <c r="J42" s="365"/>
      <c r="K42" s="365"/>
      <c r="L42" s="365"/>
      <c r="AA42" s="92"/>
    </row>
    <row r="43" spans="2:27" x14ac:dyDescent="0.25">
      <c r="B43" s="482"/>
      <c r="C43" s="102"/>
      <c r="D43" s="118"/>
      <c r="E43" s="118"/>
      <c r="F43" s="370"/>
      <c r="G43" s="370"/>
      <c r="H43" s="370"/>
      <c r="I43" s="370"/>
      <c r="J43" s="370"/>
      <c r="K43" s="370"/>
      <c r="L43" s="370"/>
      <c r="M43" s="118"/>
      <c r="N43" s="118"/>
      <c r="O43" s="118"/>
      <c r="P43" s="118"/>
      <c r="Q43" s="118"/>
      <c r="R43" s="118"/>
      <c r="S43" s="118"/>
      <c r="T43" s="118"/>
      <c r="U43" s="118"/>
      <c r="V43" s="118"/>
      <c r="W43" s="118"/>
      <c r="X43" s="118"/>
      <c r="Y43" s="118"/>
      <c r="Z43" s="118"/>
      <c r="AA43" s="119"/>
    </row>
    <row r="44" spans="2:27" x14ac:dyDescent="0.25">
      <c r="B44" s="480" t="s">
        <v>290</v>
      </c>
      <c r="C44" s="69"/>
      <c r="D44" s="70"/>
      <c r="E44" s="340"/>
      <c r="F44" s="341">
        <v>2017</v>
      </c>
      <c r="G44" s="341">
        <v>2018</v>
      </c>
      <c r="H44" s="341">
        <v>2019</v>
      </c>
      <c r="I44" s="341">
        <v>2020</v>
      </c>
      <c r="J44" s="341">
        <v>2021</v>
      </c>
      <c r="K44" s="341">
        <v>2022</v>
      </c>
      <c r="L44" s="341">
        <v>2023</v>
      </c>
      <c r="M44" s="341">
        <v>2024</v>
      </c>
      <c r="N44" s="341">
        <v>2025</v>
      </c>
      <c r="O44" s="341">
        <v>2026</v>
      </c>
      <c r="P44" s="341">
        <v>2027</v>
      </c>
      <c r="Q44" s="341">
        <v>2028</v>
      </c>
      <c r="R44" s="341">
        <v>2029</v>
      </c>
      <c r="S44" s="341">
        <v>2030</v>
      </c>
      <c r="T44" s="341">
        <v>2031</v>
      </c>
      <c r="U44" s="341">
        <v>2032</v>
      </c>
      <c r="V44" s="341">
        <v>2033</v>
      </c>
      <c r="W44" s="341">
        <v>2034</v>
      </c>
      <c r="X44" s="341">
        <v>2035</v>
      </c>
      <c r="Y44" s="341">
        <v>2036</v>
      </c>
      <c r="Z44" s="341">
        <v>2037</v>
      </c>
      <c r="AA44" s="341">
        <v>2038</v>
      </c>
    </row>
    <row r="45" spans="2:27" x14ac:dyDescent="0.25">
      <c r="B45" s="481"/>
      <c r="C45" s="73"/>
      <c r="AA45" s="92"/>
    </row>
    <row r="46" spans="2:27" x14ac:dyDescent="0.25">
      <c r="B46" s="481"/>
      <c r="C46" s="486" t="s">
        <v>271</v>
      </c>
      <c r="D46" s="342" t="s">
        <v>168</v>
      </c>
      <c r="E46" s="47" t="s">
        <v>272</v>
      </c>
      <c r="F46" s="343">
        <f>SUMIFS('EV Data'!$T:$T,'EV Data'!$M:$M,'EV Forecast'!F44)/3</f>
        <v>36</v>
      </c>
      <c r="G46" s="343">
        <f>SUMIFS('EV Data'!$T:$T,'EV Data'!$M:$M,'EV Forecast'!G44)/3</f>
        <v>75</v>
      </c>
      <c r="H46" s="343">
        <f>SUMIFS('EV Data'!$T:$T,'EV Data'!$M:$M,'EV Forecast'!H44)/3</f>
        <v>27</v>
      </c>
      <c r="I46" s="343">
        <f>SUMIFS('EV Data'!$T:$T,'EV Data'!$M:$M,'EV Forecast'!I44)/3</f>
        <v>17</v>
      </c>
      <c r="J46" s="343">
        <f>SUMIFS('EV Data'!$T:$T,'EV Data'!$M:$M,'EV Forecast'!J44)/3</f>
        <v>32</v>
      </c>
      <c r="K46" s="343">
        <f>SUMIFS('EV Data'!$T:$T,'EV Data'!$M:$M,'EV Forecast'!K44)/3</f>
        <v>47</v>
      </c>
      <c r="L46" s="343">
        <f>SUMIFS('EV Data'!$T:$T,'EV Data'!$M:$M,'EV Forecast'!L44)/3</f>
        <v>110</v>
      </c>
      <c r="M46" s="343">
        <f>SUMIFS('EV Data'!$T:$T,'EV Data'!$M:$M,'EV Forecast'!M44)/3</f>
        <v>125</v>
      </c>
      <c r="N46" s="344">
        <f t="shared" ref="N46:W46" si="34">N49+N54+N59</f>
        <v>165.08814264870483</v>
      </c>
      <c r="O46" s="344">
        <f t="shared" si="34"/>
        <v>211.12206180197612</v>
      </c>
      <c r="P46" s="344">
        <f t="shared" si="34"/>
        <v>269.9922857231752</v>
      </c>
      <c r="Q46" s="344">
        <f t="shared" si="34"/>
        <v>345.27814728523254</v>
      </c>
      <c r="R46" s="344">
        <f t="shared" si="34"/>
        <v>405.01126676557789</v>
      </c>
      <c r="S46" s="344">
        <f t="shared" si="34"/>
        <v>610.68655354044506</v>
      </c>
      <c r="T46" s="344">
        <f t="shared" si="34"/>
        <v>787.78565406717428</v>
      </c>
      <c r="U46" s="344">
        <f t="shared" si="34"/>
        <v>1121.2205123002575</v>
      </c>
      <c r="V46" s="344">
        <f t="shared" si="34"/>
        <v>1296.1309122190974</v>
      </c>
      <c r="W46" s="344">
        <f t="shared" si="34"/>
        <v>1477.5892399297709</v>
      </c>
      <c r="X46" s="344">
        <f>X49+X54+X59</f>
        <v>1665.7874483839839</v>
      </c>
      <c r="Y46" s="344">
        <f>Y49+Y54+Y59</f>
        <v>1860.9225494803934</v>
      </c>
      <c r="Z46" s="344">
        <f>Z49+Z54+Z59</f>
        <v>2063.1967396413061</v>
      </c>
      <c r="AA46" s="345">
        <f>AA49+AA54+AA59</f>
        <v>2104.4606744341322</v>
      </c>
    </row>
    <row r="47" spans="2:27" x14ac:dyDescent="0.25">
      <c r="B47" s="481"/>
      <c r="C47" s="486"/>
      <c r="D47" s="342" t="s">
        <v>168</v>
      </c>
      <c r="E47" s="47" t="s">
        <v>211</v>
      </c>
      <c r="F47" s="343">
        <f>F46</f>
        <v>36</v>
      </c>
      <c r="G47" s="343">
        <f t="shared" ref="G47:T47" si="35">F47+G46</f>
        <v>111</v>
      </c>
      <c r="H47" s="343">
        <f t="shared" si="35"/>
        <v>138</v>
      </c>
      <c r="I47" s="343">
        <f t="shared" si="35"/>
        <v>155</v>
      </c>
      <c r="J47" s="343">
        <f t="shared" si="35"/>
        <v>187</v>
      </c>
      <c r="K47" s="343">
        <f t="shared" si="35"/>
        <v>234</v>
      </c>
      <c r="L47" s="343">
        <f t="shared" si="35"/>
        <v>344</v>
      </c>
      <c r="M47" s="343">
        <f t="shared" si="35"/>
        <v>469</v>
      </c>
      <c r="N47" s="344">
        <f t="shared" si="35"/>
        <v>634.08814264870489</v>
      </c>
      <c r="O47" s="344">
        <f t="shared" si="35"/>
        <v>845.21020445068098</v>
      </c>
      <c r="P47" s="344">
        <f t="shared" si="35"/>
        <v>1115.2024901738562</v>
      </c>
      <c r="Q47" s="344">
        <f t="shared" si="35"/>
        <v>1460.4806374590887</v>
      </c>
      <c r="R47" s="344">
        <f t="shared" si="35"/>
        <v>1865.4919042246665</v>
      </c>
      <c r="S47" s="344">
        <f t="shared" si="35"/>
        <v>2476.1784577651115</v>
      </c>
      <c r="T47" s="344">
        <f t="shared" si="35"/>
        <v>3263.9641118322857</v>
      </c>
      <c r="U47" s="344">
        <f t="shared" ref="U47:AA47" si="36">T47+U46-F46</f>
        <v>4349.1846241325429</v>
      </c>
      <c r="V47" s="344">
        <f t="shared" si="36"/>
        <v>5570.3155363516398</v>
      </c>
      <c r="W47" s="344">
        <f t="shared" si="36"/>
        <v>7020.9047762814107</v>
      </c>
      <c r="X47" s="344">
        <f t="shared" si="36"/>
        <v>8669.692224665394</v>
      </c>
      <c r="Y47" s="344">
        <f t="shared" si="36"/>
        <v>10498.614774145788</v>
      </c>
      <c r="Z47" s="344">
        <f t="shared" si="36"/>
        <v>12514.811513787094</v>
      </c>
      <c r="AA47" s="345">
        <f t="shared" si="36"/>
        <v>14509.272188221226</v>
      </c>
    </row>
    <row r="48" spans="2:27" x14ac:dyDescent="0.25">
      <c r="B48" s="481"/>
      <c r="C48" s="73"/>
      <c r="D48" s="342"/>
      <c r="G48" s="346"/>
      <c r="AA48" s="92"/>
    </row>
    <row r="49" spans="2:27" x14ac:dyDescent="0.25">
      <c r="B49" s="481"/>
      <c r="C49" s="475" t="s">
        <v>273</v>
      </c>
      <c r="D49" s="347" t="s">
        <v>168</v>
      </c>
      <c r="E49" s="70" t="s">
        <v>272</v>
      </c>
      <c r="F49" s="348">
        <f t="shared" ref="F49:M49" si="37">F46*(F75+F76)</f>
        <v>31.92982456140351</v>
      </c>
      <c r="G49" s="348">
        <f t="shared" si="37"/>
        <v>67.319171348314612</v>
      </c>
      <c r="H49" s="348">
        <f t="shared" si="37"/>
        <v>26.223992502343016</v>
      </c>
      <c r="I49" s="348">
        <f t="shared" si="37"/>
        <v>16.026304624522698</v>
      </c>
      <c r="J49" s="348">
        <f t="shared" si="37"/>
        <v>30.187951807228917</v>
      </c>
      <c r="K49" s="348">
        <f t="shared" si="37"/>
        <v>42.850824970233035</v>
      </c>
      <c r="L49" s="348">
        <f t="shared" si="37"/>
        <v>104.06801774375926</v>
      </c>
      <c r="M49" s="348">
        <f t="shared" si="37"/>
        <v>122.03696263559662</v>
      </c>
      <c r="N49" s="349">
        <f t="shared" ref="N49:W49" si="38">N66*N83*(N75+N76)*N65</f>
        <v>158.6801299769532</v>
      </c>
      <c r="O49" s="349">
        <f t="shared" si="38"/>
        <v>202.92721009665283</v>
      </c>
      <c r="P49" s="349">
        <f t="shared" si="38"/>
        <v>259.51234476296435</v>
      </c>
      <c r="Q49" s="349">
        <f t="shared" si="38"/>
        <v>331.87593251932515</v>
      </c>
      <c r="R49" s="349">
        <f t="shared" si="38"/>
        <v>389.2904688451685</v>
      </c>
      <c r="S49" s="349">
        <f t="shared" si="38"/>
        <v>586.98232432828001</v>
      </c>
      <c r="T49" s="349">
        <f t="shared" si="38"/>
        <v>757.20719838348134</v>
      </c>
      <c r="U49" s="349">
        <f t="shared" si="38"/>
        <v>1077.6995474667224</v>
      </c>
      <c r="V49" s="349">
        <f t="shared" si="38"/>
        <v>1245.8206768715308</v>
      </c>
      <c r="W49" s="349">
        <f t="shared" si="38"/>
        <v>1420.2355716335451</v>
      </c>
      <c r="X49" s="349">
        <f>X66*X83*(X75+X76)*X65</f>
        <v>1601.1287339152914</v>
      </c>
      <c r="Y49" s="349">
        <f>Y66*Y83*(Y75+Y76)*Y65</f>
        <v>1788.689528459654</v>
      </c>
      <c r="Z49" s="349">
        <f>Z66*Z83*(Z75+Z76)*Z65</f>
        <v>1983.1123032922255</v>
      </c>
      <c r="AA49" s="350">
        <f>AA66*AA83*(AA75+AA76)*AA65</f>
        <v>2022.7745493580701</v>
      </c>
    </row>
    <row r="50" spans="2:27" x14ac:dyDescent="0.25">
      <c r="B50" s="481"/>
      <c r="C50" s="478"/>
      <c r="D50" s="342" t="s">
        <v>168</v>
      </c>
      <c r="E50" s="47" t="s">
        <v>211</v>
      </c>
      <c r="F50" s="343">
        <f>F49</f>
        <v>31.92982456140351</v>
      </c>
      <c r="G50" s="343">
        <f t="shared" ref="G50:AA50" si="39">F50+G49</f>
        <v>99.248995909718118</v>
      </c>
      <c r="H50" s="343">
        <f t="shared" si="39"/>
        <v>125.47298841206114</v>
      </c>
      <c r="I50" s="343">
        <f t="shared" si="39"/>
        <v>141.49929303658385</v>
      </c>
      <c r="J50" s="343">
        <f t="shared" si="39"/>
        <v>171.68724484381278</v>
      </c>
      <c r="K50" s="343">
        <f t="shared" si="39"/>
        <v>214.5380698140458</v>
      </c>
      <c r="L50" s="343">
        <f t="shared" si="39"/>
        <v>318.60608755780504</v>
      </c>
      <c r="M50" s="351">
        <f t="shared" si="39"/>
        <v>440.64305019340168</v>
      </c>
      <c r="N50" s="351">
        <f t="shared" si="39"/>
        <v>599.32318017035482</v>
      </c>
      <c r="O50" s="351">
        <f t="shared" si="39"/>
        <v>802.25039026700767</v>
      </c>
      <c r="P50" s="351">
        <f t="shared" si="39"/>
        <v>1061.762735029972</v>
      </c>
      <c r="Q50" s="351">
        <f t="shared" si="39"/>
        <v>1393.6386675492972</v>
      </c>
      <c r="R50" s="351">
        <f t="shared" si="39"/>
        <v>1782.9291363944658</v>
      </c>
      <c r="S50" s="351">
        <f t="shared" si="39"/>
        <v>2369.9114607227457</v>
      </c>
      <c r="T50" s="351">
        <f t="shared" si="39"/>
        <v>3127.1186591062269</v>
      </c>
      <c r="U50" s="351">
        <f t="shared" si="39"/>
        <v>4204.8182065729488</v>
      </c>
      <c r="V50" s="351">
        <f t="shared" si="39"/>
        <v>5450.6388834444797</v>
      </c>
      <c r="W50" s="351">
        <f t="shared" si="39"/>
        <v>6870.8744550780248</v>
      </c>
      <c r="X50" s="351">
        <f t="shared" si="39"/>
        <v>8472.0031889933161</v>
      </c>
      <c r="Y50" s="351">
        <f t="shared" si="39"/>
        <v>10260.69271745297</v>
      </c>
      <c r="Z50" s="351">
        <f t="shared" si="39"/>
        <v>12243.805020745196</v>
      </c>
      <c r="AA50" s="352">
        <f t="shared" si="39"/>
        <v>14266.579570103266</v>
      </c>
    </row>
    <row r="51" spans="2:27" x14ac:dyDescent="0.25">
      <c r="B51" s="481"/>
      <c r="C51" s="478"/>
      <c r="D51" s="342" t="s">
        <v>168</v>
      </c>
      <c r="E51" s="47" t="s">
        <v>274</v>
      </c>
      <c r="F51" s="343">
        <f>E3*0.6</f>
        <v>1708.2</v>
      </c>
      <c r="G51" s="343">
        <f t="shared" ref="G51:AA51" si="40">F51</f>
        <v>1708.2</v>
      </c>
      <c r="H51" s="343">
        <f t="shared" si="40"/>
        <v>1708.2</v>
      </c>
      <c r="I51" s="343">
        <f t="shared" si="40"/>
        <v>1708.2</v>
      </c>
      <c r="J51" s="343">
        <f t="shared" si="40"/>
        <v>1708.2</v>
      </c>
      <c r="K51" s="343">
        <f t="shared" si="40"/>
        <v>1708.2</v>
      </c>
      <c r="L51" s="343">
        <f t="shared" si="40"/>
        <v>1708.2</v>
      </c>
      <c r="M51" s="343">
        <f t="shared" si="40"/>
        <v>1708.2</v>
      </c>
      <c r="N51" s="343">
        <f t="shared" si="40"/>
        <v>1708.2</v>
      </c>
      <c r="O51" s="343">
        <f t="shared" si="40"/>
        <v>1708.2</v>
      </c>
      <c r="P51" s="343">
        <f t="shared" si="40"/>
        <v>1708.2</v>
      </c>
      <c r="Q51" s="343">
        <f t="shared" si="40"/>
        <v>1708.2</v>
      </c>
      <c r="R51" s="343">
        <f t="shared" si="40"/>
        <v>1708.2</v>
      </c>
      <c r="S51" s="343">
        <f t="shared" si="40"/>
        <v>1708.2</v>
      </c>
      <c r="T51" s="343">
        <f t="shared" si="40"/>
        <v>1708.2</v>
      </c>
      <c r="U51" s="343">
        <f t="shared" si="40"/>
        <v>1708.2</v>
      </c>
      <c r="V51" s="343">
        <f t="shared" si="40"/>
        <v>1708.2</v>
      </c>
      <c r="W51" s="343">
        <f t="shared" si="40"/>
        <v>1708.2</v>
      </c>
      <c r="X51" s="343">
        <f t="shared" si="40"/>
        <v>1708.2</v>
      </c>
      <c r="Y51" s="343">
        <f t="shared" si="40"/>
        <v>1708.2</v>
      </c>
      <c r="Z51" s="343">
        <f t="shared" si="40"/>
        <v>1708.2</v>
      </c>
      <c r="AA51" s="353">
        <f t="shared" si="40"/>
        <v>1708.2</v>
      </c>
    </row>
    <row r="52" spans="2:27" x14ac:dyDescent="0.25">
      <c r="B52" s="481"/>
      <c r="C52" s="478"/>
      <c r="D52" s="342" t="s">
        <v>168</v>
      </c>
      <c r="E52" s="47" t="s">
        <v>275</v>
      </c>
      <c r="F52" s="343">
        <f>F49*F51</f>
        <v>54542.526315789481</v>
      </c>
      <c r="G52" s="343">
        <f t="shared" ref="G52:W52" si="41">G49*G51</f>
        <v>114994.60849719102</v>
      </c>
      <c r="H52" s="343">
        <f t="shared" si="41"/>
        <v>44795.823992502344</v>
      </c>
      <c r="I52" s="343">
        <f t="shared" si="41"/>
        <v>27376.133559609672</v>
      </c>
      <c r="J52" s="343">
        <f t="shared" si="41"/>
        <v>51567.059277108434</v>
      </c>
      <c r="K52" s="343">
        <f t="shared" si="41"/>
        <v>73197.779214152077</v>
      </c>
      <c r="L52" s="343">
        <f t="shared" si="41"/>
        <v>177768.98790988958</v>
      </c>
      <c r="M52" s="343">
        <f t="shared" si="41"/>
        <v>208463.53957412616</v>
      </c>
      <c r="N52" s="343">
        <f t="shared" si="41"/>
        <v>271057.39802663145</v>
      </c>
      <c r="O52" s="343">
        <f t="shared" si="41"/>
        <v>346640.26028710237</v>
      </c>
      <c r="P52" s="343">
        <f t="shared" si="41"/>
        <v>443298.98732409568</v>
      </c>
      <c r="Q52" s="343">
        <f t="shared" si="41"/>
        <v>566910.46792951121</v>
      </c>
      <c r="R52" s="343">
        <f t="shared" si="41"/>
        <v>664985.97888131684</v>
      </c>
      <c r="S52" s="343">
        <f t="shared" si="41"/>
        <v>1002683.2064175679</v>
      </c>
      <c r="T52" s="343">
        <f t="shared" si="41"/>
        <v>1293461.3362786628</v>
      </c>
      <c r="U52" s="343">
        <f t="shared" si="41"/>
        <v>1840926.3669826551</v>
      </c>
      <c r="V52" s="343">
        <f t="shared" si="41"/>
        <v>2128110.880231949</v>
      </c>
      <c r="W52" s="343">
        <f t="shared" si="41"/>
        <v>2426046.4034644216</v>
      </c>
      <c r="X52" s="343">
        <f>X49*X51</f>
        <v>2735048.1032741009</v>
      </c>
      <c r="Y52" s="343">
        <f>Y49*Y51</f>
        <v>3055439.4525147812</v>
      </c>
      <c r="Z52" s="343">
        <f>Z49*Z51</f>
        <v>3387552.4364837799</v>
      </c>
      <c r="AA52" s="353">
        <f>AA49*AA51</f>
        <v>3455303.4852134553</v>
      </c>
    </row>
    <row r="53" spans="2:27" x14ac:dyDescent="0.25">
      <c r="B53" s="481"/>
      <c r="C53" s="479"/>
      <c r="D53" s="354" t="s">
        <v>168</v>
      </c>
      <c r="E53" s="118" t="s">
        <v>276</v>
      </c>
      <c r="F53" s="355">
        <f>F50*F51-F49*F51/2</f>
        <v>27271.26315789474</v>
      </c>
      <c r="G53" s="355">
        <f>G50*G51-G49*G51/2</f>
        <v>112039.83056438497</v>
      </c>
      <c r="H53" s="355">
        <f>H50*H51-H49*H51/2</f>
        <v>191935.04680923166</v>
      </c>
      <c r="I53" s="355">
        <f>I50*I51-I49*I51/2</f>
        <v>228021.02558528772</v>
      </c>
      <c r="J53" s="355">
        <f>J50*J51-J49*J51/2</f>
        <v>267492.6220036468</v>
      </c>
      <c r="K53" s="355">
        <f t="shared" ref="K53:W53" si="42">K50*K51-K49*K51/2</f>
        <v>329875.04124927695</v>
      </c>
      <c r="L53" s="355">
        <f t="shared" si="42"/>
        <v>455358.42481129779</v>
      </c>
      <c r="M53" s="355">
        <f t="shared" si="42"/>
        <v>648474.68855330569</v>
      </c>
      <c r="N53" s="355">
        <f t="shared" si="42"/>
        <v>888235.15735368442</v>
      </c>
      <c r="O53" s="355">
        <f t="shared" si="42"/>
        <v>1197083.9865105513</v>
      </c>
      <c r="P53" s="355">
        <f t="shared" si="42"/>
        <v>1592053.6103161504</v>
      </c>
      <c r="Q53" s="355">
        <f t="shared" si="42"/>
        <v>2097158.3379429537</v>
      </c>
      <c r="R53" s="355">
        <f t="shared" si="42"/>
        <v>2713106.5613483679</v>
      </c>
      <c r="S53" s="355">
        <f t="shared" si="42"/>
        <v>3546941.1539978101</v>
      </c>
      <c r="T53" s="355">
        <f t="shared" si="42"/>
        <v>4695013.4253459256</v>
      </c>
      <c r="U53" s="355">
        <f t="shared" si="42"/>
        <v>6262207.2769765835</v>
      </c>
      <c r="V53" s="355">
        <f t="shared" si="42"/>
        <v>8246725.9005838865</v>
      </c>
      <c r="W53" s="355">
        <f t="shared" si="42"/>
        <v>10523804.542432072</v>
      </c>
      <c r="X53" s="355">
        <f>X50*X51-X49*X51/2</f>
        <v>13104351.795801334</v>
      </c>
      <c r="Y53" s="355">
        <f>Y50*Y51-Y49*Y51/2</f>
        <v>15999595.573695771</v>
      </c>
      <c r="Z53" s="355">
        <f>Z50*Z51-Z49*Z51/2</f>
        <v>19221091.518195055</v>
      </c>
      <c r="AA53" s="356">
        <f>AA50*AA51-AA49*AA51/2</f>
        <v>22642519.47904367</v>
      </c>
    </row>
    <row r="54" spans="2:27" x14ac:dyDescent="0.25">
      <c r="B54" s="481"/>
      <c r="C54" s="478" t="s">
        <v>277</v>
      </c>
      <c r="D54" s="347" t="s">
        <v>168</v>
      </c>
      <c r="E54" s="47" t="s">
        <v>272</v>
      </c>
      <c r="F54" s="357">
        <f t="shared" ref="F54:M54" si="43">F46*F77</f>
        <v>4.0701754385964914</v>
      </c>
      <c r="G54" s="357">
        <f t="shared" si="43"/>
        <v>7.6808286516853927</v>
      </c>
      <c r="H54" s="357">
        <f t="shared" si="43"/>
        <v>0.77600749765698218</v>
      </c>
      <c r="I54" s="357">
        <f t="shared" si="43"/>
        <v>0.97369537547730167</v>
      </c>
      <c r="J54" s="357">
        <f t="shared" si="43"/>
        <v>1.8120481927710843</v>
      </c>
      <c r="K54" s="357">
        <f t="shared" si="43"/>
        <v>4.1491750297669672</v>
      </c>
      <c r="L54" s="357">
        <f t="shared" si="43"/>
        <v>5.931982256240758</v>
      </c>
      <c r="M54" s="357">
        <f t="shared" si="43"/>
        <v>2.963037364403375</v>
      </c>
      <c r="N54" s="349">
        <f t="shared" ref="N54:W54" si="44">N66*N83*N77*N65</f>
        <v>6.4080126717516324</v>
      </c>
      <c r="O54" s="349">
        <f t="shared" si="44"/>
        <v>8.1948517053232965</v>
      </c>
      <c r="P54" s="349">
        <f t="shared" si="44"/>
        <v>10.479940960210854</v>
      </c>
      <c r="Q54" s="349">
        <f t="shared" si="44"/>
        <v>13.402214765907386</v>
      </c>
      <c r="R54" s="349">
        <f t="shared" si="44"/>
        <v>15.720797920409368</v>
      </c>
      <c r="S54" s="349">
        <f t="shared" si="44"/>
        <v>23.704229212165075</v>
      </c>
      <c r="T54" s="349">
        <f t="shared" si="44"/>
        <v>30.578455683692951</v>
      </c>
      <c r="U54" s="349">
        <f t="shared" si="44"/>
        <v>43.520964833535082</v>
      </c>
      <c r="V54" s="349">
        <f t="shared" si="44"/>
        <v>50.310235347566554</v>
      </c>
      <c r="W54" s="349">
        <f t="shared" si="44"/>
        <v>57.353668296225877</v>
      </c>
      <c r="X54" s="349">
        <f>X66*X83*X77*X65</f>
        <v>64.658714468692537</v>
      </c>
      <c r="Y54" s="349">
        <f>Y66*Y83*Y77*Y65</f>
        <v>72.233021020739372</v>
      </c>
      <c r="Z54" s="349">
        <f>Z66*Z83*Z77*Z65</f>
        <v>80.084436349080619</v>
      </c>
      <c r="AA54" s="350">
        <f>AA66*AA83*AA77*AA65</f>
        <v>81.686125076062226</v>
      </c>
    </row>
    <row r="55" spans="2:27" x14ac:dyDescent="0.25">
      <c r="B55" s="481"/>
      <c r="C55" s="478"/>
      <c r="D55" s="342" t="s">
        <v>168</v>
      </c>
      <c r="E55" s="47" t="s">
        <v>211</v>
      </c>
      <c r="F55" s="357">
        <f>F54</f>
        <v>4.0701754385964914</v>
      </c>
      <c r="G55" s="357">
        <f t="shared" ref="G55:AA55" si="45">F55+G54</f>
        <v>11.751004090281885</v>
      </c>
      <c r="H55" s="357">
        <f t="shared" si="45"/>
        <v>12.527011587938867</v>
      </c>
      <c r="I55" s="357">
        <f t="shared" si="45"/>
        <v>13.500706963416169</v>
      </c>
      <c r="J55" s="357">
        <f t="shared" si="45"/>
        <v>15.312755156187254</v>
      </c>
      <c r="K55" s="357">
        <f t="shared" si="45"/>
        <v>19.461930185954223</v>
      </c>
      <c r="L55" s="357">
        <f t="shared" si="45"/>
        <v>25.393912442194981</v>
      </c>
      <c r="M55" s="357">
        <f t="shared" si="45"/>
        <v>28.356949806598358</v>
      </c>
      <c r="N55" s="357">
        <f t="shared" si="45"/>
        <v>34.764962478349993</v>
      </c>
      <c r="O55" s="357">
        <f t="shared" si="45"/>
        <v>42.959814183673288</v>
      </c>
      <c r="P55" s="357">
        <f t="shared" si="45"/>
        <v>53.439755143884142</v>
      </c>
      <c r="Q55" s="357">
        <f t="shared" si="45"/>
        <v>66.84196990979153</v>
      </c>
      <c r="R55" s="357">
        <f t="shared" si="45"/>
        <v>82.562767830200897</v>
      </c>
      <c r="S55" s="357">
        <f t="shared" si="45"/>
        <v>106.26699704236597</v>
      </c>
      <c r="T55" s="357">
        <f t="shared" si="45"/>
        <v>136.84545272605891</v>
      </c>
      <c r="U55" s="357">
        <f t="shared" si="45"/>
        <v>180.366417559594</v>
      </c>
      <c r="V55" s="357">
        <f t="shared" si="45"/>
        <v>230.67665290716056</v>
      </c>
      <c r="W55" s="357">
        <f t="shared" si="45"/>
        <v>288.03032120338645</v>
      </c>
      <c r="X55" s="357">
        <f t="shared" si="45"/>
        <v>352.689035672079</v>
      </c>
      <c r="Y55" s="357">
        <f t="shared" si="45"/>
        <v>424.92205669281839</v>
      </c>
      <c r="Z55" s="357">
        <f t="shared" si="45"/>
        <v>505.00649304189903</v>
      </c>
      <c r="AA55" s="358">
        <f t="shared" si="45"/>
        <v>586.69261811796127</v>
      </c>
    </row>
    <row r="56" spans="2:27" x14ac:dyDescent="0.25">
      <c r="B56" s="481"/>
      <c r="C56" s="478"/>
      <c r="D56" s="342" t="s">
        <v>168</v>
      </c>
      <c r="E56" s="47" t="s">
        <v>274</v>
      </c>
      <c r="F56" s="343">
        <f>E5*0.6</f>
        <v>3000</v>
      </c>
      <c r="G56" s="343">
        <f t="shared" ref="G56:AA56" si="46">F56</f>
        <v>3000</v>
      </c>
      <c r="H56" s="343">
        <f t="shared" si="46"/>
        <v>3000</v>
      </c>
      <c r="I56" s="343">
        <f t="shared" si="46"/>
        <v>3000</v>
      </c>
      <c r="J56" s="343">
        <f t="shared" si="46"/>
        <v>3000</v>
      </c>
      <c r="K56" s="343">
        <f t="shared" si="46"/>
        <v>3000</v>
      </c>
      <c r="L56" s="343">
        <f t="shared" si="46"/>
        <v>3000</v>
      </c>
      <c r="M56" s="343">
        <f t="shared" si="46"/>
        <v>3000</v>
      </c>
      <c r="N56" s="343">
        <f t="shared" si="46"/>
        <v>3000</v>
      </c>
      <c r="O56" s="343">
        <f t="shared" si="46"/>
        <v>3000</v>
      </c>
      <c r="P56" s="343">
        <f t="shared" si="46"/>
        <v>3000</v>
      </c>
      <c r="Q56" s="343">
        <f t="shared" si="46"/>
        <v>3000</v>
      </c>
      <c r="R56" s="343">
        <f t="shared" si="46"/>
        <v>3000</v>
      </c>
      <c r="S56" s="343">
        <f t="shared" si="46"/>
        <v>3000</v>
      </c>
      <c r="T56" s="343">
        <f t="shared" si="46"/>
        <v>3000</v>
      </c>
      <c r="U56" s="343">
        <f t="shared" si="46"/>
        <v>3000</v>
      </c>
      <c r="V56" s="343">
        <f t="shared" si="46"/>
        <v>3000</v>
      </c>
      <c r="W56" s="343">
        <f t="shared" si="46"/>
        <v>3000</v>
      </c>
      <c r="X56" s="343">
        <f t="shared" si="46"/>
        <v>3000</v>
      </c>
      <c r="Y56" s="343">
        <f t="shared" si="46"/>
        <v>3000</v>
      </c>
      <c r="Z56" s="343">
        <f t="shared" si="46"/>
        <v>3000</v>
      </c>
      <c r="AA56" s="353">
        <f t="shared" si="46"/>
        <v>3000</v>
      </c>
    </row>
    <row r="57" spans="2:27" x14ac:dyDescent="0.25">
      <c r="B57" s="481"/>
      <c r="C57" s="478"/>
      <c r="D57" s="342" t="s">
        <v>168</v>
      </c>
      <c r="E57" s="47" t="s">
        <v>275</v>
      </c>
      <c r="F57" s="343">
        <f>F54*F56</f>
        <v>12210.526315789475</v>
      </c>
      <c r="G57" s="343">
        <f t="shared" ref="G57:W57" si="47">G54*G56</f>
        <v>23042.485955056178</v>
      </c>
      <c r="H57" s="343">
        <f t="shared" si="47"/>
        <v>2328.0224929709466</v>
      </c>
      <c r="I57" s="343">
        <f t="shared" si="47"/>
        <v>2921.0861264319051</v>
      </c>
      <c r="J57" s="343">
        <f t="shared" si="47"/>
        <v>5436.1445783132531</v>
      </c>
      <c r="K57" s="343">
        <f t="shared" si="47"/>
        <v>12447.525089300902</v>
      </c>
      <c r="L57" s="343">
        <f t="shared" si="47"/>
        <v>17795.946768722275</v>
      </c>
      <c r="M57" s="343">
        <f t="shared" si="47"/>
        <v>8889.1120932101257</v>
      </c>
      <c r="N57" s="343">
        <f t="shared" si="47"/>
        <v>19224.038015254897</v>
      </c>
      <c r="O57" s="343">
        <f t="shared" si="47"/>
        <v>24584.555115969888</v>
      </c>
      <c r="P57" s="343">
        <f t="shared" si="47"/>
        <v>31439.822880632561</v>
      </c>
      <c r="Q57" s="343">
        <f t="shared" si="47"/>
        <v>40206.64429772216</v>
      </c>
      <c r="R57" s="343">
        <f t="shared" si="47"/>
        <v>47162.393761228101</v>
      </c>
      <c r="S57" s="343">
        <f t="shared" si="47"/>
        <v>71112.687636495219</v>
      </c>
      <c r="T57" s="343">
        <f t="shared" si="47"/>
        <v>91735.367051078851</v>
      </c>
      <c r="U57" s="343">
        <f t="shared" si="47"/>
        <v>130562.89450060525</v>
      </c>
      <c r="V57" s="343">
        <f t="shared" si="47"/>
        <v>150930.70604269966</v>
      </c>
      <c r="W57" s="343">
        <f t="shared" si="47"/>
        <v>172061.00488867762</v>
      </c>
      <c r="X57" s="343">
        <f>X54*X56</f>
        <v>193976.14340607761</v>
      </c>
      <c r="Y57" s="343">
        <f>Y54*Y56</f>
        <v>216699.06306221811</v>
      </c>
      <c r="Z57" s="343">
        <f>Z54*Z56</f>
        <v>240253.30904724187</v>
      </c>
      <c r="AA57" s="353">
        <f>AA54*AA56</f>
        <v>245058.37522818669</v>
      </c>
    </row>
    <row r="58" spans="2:27" x14ac:dyDescent="0.25">
      <c r="B58" s="481"/>
      <c r="C58" s="478"/>
      <c r="D58" s="354" t="s">
        <v>168</v>
      </c>
      <c r="E58" s="47" t="s">
        <v>276</v>
      </c>
      <c r="F58" s="355">
        <f>F55*F56-F54*F56/2</f>
        <v>6105.2631578947376</v>
      </c>
      <c r="G58" s="355">
        <f>G55*G56-G54*G56/2</f>
        <v>23731.769293317564</v>
      </c>
      <c r="H58" s="355">
        <f>H55*H56-H54*H56/2</f>
        <v>36417.023517331123</v>
      </c>
      <c r="I58" s="355">
        <f>I55*I56-I54*I56/2</f>
        <v>39041.577827032554</v>
      </c>
      <c r="J58" s="355">
        <f>J55*J56-J54*J56/2</f>
        <v>43220.193179405134</v>
      </c>
      <c r="K58" s="355">
        <f t="shared" ref="K58:W58" si="48">K55*K56-K54*K56/2</f>
        <v>52162.028013212213</v>
      </c>
      <c r="L58" s="355">
        <f t="shared" si="48"/>
        <v>67283.763942223814</v>
      </c>
      <c r="M58" s="355">
        <f t="shared" si="48"/>
        <v>80626.293373190012</v>
      </c>
      <c r="N58" s="355">
        <f t="shared" si="48"/>
        <v>94682.868427422538</v>
      </c>
      <c r="O58" s="355">
        <f t="shared" si="48"/>
        <v>116587.16499303492</v>
      </c>
      <c r="P58" s="355">
        <f t="shared" si="48"/>
        <v>144599.35399133616</v>
      </c>
      <c r="Q58" s="355">
        <f t="shared" si="48"/>
        <v>180422.58758051353</v>
      </c>
      <c r="R58" s="355">
        <f t="shared" si="48"/>
        <v>224107.10660998867</v>
      </c>
      <c r="S58" s="355">
        <f t="shared" si="48"/>
        <v>283244.64730885031</v>
      </c>
      <c r="T58" s="355">
        <f t="shared" si="48"/>
        <v>364668.67465263733</v>
      </c>
      <c r="U58" s="355">
        <f t="shared" si="48"/>
        <v>475817.80542847933</v>
      </c>
      <c r="V58" s="355">
        <f t="shared" si="48"/>
        <v>616564.60570013185</v>
      </c>
      <c r="W58" s="355">
        <f t="shared" si="48"/>
        <v>778060.46116582048</v>
      </c>
      <c r="X58" s="355">
        <f>X55*X56-X54*X56/2</f>
        <v>961079.03531319823</v>
      </c>
      <c r="Y58" s="355">
        <f>Y55*Y56-Y54*Y56/2</f>
        <v>1166416.6385473462</v>
      </c>
      <c r="Z58" s="355">
        <f>Z55*Z56-Z54*Z56/2</f>
        <v>1394892.8246020763</v>
      </c>
      <c r="AA58" s="356">
        <f>AA55*AA56-AA54*AA56/2</f>
        <v>1637548.6667397905</v>
      </c>
    </row>
    <row r="59" spans="2:27" x14ac:dyDescent="0.25">
      <c r="B59" s="481"/>
      <c r="C59" s="475" t="s">
        <v>278</v>
      </c>
      <c r="D59" s="347" t="s">
        <v>168</v>
      </c>
      <c r="E59" s="70" t="s">
        <v>272</v>
      </c>
      <c r="F59" s="359">
        <f t="shared" ref="F59:M59" si="49">F46*F78</f>
        <v>0</v>
      </c>
      <c r="G59" s="359">
        <f t="shared" si="49"/>
        <v>0</v>
      </c>
      <c r="H59" s="359">
        <f t="shared" si="49"/>
        <v>0</v>
      </c>
      <c r="I59" s="359">
        <f t="shared" si="49"/>
        <v>0</v>
      </c>
      <c r="J59" s="359">
        <f t="shared" si="49"/>
        <v>0</v>
      </c>
      <c r="K59" s="360">
        <f t="shared" si="49"/>
        <v>0</v>
      </c>
      <c r="L59" s="360">
        <f t="shared" si="49"/>
        <v>0</v>
      </c>
      <c r="M59" s="360">
        <f t="shared" si="49"/>
        <v>0</v>
      </c>
      <c r="N59" s="349">
        <f t="shared" ref="N59:W59" si="50">N66*N83*N78*N65</f>
        <v>0</v>
      </c>
      <c r="O59" s="349">
        <f t="shared" si="50"/>
        <v>0</v>
      </c>
      <c r="P59" s="349">
        <f t="shared" si="50"/>
        <v>0</v>
      </c>
      <c r="Q59" s="349">
        <f t="shared" si="50"/>
        <v>0</v>
      </c>
      <c r="R59" s="349">
        <f t="shared" si="50"/>
        <v>0</v>
      </c>
      <c r="S59" s="349">
        <f t="shared" si="50"/>
        <v>0</v>
      </c>
      <c r="T59" s="349">
        <f t="shared" si="50"/>
        <v>0</v>
      </c>
      <c r="U59" s="349">
        <f t="shared" si="50"/>
        <v>0</v>
      </c>
      <c r="V59" s="349">
        <f t="shared" si="50"/>
        <v>0</v>
      </c>
      <c r="W59" s="349">
        <f t="shared" si="50"/>
        <v>0</v>
      </c>
      <c r="X59" s="349">
        <f>X66*X83*X78*X65</f>
        <v>0</v>
      </c>
      <c r="Y59" s="349">
        <f>Y66*Y83*Y78*Y65</f>
        <v>0</v>
      </c>
      <c r="Z59" s="349">
        <f>Z66*Z83*Z78*Z65</f>
        <v>0</v>
      </c>
      <c r="AA59" s="350">
        <f>AA66*AA83*AA78*AA65</f>
        <v>0</v>
      </c>
    </row>
    <row r="60" spans="2:27" x14ac:dyDescent="0.25">
      <c r="B60" s="481"/>
      <c r="C60" s="478"/>
      <c r="D60" s="342" t="s">
        <v>168</v>
      </c>
      <c r="E60" s="47" t="s">
        <v>211</v>
      </c>
      <c r="F60" s="357">
        <f>F59</f>
        <v>0</v>
      </c>
      <c r="G60" s="357">
        <f t="shared" ref="G60:AA60" si="51">F60+G59</f>
        <v>0</v>
      </c>
      <c r="H60" s="357">
        <f t="shared" si="51"/>
        <v>0</v>
      </c>
      <c r="I60" s="357">
        <f t="shared" si="51"/>
        <v>0</v>
      </c>
      <c r="J60" s="357">
        <f t="shared" si="51"/>
        <v>0</v>
      </c>
      <c r="K60" s="357">
        <f t="shared" si="51"/>
        <v>0</v>
      </c>
      <c r="L60" s="357">
        <f t="shared" si="51"/>
        <v>0</v>
      </c>
      <c r="M60" s="357">
        <f t="shared" si="51"/>
        <v>0</v>
      </c>
      <c r="N60" s="357">
        <f t="shared" si="51"/>
        <v>0</v>
      </c>
      <c r="O60" s="357">
        <f t="shared" si="51"/>
        <v>0</v>
      </c>
      <c r="P60" s="357">
        <f t="shared" si="51"/>
        <v>0</v>
      </c>
      <c r="Q60" s="357">
        <f t="shared" si="51"/>
        <v>0</v>
      </c>
      <c r="R60" s="357">
        <f t="shared" si="51"/>
        <v>0</v>
      </c>
      <c r="S60" s="357">
        <f t="shared" si="51"/>
        <v>0</v>
      </c>
      <c r="T60" s="357">
        <f t="shared" si="51"/>
        <v>0</v>
      </c>
      <c r="U60" s="357">
        <f t="shared" si="51"/>
        <v>0</v>
      </c>
      <c r="V60" s="357">
        <f t="shared" si="51"/>
        <v>0</v>
      </c>
      <c r="W60" s="357">
        <f t="shared" si="51"/>
        <v>0</v>
      </c>
      <c r="X60" s="357">
        <f t="shared" si="51"/>
        <v>0</v>
      </c>
      <c r="Y60" s="357">
        <f t="shared" si="51"/>
        <v>0</v>
      </c>
      <c r="Z60" s="357">
        <f t="shared" si="51"/>
        <v>0</v>
      </c>
      <c r="AA60" s="358">
        <f t="shared" si="51"/>
        <v>0</v>
      </c>
    </row>
    <row r="61" spans="2:27" x14ac:dyDescent="0.25">
      <c r="B61" s="481"/>
      <c r="C61" s="478"/>
      <c r="D61" s="342" t="s">
        <v>168</v>
      </c>
      <c r="E61" s="47" t="s">
        <v>274</v>
      </c>
      <c r="F61" s="343"/>
      <c r="G61" s="343"/>
      <c r="H61" s="343"/>
      <c r="I61" s="343"/>
      <c r="J61" s="343"/>
      <c r="K61" s="343">
        <f>E6*0.6</f>
        <v>3600</v>
      </c>
      <c r="L61" s="343">
        <f t="shared" ref="L61:AA61" si="52">K61</f>
        <v>3600</v>
      </c>
      <c r="M61" s="343">
        <f t="shared" si="52"/>
        <v>3600</v>
      </c>
      <c r="N61" s="343">
        <f t="shared" si="52"/>
        <v>3600</v>
      </c>
      <c r="O61" s="343">
        <f t="shared" si="52"/>
        <v>3600</v>
      </c>
      <c r="P61" s="343">
        <f t="shared" si="52"/>
        <v>3600</v>
      </c>
      <c r="Q61" s="343">
        <f t="shared" si="52"/>
        <v>3600</v>
      </c>
      <c r="R61" s="343">
        <f t="shared" si="52"/>
        <v>3600</v>
      </c>
      <c r="S61" s="343">
        <f t="shared" si="52"/>
        <v>3600</v>
      </c>
      <c r="T61" s="343">
        <f t="shared" si="52"/>
        <v>3600</v>
      </c>
      <c r="U61" s="343">
        <f t="shared" si="52"/>
        <v>3600</v>
      </c>
      <c r="V61" s="343">
        <f t="shared" si="52"/>
        <v>3600</v>
      </c>
      <c r="W61" s="343">
        <f t="shared" si="52"/>
        <v>3600</v>
      </c>
      <c r="X61" s="343">
        <f t="shared" si="52"/>
        <v>3600</v>
      </c>
      <c r="Y61" s="343">
        <f t="shared" si="52"/>
        <v>3600</v>
      </c>
      <c r="Z61" s="343">
        <f t="shared" si="52"/>
        <v>3600</v>
      </c>
      <c r="AA61" s="353">
        <f t="shared" si="52"/>
        <v>3600</v>
      </c>
    </row>
    <row r="62" spans="2:27" x14ac:dyDescent="0.25">
      <c r="B62" s="481"/>
      <c r="C62" s="478"/>
      <c r="D62" s="342" t="s">
        <v>168</v>
      </c>
      <c r="E62" s="47" t="s">
        <v>275</v>
      </c>
      <c r="F62" s="343">
        <f>F59*F61</f>
        <v>0</v>
      </c>
      <c r="G62" s="343">
        <f t="shared" ref="G62:W62" si="53">G59*G61</f>
        <v>0</v>
      </c>
      <c r="H62" s="343">
        <f t="shared" si="53"/>
        <v>0</v>
      </c>
      <c r="I62" s="343">
        <f t="shared" si="53"/>
        <v>0</v>
      </c>
      <c r="J62" s="343">
        <f t="shared" si="53"/>
        <v>0</v>
      </c>
      <c r="K62" s="343">
        <f t="shared" si="53"/>
        <v>0</v>
      </c>
      <c r="L62" s="343">
        <f t="shared" si="53"/>
        <v>0</v>
      </c>
      <c r="M62" s="343">
        <f t="shared" si="53"/>
        <v>0</v>
      </c>
      <c r="N62" s="343">
        <f t="shared" si="53"/>
        <v>0</v>
      </c>
      <c r="O62" s="343">
        <f t="shared" si="53"/>
        <v>0</v>
      </c>
      <c r="P62" s="343">
        <f t="shared" si="53"/>
        <v>0</v>
      </c>
      <c r="Q62" s="343">
        <f t="shared" si="53"/>
        <v>0</v>
      </c>
      <c r="R62" s="343">
        <f t="shared" si="53"/>
        <v>0</v>
      </c>
      <c r="S62" s="343">
        <f t="shared" si="53"/>
        <v>0</v>
      </c>
      <c r="T62" s="343">
        <f t="shared" si="53"/>
        <v>0</v>
      </c>
      <c r="U62" s="343">
        <f t="shared" si="53"/>
        <v>0</v>
      </c>
      <c r="V62" s="343">
        <f t="shared" si="53"/>
        <v>0</v>
      </c>
      <c r="W62" s="343">
        <f t="shared" si="53"/>
        <v>0</v>
      </c>
      <c r="X62" s="343">
        <f>X59*X61</f>
        <v>0</v>
      </c>
      <c r="Y62" s="343">
        <f>Y59*Y61</f>
        <v>0</v>
      </c>
      <c r="Z62" s="343">
        <f>Z59*Z61</f>
        <v>0</v>
      </c>
      <c r="AA62" s="353">
        <f>AA59*AA61</f>
        <v>0</v>
      </c>
    </row>
    <row r="63" spans="2:27" x14ac:dyDescent="0.25">
      <c r="B63" s="481"/>
      <c r="C63" s="479"/>
      <c r="D63" s="354" t="s">
        <v>168</v>
      </c>
      <c r="E63" s="118" t="s">
        <v>276</v>
      </c>
      <c r="F63" s="355">
        <f>F60*F61-F59*F61/2</f>
        <v>0</v>
      </c>
      <c r="G63" s="355">
        <f>G60*G61-G59*G61/2</f>
        <v>0</v>
      </c>
      <c r="H63" s="355">
        <f>H60*H61-H59*H61/2</f>
        <v>0</v>
      </c>
      <c r="I63" s="355">
        <f>I60*I61-I59*I61/2</f>
        <v>0</v>
      </c>
      <c r="J63" s="355">
        <f>J60*J61-J59*J61/2</f>
        <v>0</v>
      </c>
      <c r="K63" s="355">
        <f t="shared" ref="K63:W63" si="54">K60*K61-K59*K61/2</f>
        <v>0</v>
      </c>
      <c r="L63" s="355">
        <f t="shared" si="54"/>
        <v>0</v>
      </c>
      <c r="M63" s="355">
        <f t="shared" si="54"/>
        <v>0</v>
      </c>
      <c r="N63" s="355">
        <f t="shared" si="54"/>
        <v>0</v>
      </c>
      <c r="O63" s="355">
        <f t="shared" si="54"/>
        <v>0</v>
      </c>
      <c r="P63" s="355">
        <f t="shared" si="54"/>
        <v>0</v>
      </c>
      <c r="Q63" s="355">
        <f t="shared" si="54"/>
        <v>0</v>
      </c>
      <c r="R63" s="355">
        <f t="shared" si="54"/>
        <v>0</v>
      </c>
      <c r="S63" s="355">
        <f t="shared" si="54"/>
        <v>0</v>
      </c>
      <c r="T63" s="355">
        <f t="shared" si="54"/>
        <v>0</v>
      </c>
      <c r="U63" s="355">
        <f t="shared" si="54"/>
        <v>0</v>
      </c>
      <c r="V63" s="355">
        <f t="shared" si="54"/>
        <v>0</v>
      </c>
      <c r="W63" s="355">
        <f t="shared" si="54"/>
        <v>0</v>
      </c>
      <c r="X63" s="355">
        <f>X60*X61-X59*X61/2</f>
        <v>0</v>
      </c>
      <c r="Y63" s="355">
        <f>Y60*Y61-Y59*Y61/2</f>
        <v>0</v>
      </c>
      <c r="Z63" s="355">
        <f>Z60*Z61-Z59*Z61/2</f>
        <v>0</v>
      </c>
      <c r="AA63" s="356">
        <f>AA60*AA61-AA59*AA61/2</f>
        <v>0</v>
      </c>
    </row>
    <row r="64" spans="2:27" x14ac:dyDescent="0.25">
      <c r="B64" s="481"/>
      <c r="C64" s="361"/>
      <c r="D64" s="342"/>
      <c r="F64" s="343"/>
      <c r="G64" s="343"/>
      <c r="H64" s="343"/>
      <c r="I64" s="343"/>
      <c r="J64" s="343"/>
      <c r="K64" s="343"/>
      <c r="L64" s="343"/>
      <c r="M64" s="343"/>
      <c r="N64" s="343"/>
      <c r="O64" s="343"/>
      <c r="P64" s="343"/>
      <c r="Q64" s="343"/>
      <c r="R64" s="343"/>
      <c r="S64" s="343"/>
      <c r="T64" s="343"/>
      <c r="U64" s="343"/>
      <c r="V64" s="343"/>
      <c r="W64" s="343"/>
      <c r="X64" s="343"/>
      <c r="Y64" s="343"/>
      <c r="Z64" s="343"/>
      <c r="AA64" s="353"/>
    </row>
    <row r="65" spans="2:27" x14ac:dyDescent="0.25">
      <c r="B65" s="481"/>
      <c r="C65" s="73"/>
      <c r="D65" s="47" t="s">
        <v>279</v>
      </c>
      <c r="F65" s="362">
        <f t="shared" ref="F65:L65" si="55">F68/F69</f>
        <v>7.7972709551656916E-3</v>
      </c>
      <c r="G65" s="362">
        <f t="shared" si="55"/>
        <v>8.7780898876404501E-3</v>
      </c>
      <c r="H65" s="362">
        <f t="shared" si="55"/>
        <v>8.4348641049671984E-3</v>
      </c>
      <c r="I65" s="362">
        <f t="shared" si="55"/>
        <v>7.2125583368689008E-3</v>
      </c>
      <c r="J65" s="362">
        <f t="shared" si="55"/>
        <v>6.4257028112449802E-3</v>
      </c>
      <c r="K65" s="362">
        <f>K68/K69</f>
        <v>7.9945568974315352E-3</v>
      </c>
      <c r="L65" s="362">
        <f t="shared" si="55"/>
        <v>9.5677133165173525E-3</v>
      </c>
      <c r="M65" s="362">
        <f>M68/M69</f>
        <v>8.3701620463372175E-3</v>
      </c>
      <c r="N65" s="362">
        <f>AVERAGE(K65:M65)</f>
        <v>8.6441440867620345E-3</v>
      </c>
      <c r="O65" s="362">
        <f t="shared" ref="O65:W65" si="56">N65</f>
        <v>8.6441440867620345E-3</v>
      </c>
      <c r="P65" s="362">
        <f t="shared" si="56"/>
        <v>8.6441440867620345E-3</v>
      </c>
      <c r="Q65" s="362">
        <f t="shared" si="56"/>
        <v>8.6441440867620345E-3</v>
      </c>
      <c r="R65" s="362">
        <f t="shared" si="56"/>
        <v>8.6441440867620345E-3</v>
      </c>
      <c r="S65" s="362">
        <f t="shared" si="56"/>
        <v>8.6441440867620345E-3</v>
      </c>
      <c r="T65" s="362">
        <f t="shared" si="56"/>
        <v>8.6441440867620345E-3</v>
      </c>
      <c r="U65" s="362">
        <f t="shared" si="56"/>
        <v>8.6441440867620345E-3</v>
      </c>
      <c r="V65" s="362">
        <f t="shared" si="56"/>
        <v>8.6441440867620345E-3</v>
      </c>
      <c r="W65" s="362">
        <f t="shared" si="56"/>
        <v>8.6441440867620345E-3</v>
      </c>
      <c r="X65" s="362">
        <f>W65</f>
        <v>8.6441440867620345E-3</v>
      </c>
      <c r="Y65" s="362">
        <f>X65</f>
        <v>8.6441440867620345E-3</v>
      </c>
      <c r="Z65" s="362">
        <f>Y65</f>
        <v>8.6441440867620345E-3</v>
      </c>
      <c r="AA65" s="364">
        <f>Z65</f>
        <v>8.6441440867620345E-3</v>
      </c>
    </row>
    <row r="66" spans="2:27" x14ac:dyDescent="0.25">
      <c r="B66" s="481"/>
      <c r="C66" s="73"/>
      <c r="D66" s="325" t="s">
        <v>280</v>
      </c>
      <c r="F66" s="365">
        <f t="shared" ref="F66:M66" si="57">F69/F83</f>
        <v>5.760937921121193E-3</v>
      </c>
      <c r="G66" s="365">
        <f t="shared" si="57"/>
        <v>1.0699178277061632E-2</v>
      </c>
      <c r="H66" s="365">
        <f t="shared" si="57"/>
        <v>4.0209577190203488E-3</v>
      </c>
      <c r="I66" s="365">
        <f t="shared" si="57"/>
        <v>3.9242390439308324E-3</v>
      </c>
      <c r="J66" s="365">
        <f t="shared" si="57"/>
        <v>7.9405700946649886E-3</v>
      </c>
      <c r="K66" s="365">
        <f t="shared" si="57"/>
        <v>9.8890156064444287E-3</v>
      </c>
      <c r="L66" s="365">
        <f t="shared" si="57"/>
        <v>1.6982174403696284E-2</v>
      </c>
      <c r="M66" s="365">
        <f t="shared" si="57"/>
        <v>2.1355977285499986E-2</v>
      </c>
      <c r="N66" s="366">
        <f>N82*($M$66/($M$29+$M$66))</f>
        <v>2.6775464615163481E-2</v>
      </c>
      <c r="O66" s="366">
        <f>O82*($M$66/($M$29+$M$66))</f>
        <v>3.3570250416244861E-2</v>
      </c>
      <c r="P66" s="366">
        <f>P82*($M$66/($M$29+$M$66))</f>
        <v>4.2089342956579998E-2</v>
      </c>
      <c r="Q66" s="366">
        <f>Q82*($M$66/($M$29+$M$66))</f>
        <v>5.2770318021201412E-2</v>
      </c>
      <c r="R66" s="366">
        <f t="shared" ref="R66:W66" si="58">R82*($M$66/($M$29+$M$66))</f>
        <v>6.068586572438163E-2</v>
      </c>
      <c r="S66" s="366">
        <f t="shared" si="58"/>
        <v>8.9709540636042404E-2</v>
      </c>
      <c r="T66" s="366">
        <f t="shared" si="58"/>
        <v>0.11345618374558303</v>
      </c>
      <c r="U66" s="366">
        <f>U82*($M$66/($M$29+$M$66))</f>
        <v>0.15831095406360424</v>
      </c>
      <c r="V66" s="366">
        <f t="shared" si="58"/>
        <v>0.17941908127208478</v>
      </c>
      <c r="W66" s="366">
        <f t="shared" si="58"/>
        <v>0.20052720848056535</v>
      </c>
      <c r="X66" s="366">
        <f>X82*($M$66/($M$29+$M$66))</f>
        <v>0.22163533568904589</v>
      </c>
      <c r="Y66" s="366">
        <f>Y82*($M$66/($M$29+$M$66))</f>
        <v>0.24274346289752644</v>
      </c>
      <c r="Z66" s="366">
        <f>Z82*($M$66/($M$29+$M$66))</f>
        <v>0.26385159010600706</v>
      </c>
      <c r="AA66" s="367">
        <f>AA82*($M$66/($M$29+$M$66))</f>
        <v>0.26385159010600706</v>
      </c>
    </row>
    <row r="67" spans="2:27" x14ac:dyDescent="0.25">
      <c r="B67" s="481"/>
      <c r="C67" s="73"/>
      <c r="F67" s="365"/>
      <c r="G67" s="365"/>
      <c r="H67" s="365"/>
      <c r="I67" s="365"/>
      <c r="J67" s="365"/>
      <c r="K67" s="365"/>
      <c r="L67" s="365"/>
      <c r="M67" s="331"/>
      <c r="N67" s="331"/>
      <c r="O67" s="331"/>
      <c r="AA67" s="92"/>
    </row>
    <row r="68" spans="2:27" x14ac:dyDescent="0.25">
      <c r="B68" s="481"/>
      <c r="C68" s="73"/>
      <c r="D68" s="342" t="s">
        <v>168</v>
      </c>
      <c r="E68" s="47" t="s">
        <v>281</v>
      </c>
      <c r="F68" s="98">
        <f t="shared" ref="F68:N68" si="59">F46</f>
        <v>36</v>
      </c>
      <c r="G68" s="98">
        <f t="shared" si="59"/>
        <v>75</v>
      </c>
      <c r="H68" s="98">
        <f t="shared" si="59"/>
        <v>27</v>
      </c>
      <c r="I68" s="98">
        <f t="shared" si="59"/>
        <v>17</v>
      </c>
      <c r="J68" s="98">
        <f t="shared" si="59"/>
        <v>32</v>
      </c>
      <c r="K68" s="98">
        <f t="shared" si="59"/>
        <v>47</v>
      </c>
      <c r="L68" s="98">
        <f t="shared" si="59"/>
        <v>110</v>
      </c>
      <c r="M68" s="98">
        <f t="shared" si="59"/>
        <v>125</v>
      </c>
      <c r="N68" s="98">
        <f t="shared" si="59"/>
        <v>165.08814264870483</v>
      </c>
      <c r="O68" s="98">
        <f t="shared" ref="O68:W68" si="60">O46</f>
        <v>211.12206180197612</v>
      </c>
      <c r="P68" s="98">
        <f t="shared" si="60"/>
        <v>269.9922857231752</v>
      </c>
      <c r="Q68" s="98">
        <f t="shared" si="60"/>
        <v>345.27814728523254</v>
      </c>
      <c r="R68" s="98">
        <f t="shared" si="60"/>
        <v>405.01126676557789</v>
      </c>
      <c r="S68" s="98">
        <f t="shared" si="60"/>
        <v>610.68655354044506</v>
      </c>
      <c r="T68" s="98">
        <f t="shared" si="60"/>
        <v>787.78565406717428</v>
      </c>
      <c r="U68" s="98">
        <f t="shared" si="60"/>
        <v>1121.2205123002575</v>
      </c>
      <c r="V68" s="98">
        <f t="shared" si="60"/>
        <v>1296.1309122190974</v>
      </c>
      <c r="W68" s="98">
        <f t="shared" si="60"/>
        <v>1477.5892399297709</v>
      </c>
      <c r="X68" s="98">
        <f>X46</f>
        <v>1665.7874483839839</v>
      </c>
      <c r="Y68" s="98">
        <f>Y46</f>
        <v>1860.9225494803934</v>
      </c>
      <c r="Z68" s="98">
        <f>Z46</f>
        <v>2063.1967396413061</v>
      </c>
      <c r="AA68" s="99">
        <f>AA46</f>
        <v>2104.4606744341322</v>
      </c>
    </row>
    <row r="69" spans="2:27" x14ac:dyDescent="0.25">
      <c r="B69" s="481"/>
      <c r="C69" s="73"/>
      <c r="D69" s="325" t="s">
        <v>214</v>
      </c>
      <c r="E69" s="47" t="s">
        <v>281</v>
      </c>
      <c r="F69" s="343">
        <f>SUMIFS('EV Data'!$AU:$AU,'EV Data'!$AE:$AE,'EV Forecast'!F44)</f>
        <v>4617</v>
      </c>
      <c r="G69" s="343">
        <f>SUMIFS('EV Data'!$AU:$AU,'EV Data'!$AE:$AE,'EV Forecast'!G44)</f>
        <v>8544</v>
      </c>
      <c r="H69" s="343">
        <f>SUMIFS('EV Data'!$AU:$AU,'EV Data'!$AE:$AE,'EV Forecast'!H44)</f>
        <v>3201</v>
      </c>
      <c r="I69" s="343">
        <f>SUMIFS('EV Data'!$AU:$AU,'EV Data'!$AE:$AE,'EV Forecast'!I44)</f>
        <v>2357</v>
      </c>
      <c r="J69" s="343">
        <f>SUMIFS('EV Data'!$AU:$AU,'EV Data'!$AE:$AE,'EV Forecast'!J44)</f>
        <v>4980</v>
      </c>
      <c r="K69" s="343">
        <f>SUMIFS('EV Data'!$AU:$AU,'EV Data'!$AE:$AE,'EV Forecast'!K44)</f>
        <v>5879</v>
      </c>
      <c r="L69" s="343">
        <f>SUMIFS('EV Data'!$AU:$AU,'EV Data'!$AE:$AE,'EV Forecast'!L44)</f>
        <v>11497</v>
      </c>
      <c r="M69" s="343">
        <f>SUMIFS('EV Data'!$AU:$AU,'EV Data'!$AE:$AE,'EV Forecast'!M44)</f>
        <v>14934</v>
      </c>
      <c r="N69" s="98">
        <f>N66*N83</f>
        <v>19098.263632778519</v>
      </c>
      <c r="O69" s="98">
        <f t="shared" ref="O69:W69" si="61">O66*O83</f>
        <v>24423.709239795804</v>
      </c>
      <c r="P69" s="98">
        <f t="shared" si="61"/>
        <v>31234.126017942195</v>
      </c>
      <c r="Q69" s="98">
        <f t="shared" si="61"/>
        <v>39943.589997996962</v>
      </c>
      <c r="R69" s="98">
        <f t="shared" si="61"/>
        <v>46853.831067650448</v>
      </c>
      <c r="S69" s="98">
        <f t="shared" si="61"/>
        <v>70647.428757657268</v>
      </c>
      <c r="T69" s="98">
        <f t="shared" si="61"/>
        <v>91135.183097377885</v>
      </c>
      <c r="U69" s="98">
        <f t="shared" si="61"/>
        <v>129708.67919905877</v>
      </c>
      <c r="V69" s="98">
        <f t="shared" si="61"/>
        <v>149943.23315411192</v>
      </c>
      <c r="W69" s="98">
        <f t="shared" si="61"/>
        <v>170935.28579568758</v>
      </c>
      <c r="X69" s="98">
        <f>X66*X83</f>
        <v>192707.04324966462</v>
      </c>
      <c r="Y69" s="98">
        <f>Y66*Y83</f>
        <v>215281.29688748246</v>
      </c>
      <c r="Z69" s="98">
        <f>Z66*Z83</f>
        <v>238681.43785351323</v>
      </c>
      <c r="AA69" s="99">
        <f>AA66*AA83</f>
        <v>243455.06661058348</v>
      </c>
    </row>
    <row r="70" spans="2:27" x14ac:dyDescent="0.25">
      <c r="B70" s="481"/>
      <c r="C70" s="73"/>
      <c r="D70" s="325" t="s">
        <v>214</v>
      </c>
      <c r="E70" s="47" t="s">
        <v>282</v>
      </c>
      <c r="F70" s="343">
        <f>SUMIFS('EV Data'!$AV$6:$AV$33,'EV Data'!$AE$6:$AE$33,'EV Forecast'!F44)</f>
        <v>3659</v>
      </c>
      <c r="G70" s="343">
        <f>SUMIFS('EV Data'!$AV$6:$AV$33,'EV Data'!$AE$6:$AE$33,'EV Forecast'!G44)</f>
        <v>5517</v>
      </c>
      <c r="H70" s="343">
        <f>SUMIFS('EV Data'!$AV$6:$AV$33,'EV Data'!$AE$6:$AE$33,'EV Forecast'!H44)</f>
        <v>1864</v>
      </c>
      <c r="I70" s="343">
        <f>SUMIFS('EV Data'!$AV$6:$AV$33,'EV Data'!$AE$6:$AE$33,'EV Forecast'!I44)</f>
        <v>1006</v>
      </c>
      <c r="J70" s="343">
        <f>SUMIFS('EV Data'!$AV$6:$AV$33,'EV Data'!$AE$6:$AE$33,'EV Forecast'!J44)</f>
        <v>1030</v>
      </c>
      <c r="K70" s="343">
        <f>SUMIFS('EV Data'!$AV$6:$AV$33,'EV Data'!$AE$6:$AE$33,'EV Forecast'!K44)</f>
        <v>795</v>
      </c>
      <c r="L70" s="343">
        <f>SUMIFS('EV Data'!$AV:$AV,'EV Data'!$AE:$AE,'EV Forecast'!L44)</f>
        <v>827</v>
      </c>
      <c r="M70" s="343">
        <f>SUMIFS('EV Data'!$AV:$AV,'EV Data'!$AE:$AE,'EV Forecast'!M44)</f>
        <v>1360</v>
      </c>
      <c r="O70" s="343"/>
      <c r="P70" s="343"/>
      <c r="Q70" s="343"/>
      <c r="R70" s="343"/>
      <c r="S70" s="343"/>
      <c r="T70" s="343"/>
      <c r="U70" s="343"/>
      <c r="V70" s="343"/>
      <c r="W70" s="343"/>
      <c r="X70" s="343"/>
      <c r="Y70" s="343"/>
      <c r="Z70" s="343"/>
      <c r="AA70" s="353"/>
    </row>
    <row r="71" spans="2:27" x14ac:dyDescent="0.25">
      <c r="B71" s="481"/>
      <c r="C71" s="73"/>
      <c r="D71" s="325" t="s">
        <v>214</v>
      </c>
      <c r="E71" s="47" t="s">
        <v>283</v>
      </c>
      <c r="F71" s="343">
        <f>SUMIFS('EV Data'!$AX$6:$AX$33,'EV Data'!$AE$6:$AE$33,'EV Forecast'!F44)</f>
        <v>436</v>
      </c>
      <c r="G71" s="343">
        <f>SUMIFS('EV Data'!$AX$6:$AX$33,'EV Data'!$AE$6:$AE$33,'EV Forecast'!G44)</f>
        <v>2152</v>
      </c>
      <c r="H71" s="343">
        <f>SUMIFS('EV Data'!$AX$6:$AX$33,'EV Data'!$AE$6:$AE$33,'EV Forecast'!H44)</f>
        <v>1245</v>
      </c>
      <c r="I71" s="343">
        <f>SUMIFS('EV Data'!$AX$6:$AX$33,'EV Data'!$AE$6:$AE$33,'EV Forecast'!I44)</f>
        <v>1216</v>
      </c>
      <c r="J71" s="343">
        <f>SUMIFS('EV Data'!$AX$6:$AX$33,'EV Data'!$AE$6:$AE$33,'EV Forecast'!J44)</f>
        <v>3668</v>
      </c>
      <c r="K71" s="343">
        <f>SUMIFS('EV Data'!$AX$6:$AX$33,'EV Data'!$AE$6:$AE$33,'EV Forecast'!K44)</f>
        <v>4565</v>
      </c>
      <c r="L71" s="343">
        <f>SUMIFS('EV Data'!$AX:$AX,'EV Data'!$AE:$AE,'EV Forecast'!L44)</f>
        <v>10050</v>
      </c>
      <c r="M71" s="343">
        <f>SUMIFS('EV Data'!$AX:$AX,'EV Data'!$AE:$AE,'EV Forecast'!M44)</f>
        <v>13220</v>
      </c>
      <c r="O71" s="343"/>
      <c r="P71" s="343"/>
      <c r="Q71" s="343"/>
      <c r="R71" s="343"/>
      <c r="S71" s="343"/>
      <c r="T71" s="343"/>
      <c r="U71" s="343"/>
      <c r="V71" s="343"/>
      <c r="W71" s="343"/>
      <c r="X71" s="343"/>
      <c r="Y71" s="343"/>
      <c r="Z71" s="343"/>
      <c r="AA71" s="353"/>
    </row>
    <row r="72" spans="2:27" x14ac:dyDescent="0.25">
      <c r="B72" s="481"/>
      <c r="C72" s="73"/>
      <c r="D72" s="325" t="s">
        <v>214</v>
      </c>
      <c r="E72" s="47" t="s">
        <v>284</v>
      </c>
      <c r="F72" s="343">
        <f>SUMIFS('EV Data'!$AY$6:$AY$33,'EV Data'!$AE$6:$AE$33,'EV Forecast'!F44)</f>
        <v>522</v>
      </c>
      <c r="G72" s="343">
        <f>SUMIFS('EV Data'!$AY$6:$AY$33,'EV Data'!$AE$6:$AE$33,'EV Forecast'!G44)</f>
        <v>875</v>
      </c>
      <c r="H72" s="343">
        <f>SUMIFS('EV Data'!$AY$6:$AY$33,'EV Data'!$AE$6:$AE$33,'EV Forecast'!H44)</f>
        <v>92</v>
      </c>
      <c r="I72" s="343">
        <f>SUMIFS('EV Data'!$AY$6:$AY$33,'EV Data'!$AE$6:$AE$33,'EV Forecast'!I44)</f>
        <v>135</v>
      </c>
      <c r="J72" s="343">
        <f>SUMIFS('EV Data'!$AY$6:$AY$33,'EV Data'!$AE$6:$AE$33,'EV Forecast'!J44)</f>
        <v>282</v>
      </c>
      <c r="K72" s="343">
        <f>SUMIFS('EV Data'!$AY$6:$AY$33,'EV Data'!$AE$6:$AE$33,'EV Forecast'!K44)</f>
        <v>519</v>
      </c>
      <c r="L72" s="343">
        <f>SUMIFS('EV Data'!$AY:$AY,'EV Data'!$AE:$AE,'EV Forecast'!L44)</f>
        <v>620</v>
      </c>
      <c r="M72" s="343">
        <f>SUMIFS('EV Data'!$AY:$AY,'EV Data'!$AE:$AE,'EV Forecast'!M44)</f>
        <v>354</v>
      </c>
      <c r="O72" s="343"/>
      <c r="P72" s="343"/>
      <c r="Q72" s="343"/>
      <c r="R72" s="343"/>
      <c r="S72" s="343"/>
      <c r="T72" s="343"/>
      <c r="U72" s="343"/>
      <c r="V72" s="343"/>
      <c r="W72" s="343"/>
      <c r="X72" s="343"/>
      <c r="Y72" s="343"/>
      <c r="Z72" s="343"/>
      <c r="AA72" s="353"/>
    </row>
    <row r="73" spans="2:27" x14ac:dyDescent="0.25">
      <c r="B73" s="481"/>
      <c r="C73" s="73"/>
      <c r="D73" s="325" t="s">
        <v>214</v>
      </c>
      <c r="E73" s="47" t="s">
        <v>285</v>
      </c>
      <c r="F73" s="343">
        <f>SUMIFS('EV Data'!$AW$6:$AW$33,'EV Data'!$AE$6:$AE$33,'EV Forecast'!F44)</f>
        <v>0</v>
      </c>
      <c r="G73" s="343">
        <f>SUMIFS('EV Data'!$AW$6:$AW$33,'EV Data'!$AE$6:$AE$33,'EV Forecast'!G44)</f>
        <v>0</v>
      </c>
      <c r="H73" s="343">
        <f>SUMIFS('EV Data'!$AW$6:$AW$33,'EV Data'!$AE$6:$AE$33,'EV Forecast'!H44)</f>
        <v>0</v>
      </c>
      <c r="I73" s="343">
        <f>SUMIFS('EV Data'!$AW$6:$AW$33,'EV Data'!$AE$6:$AE$33,'EV Forecast'!I44)</f>
        <v>0</v>
      </c>
      <c r="J73" s="343">
        <f>SUMIFS('EV Data'!$AW$6:$AW$33,'EV Data'!$AE$6:$AE$33,'EV Forecast'!J44)</f>
        <v>0</v>
      </c>
      <c r="K73" s="343">
        <f>SUMIFS('EV Data'!$AW$6:$AW$33,'EV Data'!$AE$6:$AE$33,'EV Forecast'!K44)</f>
        <v>0</v>
      </c>
      <c r="L73" s="343">
        <f>SUMIFS('EV Data'!$AW:$AW,'EV Data'!$AE:$AE,'EV Forecast'!L44)</f>
        <v>0</v>
      </c>
      <c r="M73" s="343">
        <f>SUMIFS('EV Data'!$AW:$AW,'EV Data'!$AE:$AE,'EV Forecast'!M44)</f>
        <v>0</v>
      </c>
      <c r="O73" s="343"/>
      <c r="P73" s="343"/>
      <c r="Q73" s="343"/>
      <c r="R73" s="343"/>
      <c r="S73" s="343"/>
      <c r="T73" s="343"/>
      <c r="U73" s="343"/>
      <c r="V73" s="343"/>
      <c r="W73" s="343"/>
      <c r="X73" s="343"/>
      <c r="Y73" s="343"/>
      <c r="Z73" s="343"/>
      <c r="AA73" s="353"/>
    </row>
    <row r="74" spans="2:27" x14ac:dyDescent="0.25">
      <c r="B74" s="481"/>
      <c r="C74" s="73"/>
      <c r="D74" s="325"/>
      <c r="F74" s="343"/>
      <c r="G74" s="343"/>
      <c r="H74" s="343"/>
      <c r="I74" s="343"/>
      <c r="J74" s="343"/>
      <c r="K74" s="343"/>
      <c r="L74" s="343"/>
      <c r="M74" s="343"/>
      <c r="N74" s="343"/>
      <c r="O74" s="343"/>
      <c r="P74" s="343"/>
      <c r="Q74" s="343"/>
      <c r="R74" s="343"/>
      <c r="S74" s="343"/>
      <c r="T74" s="343"/>
      <c r="U74" s="343"/>
      <c r="V74" s="343"/>
      <c r="W74" s="343"/>
      <c r="X74" s="343"/>
      <c r="Y74" s="343"/>
      <c r="Z74" s="343"/>
      <c r="AA74" s="353"/>
    </row>
    <row r="75" spans="2:27" x14ac:dyDescent="0.25">
      <c r="B75" s="481"/>
      <c r="C75" s="73"/>
      <c r="D75" s="325" t="s">
        <v>214</v>
      </c>
      <c r="E75" s="47" t="s">
        <v>286</v>
      </c>
      <c r="F75" s="365">
        <f>F70/F$69</f>
        <v>0.79250595624864628</v>
      </c>
      <c r="G75" s="365">
        <f t="shared" ref="G75:L75" si="62">G70/G$69</f>
        <v>0.6457162921348315</v>
      </c>
      <c r="H75" s="365">
        <f t="shared" si="62"/>
        <v>0.58231802561699464</v>
      </c>
      <c r="I75" s="365">
        <f t="shared" si="62"/>
        <v>0.42681374628765378</v>
      </c>
      <c r="J75" s="365">
        <f t="shared" si="62"/>
        <v>0.20682730923694778</v>
      </c>
      <c r="K75" s="365">
        <f t="shared" si="62"/>
        <v>0.13522707943527812</v>
      </c>
      <c r="L75" s="365">
        <f t="shared" si="62"/>
        <v>7.1931808297816827E-2</v>
      </c>
      <c r="M75" s="365">
        <f>M70/M$69</f>
        <v>9.1067363064148921E-2</v>
      </c>
      <c r="N75" s="331">
        <f>AVERAGE(L75:M75)</f>
        <v>8.1499585680982867E-2</v>
      </c>
      <c r="O75" s="331">
        <f t="shared" ref="O75:AA75" si="63">N75</f>
        <v>8.1499585680982867E-2</v>
      </c>
      <c r="P75" s="331">
        <f t="shared" si="63"/>
        <v>8.1499585680982867E-2</v>
      </c>
      <c r="Q75" s="331">
        <f t="shared" si="63"/>
        <v>8.1499585680982867E-2</v>
      </c>
      <c r="R75" s="331">
        <f t="shared" si="63"/>
        <v>8.1499585680982867E-2</v>
      </c>
      <c r="S75" s="331">
        <f t="shared" si="63"/>
        <v>8.1499585680982867E-2</v>
      </c>
      <c r="T75" s="331">
        <f t="shared" si="63"/>
        <v>8.1499585680982867E-2</v>
      </c>
      <c r="U75" s="331">
        <f t="shared" si="63"/>
        <v>8.1499585680982867E-2</v>
      </c>
      <c r="V75" s="331">
        <f t="shared" si="63"/>
        <v>8.1499585680982867E-2</v>
      </c>
      <c r="W75" s="331">
        <f t="shared" si="63"/>
        <v>8.1499585680982867E-2</v>
      </c>
      <c r="X75" s="331">
        <f t="shared" si="63"/>
        <v>8.1499585680982867E-2</v>
      </c>
      <c r="Y75" s="331">
        <f t="shared" si="63"/>
        <v>8.1499585680982867E-2</v>
      </c>
      <c r="Z75" s="331">
        <f t="shared" si="63"/>
        <v>8.1499585680982867E-2</v>
      </c>
      <c r="AA75" s="369">
        <f t="shared" si="63"/>
        <v>8.1499585680982867E-2</v>
      </c>
    </row>
    <row r="76" spans="2:27" x14ac:dyDescent="0.25">
      <c r="B76" s="481"/>
      <c r="C76" s="73"/>
      <c r="D76" s="325" t="s">
        <v>214</v>
      </c>
      <c r="E76" s="47" t="s">
        <v>287</v>
      </c>
      <c r="F76" s="365">
        <f>F71/F$69</f>
        <v>9.4433614901451163E-2</v>
      </c>
      <c r="G76" s="365">
        <f t="shared" ref="G76:L76" si="64">G71/G$69</f>
        <v>0.25187265917602997</v>
      </c>
      <c r="H76" s="365">
        <f t="shared" si="64"/>
        <v>0.38894095595126521</v>
      </c>
      <c r="I76" s="365">
        <f t="shared" si="64"/>
        <v>0.51591005515485788</v>
      </c>
      <c r="J76" s="365">
        <f t="shared" si="64"/>
        <v>0.73654618473895583</v>
      </c>
      <c r="K76" s="365">
        <f t="shared" si="64"/>
        <v>0.77649260078244597</v>
      </c>
      <c r="L76" s="365">
        <f t="shared" si="64"/>
        <v>0.8741410802818127</v>
      </c>
      <c r="M76" s="365">
        <f>M71/M$69</f>
        <v>0.88522833802062406</v>
      </c>
      <c r="N76" s="331">
        <f>AVERAGE(L76:M76)</f>
        <v>0.87968470915121832</v>
      </c>
      <c r="O76" s="331">
        <f t="shared" ref="O76:AA76" si="65">N76</f>
        <v>0.87968470915121832</v>
      </c>
      <c r="P76" s="331">
        <f t="shared" si="65"/>
        <v>0.87968470915121832</v>
      </c>
      <c r="Q76" s="331">
        <f t="shared" si="65"/>
        <v>0.87968470915121832</v>
      </c>
      <c r="R76" s="331">
        <f t="shared" si="65"/>
        <v>0.87968470915121832</v>
      </c>
      <c r="S76" s="331">
        <f t="shared" si="65"/>
        <v>0.87968470915121832</v>
      </c>
      <c r="T76" s="331">
        <f t="shared" si="65"/>
        <v>0.87968470915121832</v>
      </c>
      <c r="U76" s="331">
        <f t="shared" si="65"/>
        <v>0.87968470915121832</v>
      </c>
      <c r="V76" s="331">
        <f t="shared" si="65"/>
        <v>0.87968470915121832</v>
      </c>
      <c r="W76" s="331">
        <f t="shared" si="65"/>
        <v>0.87968470915121832</v>
      </c>
      <c r="X76" s="331">
        <f t="shared" si="65"/>
        <v>0.87968470915121832</v>
      </c>
      <c r="Y76" s="331">
        <f t="shared" si="65"/>
        <v>0.87968470915121832</v>
      </c>
      <c r="Z76" s="331">
        <f t="shared" si="65"/>
        <v>0.87968470915121832</v>
      </c>
      <c r="AA76" s="369">
        <f t="shared" si="65"/>
        <v>0.87968470915121832</v>
      </c>
    </row>
    <row r="77" spans="2:27" x14ac:dyDescent="0.25">
      <c r="B77" s="481"/>
      <c r="C77" s="73"/>
      <c r="D77" s="325" t="s">
        <v>214</v>
      </c>
      <c r="E77" s="47" t="s">
        <v>288</v>
      </c>
      <c r="F77" s="365">
        <f>F72/F$69</f>
        <v>0.11306042884990253</v>
      </c>
      <c r="G77" s="365">
        <f t="shared" ref="G77:L77" si="66">G72/G$69</f>
        <v>0.10241104868913857</v>
      </c>
      <c r="H77" s="365">
        <f t="shared" si="66"/>
        <v>2.8741018431740081E-2</v>
      </c>
      <c r="I77" s="365">
        <f t="shared" si="66"/>
        <v>5.7276198557488334E-2</v>
      </c>
      <c r="J77" s="365">
        <f t="shared" si="66"/>
        <v>5.6626506024096385E-2</v>
      </c>
      <c r="K77" s="365">
        <f t="shared" si="66"/>
        <v>8.8280319782275893E-2</v>
      </c>
      <c r="L77" s="365">
        <f t="shared" si="66"/>
        <v>5.392711142037053E-2</v>
      </c>
      <c r="M77" s="365">
        <f>M72/M$69</f>
        <v>2.3704298915227E-2</v>
      </c>
      <c r="N77" s="331">
        <f>AVERAGE(L77:M77)</f>
        <v>3.8815705167798767E-2</v>
      </c>
      <c r="O77" s="331">
        <f t="shared" ref="O77:AA77" si="67">N77</f>
        <v>3.8815705167798767E-2</v>
      </c>
      <c r="P77" s="331">
        <f t="shared" si="67"/>
        <v>3.8815705167798767E-2</v>
      </c>
      <c r="Q77" s="331">
        <f t="shared" si="67"/>
        <v>3.8815705167798767E-2</v>
      </c>
      <c r="R77" s="331">
        <f t="shared" si="67"/>
        <v>3.8815705167798767E-2</v>
      </c>
      <c r="S77" s="331">
        <f t="shared" si="67"/>
        <v>3.8815705167798767E-2</v>
      </c>
      <c r="T77" s="331">
        <f t="shared" si="67"/>
        <v>3.8815705167798767E-2</v>
      </c>
      <c r="U77" s="331">
        <f t="shared" si="67"/>
        <v>3.8815705167798767E-2</v>
      </c>
      <c r="V77" s="331">
        <f t="shared" si="67"/>
        <v>3.8815705167798767E-2</v>
      </c>
      <c r="W77" s="331">
        <f t="shared" si="67"/>
        <v>3.8815705167798767E-2</v>
      </c>
      <c r="X77" s="331">
        <f t="shared" si="67"/>
        <v>3.8815705167798767E-2</v>
      </c>
      <c r="Y77" s="331">
        <f t="shared" si="67"/>
        <v>3.8815705167798767E-2</v>
      </c>
      <c r="Z77" s="331">
        <f t="shared" si="67"/>
        <v>3.8815705167798767E-2</v>
      </c>
      <c r="AA77" s="369">
        <f t="shared" si="67"/>
        <v>3.8815705167798767E-2</v>
      </c>
    </row>
    <row r="78" spans="2:27" x14ac:dyDescent="0.25">
      <c r="B78" s="481"/>
      <c r="C78" s="73"/>
      <c r="D78" s="325" t="s">
        <v>214</v>
      </c>
      <c r="E78" s="47" t="s">
        <v>289</v>
      </c>
      <c r="F78" s="365">
        <f>F73/F$69</f>
        <v>0</v>
      </c>
      <c r="G78" s="365">
        <f t="shared" ref="G78:L78" si="68">G73/G$69</f>
        <v>0</v>
      </c>
      <c r="H78" s="365">
        <f t="shared" si="68"/>
        <v>0</v>
      </c>
      <c r="I78" s="365">
        <f t="shared" si="68"/>
        <v>0</v>
      </c>
      <c r="J78" s="365">
        <f t="shared" si="68"/>
        <v>0</v>
      </c>
      <c r="K78" s="365">
        <f t="shared" si="68"/>
        <v>0</v>
      </c>
      <c r="L78" s="365">
        <f t="shared" si="68"/>
        <v>0</v>
      </c>
      <c r="M78" s="365">
        <f>M73/M$69</f>
        <v>0</v>
      </c>
      <c r="N78" s="331">
        <f>AVERAGE(L78:M78)</f>
        <v>0</v>
      </c>
      <c r="O78" s="331">
        <f t="shared" ref="O78:AA78" si="69">N78</f>
        <v>0</v>
      </c>
      <c r="P78" s="331">
        <f t="shared" si="69"/>
        <v>0</v>
      </c>
      <c r="Q78" s="331">
        <f t="shared" si="69"/>
        <v>0</v>
      </c>
      <c r="R78" s="331">
        <f t="shared" si="69"/>
        <v>0</v>
      </c>
      <c r="S78" s="331">
        <f t="shared" si="69"/>
        <v>0</v>
      </c>
      <c r="T78" s="331">
        <f t="shared" si="69"/>
        <v>0</v>
      </c>
      <c r="U78" s="331">
        <f t="shared" si="69"/>
        <v>0</v>
      </c>
      <c r="V78" s="331">
        <f t="shared" si="69"/>
        <v>0</v>
      </c>
      <c r="W78" s="331">
        <f t="shared" si="69"/>
        <v>0</v>
      </c>
      <c r="X78" s="331">
        <f t="shared" si="69"/>
        <v>0</v>
      </c>
      <c r="Y78" s="331">
        <f t="shared" si="69"/>
        <v>0</v>
      </c>
      <c r="Z78" s="331">
        <f t="shared" si="69"/>
        <v>0</v>
      </c>
      <c r="AA78" s="369">
        <f t="shared" si="69"/>
        <v>0</v>
      </c>
    </row>
    <row r="79" spans="2:27" x14ac:dyDescent="0.25">
      <c r="B79" s="481"/>
      <c r="C79" s="73"/>
      <c r="F79" s="365"/>
      <c r="G79" s="365"/>
      <c r="H79" s="365"/>
      <c r="I79" s="365"/>
      <c r="J79" s="365"/>
      <c r="K79" s="365"/>
      <c r="L79" s="365"/>
      <c r="AA79" s="92"/>
    </row>
    <row r="80" spans="2:27" x14ac:dyDescent="0.25">
      <c r="B80" s="482"/>
      <c r="C80" s="102"/>
      <c r="D80" s="118"/>
      <c r="E80" s="118"/>
      <c r="F80" s="370"/>
      <c r="G80" s="370"/>
      <c r="H80" s="370"/>
      <c r="I80" s="370"/>
      <c r="J80" s="370"/>
      <c r="K80" s="370"/>
      <c r="L80" s="370"/>
      <c r="M80" s="118"/>
      <c r="N80" s="118"/>
      <c r="O80" s="118"/>
      <c r="P80" s="118"/>
      <c r="Q80" s="118"/>
      <c r="R80" s="118"/>
      <c r="S80" s="118"/>
      <c r="T80" s="118"/>
      <c r="U80" s="118"/>
      <c r="V80" s="118"/>
      <c r="W80" s="118"/>
      <c r="X80" s="118"/>
      <c r="Y80" s="118"/>
      <c r="Z80" s="118"/>
      <c r="AA80" s="119"/>
    </row>
    <row r="81" spans="2:27" x14ac:dyDescent="0.25">
      <c r="B81" s="371"/>
      <c r="C81" s="69"/>
      <c r="D81" s="70"/>
      <c r="E81" s="372" t="s">
        <v>291</v>
      </c>
      <c r="F81" s="373"/>
      <c r="G81" s="373"/>
      <c r="H81" s="373"/>
      <c r="I81" s="373"/>
      <c r="J81" s="373"/>
      <c r="K81" s="373"/>
      <c r="L81" s="373"/>
      <c r="M81" s="374"/>
      <c r="N81" s="374"/>
      <c r="O81" s="374">
        <v>0.2</v>
      </c>
      <c r="P81" s="374">
        <v>0.23</v>
      </c>
      <c r="Q81" s="374">
        <v>0.34</v>
      </c>
      <c r="R81" s="374">
        <v>0.43</v>
      </c>
      <c r="S81" s="374">
        <v>0.6</v>
      </c>
      <c r="T81" s="374">
        <v>0.67999999999999994</v>
      </c>
      <c r="U81" s="374">
        <v>0.7599999999999999</v>
      </c>
      <c r="V81" s="374">
        <v>0.83999999999999986</v>
      </c>
      <c r="W81" s="374">
        <v>0.91999999999999982</v>
      </c>
      <c r="X81" s="374">
        <v>1</v>
      </c>
      <c r="Y81" s="374">
        <f>X81</f>
        <v>1</v>
      </c>
      <c r="Z81" s="374">
        <f>Y81</f>
        <v>1</v>
      </c>
      <c r="AA81" s="375">
        <f>Z81</f>
        <v>1</v>
      </c>
    </row>
    <row r="82" spans="2:27" x14ac:dyDescent="0.25">
      <c r="B82" s="376"/>
      <c r="C82" s="73"/>
      <c r="E82" s="377" t="s">
        <v>292</v>
      </c>
      <c r="F82" s="363">
        <f t="shared" ref="F82:M82" si="70">(F69+F32)/F83</f>
        <v>1.0206729953383443E-2</v>
      </c>
      <c r="G82" s="363">
        <f t="shared" si="70"/>
        <v>2.0985115820107543E-2</v>
      </c>
      <c r="H82" s="363">
        <f t="shared" si="70"/>
        <v>1.2262602078436938E-2</v>
      </c>
      <c r="I82" s="363">
        <f t="shared" si="70"/>
        <v>1.7506734640192066E-2</v>
      </c>
      <c r="J82" s="363">
        <f t="shared" si="70"/>
        <v>3.143700401333633E-2</v>
      </c>
      <c r="K82" s="363">
        <f t="shared" si="70"/>
        <v>6.503301945506966E-2</v>
      </c>
      <c r="L82" s="363">
        <f t="shared" si="70"/>
        <v>7.4049784048543288E-2</v>
      </c>
      <c r="M82" s="363">
        <f t="shared" si="70"/>
        <v>8.0939354115394352E-2</v>
      </c>
      <c r="N82" s="363">
        <f>M82*(($Q$82/$M$82)^(1/4))</f>
        <v>0.10147926190024462</v>
      </c>
      <c r="O82" s="363">
        <f>N82*(($Q$82/$M$82)^(1/4))</f>
        <v>0.12723156378461625</v>
      </c>
      <c r="P82" s="363">
        <f>O82*(($Q$82/$M$82)^(1/4))</f>
        <v>0.15951900437541369</v>
      </c>
      <c r="Q82" s="363">
        <f>O81</f>
        <v>0.2</v>
      </c>
      <c r="R82" s="363">
        <f>P81</f>
        <v>0.23</v>
      </c>
      <c r="S82" s="363">
        <f t="shared" ref="S82:AA82" si="71">Q81</f>
        <v>0.34</v>
      </c>
      <c r="T82" s="363">
        <f t="shared" si="71"/>
        <v>0.43</v>
      </c>
      <c r="U82" s="363">
        <f t="shared" si="71"/>
        <v>0.6</v>
      </c>
      <c r="V82" s="363">
        <f t="shared" si="71"/>
        <v>0.67999999999999994</v>
      </c>
      <c r="W82" s="363">
        <f t="shared" si="71"/>
        <v>0.7599999999999999</v>
      </c>
      <c r="X82" s="363">
        <f t="shared" si="71"/>
        <v>0.83999999999999986</v>
      </c>
      <c r="Y82" s="363">
        <f t="shared" si="71"/>
        <v>0.91999999999999982</v>
      </c>
      <c r="Z82" s="363">
        <f t="shared" si="71"/>
        <v>1</v>
      </c>
      <c r="AA82" s="363">
        <f t="shared" si="71"/>
        <v>1</v>
      </c>
    </row>
    <row r="83" spans="2:27" x14ac:dyDescent="0.25">
      <c r="B83" s="73"/>
      <c r="C83" s="73"/>
      <c r="D83" s="325" t="s">
        <v>214</v>
      </c>
      <c r="E83" s="47" t="s">
        <v>293</v>
      </c>
      <c r="F83" s="343">
        <f>SUMIFS('EV Data'!$AF:$AF,'EV Data'!$AE:$AE,'EV Forecast'!F44)</f>
        <v>801432</v>
      </c>
      <c r="G83" s="343">
        <f>SUMIFS('EV Data'!$AF:$AF,'EV Data'!$AE:$AE,'EV Forecast'!G44)</f>
        <v>798566</v>
      </c>
      <c r="H83" s="343">
        <f>SUMIFS('EV Data'!$AF:$AF,'EV Data'!$AE:$AE,'EV Forecast'!H44)</f>
        <v>796079</v>
      </c>
      <c r="I83" s="343">
        <f>SUMIFS('EV Data'!$AF:$AF,'EV Data'!$AE:$AE,'EV Forecast'!I44)</f>
        <v>600626</v>
      </c>
      <c r="J83" s="343">
        <f>SUMIFS('EV Data'!$AF:$AF,'EV Data'!$AE:$AE,'EV Forecast'!J44)</f>
        <v>627159</v>
      </c>
      <c r="K83" s="343">
        <f>SUMIFS('EV Data'!$AF:$AF,'EV Data'!$AE:$AE,'EV Forecast'!K44)</f>
        <v>594498</v>
      </c>
      <c r="L83" s="343">
        <f>SUMIFS('EV Data'!$AF:$AF,'EV Data'!$AE:$AE,'EV Forecast'!L44)</f>
        <v>677004</v>
      </c>
      <c r="M83" s="343">
        <f>SUMIFS('EV Data'!$AF:$AF,'EV Data'!$AE:$AE,'EV Forecast'!M44)</f>
        <v>699289</v>
      </c>
      <c r="N83" s="98">
        <f>M83*1.02</f>
        <v>713274.78</v>
      </c>
      <c r="O83" s="98">
        <f t="shared" ref="O83:W83" si="72">N83*1.02</f>
        <v>727540.27560000005</v>
      </c>
      <c r="P83" s="98">
        <f t="shared" si="72"/>
        <v>742091.08111200004</v>
      </c>
      <c r="Q83" s="98">
        <f t="shared" si="72"/>
        <v>756932.90273424005</v>
      </c>
      <c r="R83" s="98">
        <f t="shared" si="72"/>
        <v>772071.56078892492</v>
      </c>
      <c r="S83" s="98">
        <f t="shared" si="72"/>
        <v>787512.99200470338</v>
      </c>
      <c r="T83" s="98">
        <f t="shared" si="72"/>
        <v>803263.25184479752</v>
      </c>
      <c r="U83" s="98">
        <f>T83*1.02</f>
        <v>819328.5168816935</v>
      </c>
      <c r="V83" s="98">
        <f t="shared" si="72"/>
        <v>835715.08721932734</v>
      </c>
      <c r="W83" s="98">
        <f t="shared" si="72"/>
        <v>852429.38896371389</v>
      </c>
      <c r="X83" s="98">
        <f>W83*1.02</f>
        <v>869477.97674298822</v>
      </c>
      <c r="Y83" s="98">
        <f>X83*1.02</f>
        <v>886867.53627784795</v>
      </c>
      <c r="Z83" s="98">
        <f>Y83*1.02</f>
        <v>904604.8870034049</v>
      </c>
      <c r="AA83" s="99">
        <f>Z83*1.02</f>
        <v>922696.984743473</v>
      </c>
    </row>
    <row r="84" spans="2:27" x14ac:dyDescent="0.25">
      <c r="B84" s="73"/>
      <c r="C84" s="73"/>
      <c r="D84" s="325" t="s">
        <v>214</v>
      </c>
      <c r="E84" s="47" t="s">
        <v>294</v>
      </c>
      <c r="F84" s="343">
        <f>SUMIFS('EV Data'!$AG:$AG,'EV Data'!$AE:$AE,'EV Forecast'!F44)</f>
        <v>253252</v>
      </c>
      <c r="G84" s="343">
        <f>SUMIFS('EV Data'!$AG:$AG,'EV Data'!$AE:$AE,'EV Forecast'!G44)</f>
        <v>240525</v>
      </c>
      <c r="H84" s="343">
        <f>SUMIFS('EV Data'!$AG:$AG,'EV Data'!$AE:$AE,'EV Forecast'!H44)</f>
        <v>205764</v>
      </c>
      <c r="I84" s="343">
        <f>SUMIFS('EV Data'!$AG:$AG,'EV Data'!$AE:$AE,'EV Forecast'!I44)</f>
        <v>124652</v>
      </c>
      <c r="J84" s="343">
        <f>SUMIFS('EV Data'!$AG:$AG,'EV Data'!$AE:$AE,'EV Forecast'!J44)</f>
        <v>128831</v>
      </c>
      <c r="K84" s="343">
        <f>SUMIFS('EV Data'!$AG:$AG,'EV Data'!$AE:$AE,'EV Forecast'!K44)</f>
        <v>109955</v>
      </c>
      <c r="L84" s="343">
        <f>SUMIFS('EV Data'!$AG:$AG,'EV Data'!$AE:$AE,'EV Forecast'!L44)</f>
        <v>110539</v>
      </c>
      <c r="M84" s="343">
        <f>SUMIFS('EV Data'!$AG:$AG,'EV Data'!$AE:$AE,'EV Forecast'!M44)</f>
        <v>107568</v>
      </c>
      <c r="N84" s="378"/>
      <c r="O84" s="378"/>
      <c r="P84" s="378"/>
      <c r="Q84" s="378"/>
      <c r="R84" s="378"/>
      <c r="AA84" s="92"/>
    </row>
    <row r="85" spans="2:27" x14ac:dyDescent="0.25">
      <c r="B85" s="73"/>
      <c r="C85" s="73"/>
      <c r="D85" s="325" t="s">
        <v>214</v>
      </c>
      <c r="E85" s="47" t="s">
        <v>295</v>
      </c>
      <c r="F85" s="343">
        <f>SUMIFS('EV Data'!$AI:$AI,'EV Data'!$AE:$AE,'EV Forecast'!F44)</f>
        <v>345265</v>
      </c>
      <c r="G85" s="343">
        <f>SUMIFS('EV Data'!$AI:$AI,'EV Data'!$AE:$AE,'EV Forecast'!G44)</f>
        <v>368224</v>
      </c>
      <c r="H85" s="343">
        <f>SUMIFS('EV Data'!$AI:$AI,'EV Data'!$AE:$AE,'EV Forecast'!H44)</f>
        <v>395962</v>
      </c>
      <c r="I85" s="343">
        <f>SUMIFS('EV Data'!$AI:$AI,'EV Data'!$AE:$AE,'EV Forecast'!I44)</f>
        <v>312969</v>
      </c>
      <c r="J85" s="343">
        <f>SUMIFS('EV Data'!$AI:$AI,'EV Data'!$AE:$AE,'EV Forecast'!J44)</f>
        <v>352434</v>
      </c>
      <c r="K85" s="343">
        <f>SUMIFS('EV Data'!$AI:$AI,'EV Data'!$AE:$AE,'EV Forecast'!K44)</f>
        <v>341594</v>
      </c>
      <c r="L85" s="343">
        <f>SUMIFS('EV Data'!$AI:$AI,'EV Data'!$AE:$AE,'EV Forecast'!L44)</f>
        <v>412086</v>
      </c>
      <c r="M85" s="343">
        <f>SUMIFS('EV Data'!$AI:$AI,'EV Data'!$AE:$AE,'EV Forecast'!M44)</f>
        <v>437005</v>
      </c>
      <c r="N85" s="343"/>
      <c r="O85" s="343"/>
      <c r="P85" s="343"/>
      <c r="Q85" s="343"/>
      <c r="R85" s="343"/>
      <c r="S85" s="343"/>
      <c r="T85" s="343"/>
      <c r="U85" s="343"/>
      <c r="V85" s="343"/>
      <c r="W85" s="343"/>
      <c r="X85" s="343"/>
      <c r="Y85" s="343"/>
      <c r="Z85" s="343"/>
      <c r="AA85" s="353"/>
    </row>
    <row r="86" spans="2:27" x14ac:dyDescent="0.25">
      <c r="B86" s="73"/>
      <c r="C86" s="73"/>
      <c r="D86" s="325" t="s">
        <v>214</v>
      </c>
      <c r="E86" s="47" t="s">
        <v>296</v>
      </c>
      <c r="F86" s="343">
        <f>SUMIFS('EV Data'!$AJ:$AJ,'EV Data'!$AE:$AE,'EV Forecast'!F44)</f>
        <v>58851</v>
      </c>
      <c r="G86" s="343">
        <f>SUMIFS('EV Data'!$AJ:$AJ,'EV Data'!$AE:$AE,'EV Forecast'!G44)</f>
        <v>54456</v>
      </c>
      <c r="H86" s="343">
        <f>SUMIFS('EV Data'!$AJ:$AJ,'EV Data'!$AE:$AE,'EV Forecast'!H44)</f>
        <v>49692</v>
      </c>
      <c r="I86" s="343">
        <f>SUMIFS('EV Data'!$AJ:$AJ,'EV Data'!$AE:$AE,'EV Forecast'!I44)</f>
        <v>35235</v>
      </c>
      <c r="J86" s="343">
        <f>SUMIFS('EV Data'!$AJ:$AJ,'EV Data'!$AE:$AE,'EV Forecast'!J44)</f>
        <v>27989</v>
      </c>
      <c r="K86" s="343">
        <f>SUMIFS('EV Data'!$AJ:$AJ,'EV Data'!$AE:$AE,'EV Forecast'!K44)</f>
        <v>20185</v>
      </c>
      <c r="L86" s="343">
        <f>SUMIFS('EV Data'!$AJ:$AJ,'EV Data'!$AE:$AE,'EV Forecast'!L44)</f>
        <v>26725</v>
      </c>
      <c r="M86" s="343">
        <f>SUMIFS('EV Data'!$AJ:$AJ,'EV Data'!$AE:$AE,'EV Forecast'!M44)</f>
        <v>29792</v>
      </c>
      <c r="N86" s="343"/>
      <c r="O86" s="343"/>
      <c r="P86" s="343"/>
      <c r="Q86" s="343"/>
      <c r="R86" s="343"/>
      <c r="S86" s="343"/>
      <c r="T86" s="343"/>
      <c r="U86" s="343"/>
      <c r="V86" s="343"/>
      <c r="W86" s="343"/>
      <c r="X86" s="343"/>
      <c r="Y86" s="343"/>
      <c r="Z86" s="343"/>
      <c r="AA86" s="353"/>
    </row>
    <row r="87" spans="2:27" x14ac:dyDescent="0.25">
      <c r="B87" s="102"/>
      <c r="C87" s="102"/>
      <c r="D87" s="379" t="s">
        <v>214</v>
      </c>
      <c r="E87" s="118" t="s">
        <v>297</v>
      </c>
      <c r="F87" s="355">
        <f>SUMIFS('EV Data'!$AH:$AH,'EV Data'!$AE:$AE,'EV Forecast'!F44)</f>
        <v>144064</v>
      </c>
      <c r="G87" s="355">
        <f>SUMIFS('EV Data'!$AH:$AH,'EV Data'!$AE:$AE,'EV Forecast'!G44)</f>
        <v>135361</v>
      </c>
      <c r="H87" s="355">
        <f>SUMIFS('EV Data'!$AH:$AH,'EV Data'!$AE:$AE,'EV Forecast'!H44)</f>
        <v>144661</v>
      </c>
      <c r="I87" s="355">
        <f>SUMIFS('EV Data'!$AH:$AH,'EV Data'!$AE:$AE,'EV Forecast'!I44)</f>
        <v>127770</v>
      </c>
      <c r="J87" s="355">
        <f>SUMIFS('EV Data'!$AH:$AH,'EV Data'!$AE:$AE,'EV Forecast'!J44)</f>
        <v>117905</v>
      </c>
      <c r="K87" s="355">
        <f>SUMIFS('EV Data'!$AH:$AH,'EV Data'!$AE:$AE,'EV Forecast'!K44)</f>
        <v>122764</v>
      </c>
      <c r="L87" s="355">
        <f>SUMIFS('EV Data'!$AH:$AH,'EV Data'!$AE:$AE,'EV Forecast'!L44)</f>
        <v>127654</v>
      </c>
      <c r="M87" s="355">
        <f>SUMIFS('EV Data'!$AH:$AH,'EV Data'!$AE:$AE,'EV Forecast'!M44)</f>
        <v>124924</v>
      </c>
      <c r="N87" s="118"/>
      <c r="O87" s="118"/>
      <c r="P87" s="118"/>
      <c r="Q87" s="118"/>
      <c r="R87" s="118"/>
      <c r="S87" s="118"/>
      <c r="T87" s="118"/>
      <c r="U87" s="118"/>
      <c r="V87" s="118"/>
      <c r="W87" s="118"/>
      <c r="X87" s="118"/>
      <c r="Y87" s="118"/>
      <c r="Z87" s="118"/>
      <c r="AA87" s="119"/>
    </row>
    <row r="89" spans="2:27" x14ac:dyDescent="0.25">
      <c r="C89" s="47" t="s">
        <v>298</v>
      </c>
      <c r="X89" s="380" t="s">
        <v>299</v>
      </c>
      <c r="Y89" s="198" t="s">
        <v>268</v>
      </c>
      <c r="Z89" s="198" t="s">
        <v>300</v>
      </c>
    </row>
    <row r="90" spans="2:27" ht="14.4" customHeight="1" x14ac:dyDescent="0.25">
      <c r="C90" s="487" t="s">
        <v>301</v>
      </c>
      <c r="D90" s="47" t="s">
        <v>189</v>
      </c>
      <c r="F90" s="98">
        <f>(F$16+F$53)*$X90+(F$21+F$58)*$Y90+(F$26+F$63)*$Z90</f>
        <v>57507.326315789491</v>
      </c>
      <c r="G90" s="98">
        <f>(G$16-F$16+G$53-F$53)*$X90+(G$21-F$21+G$58-F$58)*$Y90+(G$26-F$26+G$63-F$63)*$Z90</f>
        <v>192934.28045904791</v>
      </c>
      <c r="H90" s="98">
        <f t="shared" ref="H90:O90" si="73">(H$16-G$16+H$53-G$53)*$X90+(H$21-G$21+H$58-G$58)*$Y90+(H$26-G$26+H$63-G$63)*$Z90</f>
        <v>225380.6865518807</v>
      </c>
      <c r="I90" s="98">
        <f t="shared" si="73"/>
        <v>170736.12159827023</v>
      </c>
      <c r="J90" s="98">
        <f t="shared" si="73"/>
        <v>269492.33097278042</v>
      </c>
      <c r="K90" s="98">
        <f t="shared" si="73"/>
        <v>535866.65039022581</v>
      </c>
      <c r="L90" s="98">
        <f t="shared" si="73"/>
        <v>879396.14295381599</v>
      </c>
      <c r="M90" s="98">
        <f t="shared" si="73"/>
        <v>1276213.2689941013</v>
      </c>
      <c r="N90" s="98">
        <f>(N$16-M$16+N$53-M$53)*$X90+(N$21-M$21+N$58-M$58)*$Y90+(N$26-M$26+N$63-M$63)*$Z90</f>
        <v>1704529.8120427257</v>
      </c>
      <c r="O90" s="98">
        <f t="shared" si="73"/>
        <v>2188957.6976536559</v>
      </c>
      <c r="P90" s="98"/>
      <c r="Q90" s="98"/>
      <c r="V90" s="98"/>
      <c r="W90" s="381" t="s">
        <v>189</v>
      </c>
      <c r="X90" s="318">
        <v>0.8</v>
      </c>
      <c r="Y90" s="318">
        <v>0.25</v>
      </c>
      <c r="Z90" s="318">
        <v>0.25</v>
      </c>
    </row>
    <row r="91" spans="2:27" x14ac:dyDescent="0.25">
      <c r="C91" s="487"/>
      <c r="D91" s="47" t="s">
        <v>302</v>
      </c>
      <c r="F91" s="98">
        <f>(F$16+F$53)*$X91+(F$21+F$58)*$Y91+(F$26+F$63)*$Z91</f>
        <v>9439.7315789473705</v>
      </c>
      <c r="G91" s="98">
        <f>(G$16-F$16+G$53-F$53)*$X91+(G$21-F$21+G$58-F$58)*$Y91+(G$26-F$26+G$63-F$63)*$Z91</f>
        <v>30616.559194818154</v>
      </c>
      <c r="H91" s="98">
        <f t="shared" ref="H91:M91" si="74">(H$16-G$16+H$53-G$53)*$X91+(H$21-G$21+H$58-G$58)*$Y91+(H$26-G$26+H$63-G$63)*$Z91</f>
        <v>32850.273314090089</v>
      </c>
      <c r="I91" s="98">
        <f t="shared" si="74"/>
        <v>22309.819601486182</v>
      </c>
      <c r="J91" s="98">
        <f t="shared" si="74"/>
        <v>35227.405782784939</v>
      </c>
      <c r="K91" s="98">
        <f t="shared" si="74"/>
        <v>77697.565450252529</v>
      </c>
      <c r="L91" s="98">
        <f t="shared" si="74"/>
        <v>143455.17337601067</v>
      </c>
      <c r="M91" s="98">
        <f t="shared" si="74"/>
        <v>236129.46625105731</v>
      </c>
      <c r="N91" s="98">
        <f>(N$16-M$16+N$53-M$53)*$X91+(N$21-M$21+N$58-M$58)*$Y91+(N$26-M$26+N$63-M$63)*$Z91</f>
        <v>321254.53211026837</v>
      </c>
      <c r="O91" s="98">
        <f>(O$16-N$16+O$53-N$53)*$X91+(O$21-N$21+O$58-N$58)*$Y91+(O$26-N$26+O$63-N$63)*$Z91</f>
        <v>399877.28751804004</v>
      </c>
      <c r="P91" s="98"/>
      <c r="Q91" s="98"/>
      <c r="V91" s="98"/>
      <c r="W91" s="381" t="s">
        <v>302</v>
      </c>
      <c r="X91" s="318">
        <v>0.1</v>
      </c>
      <c r="Y91" s="318">
        <v>0.4</v>
      </c>
      <c r="Z91" s="318">
        <v>0.3</v>
      </c>
    </row>
    <row r="92" spans="2:27" x14ac:dyDescent="0.25">
      <c r="C92" s="487"/>
      <c r="D92" s="47" t="str">
        <f>W92</f>
        <v>GS 50-999</v>
      </c>
      <c r="F92" s="98">
        <f>(F$16+F$53)*$X92+(F$21+F$58)*$Y92+(F$26+F$63)*$Z92</f>
        <v>5025.1289473684219</v>
      </c>
      <c r="G92" s="98">
        <f>(G$16-F$16+G$53-F$53)*$X92+(G$21-F$21+G$58-F$58)*$Y92+(G$26-F$26+G$63-F$63)*$Z92</f>
        <v>16189.604904180218</v>
      </c>
      <c r="H92" s="98">
        <f t="shared" ref="H92:M92" si="75">(H$16-G$16+H$53-G$53)*$X92+(H$21-G$21+H$58-G$58)*$Y92+(H$26-G$26+H$63-G$63)*$Z92</f>
        <v>17059.399368245722</v>
      </c>
      <c r="I92" s="98">
        <f t="shared" si="75"/>
        <v>11286.137516228162</v>
      </c>
      <c r="J92" s="98">
        <f t="shared" si="75"/>
        <v>17822.633659011099</v>
      </c>
      <c r="K92" s="98">
        <f t="shared" si="75"/>
        <v>42847.910583096404</v>
      </c>
      <c r="L92" s="98">
        <f t="shared" si="75"/>
        <v>85392.487134060415</v>
      </c>
      <c r="M92" s="98">
        <f t="shared" si="75"/>
        <v>155072.76687647763</v>
      </c>
      <c r="N92" s="98">
        <f>(N$16-M$16+N$53-M$53)*$X92+(N$21-M$21+N$58-M$58)*$Y92+(N$26-M$26+N$63-M$63)*$Z92</f>
        <v>214296.00640515657</v>
      </c>
      <c r="O92" s="98">
        <f>(O$16-N$16+O$53-N$53)*$X92+(O$21-N$21+O$58-N$58)*$Y92+(O$26-N$26+O$63-N$63)*$Z92</f>
        <v>260242.29903263104</v>
      </c>
      <c r="P92" s="98"/>
      <c r="Q92" s="98"/>
      <c r="V92" s="98"/>
      <c r="W92" s="381" t="s">
        <v>303</v>
      </c>
      <c r="X92" s="318">
        <v>0.05</v>
      </c>
      <c r="Y92" s="318">
        <v>0.25</v>
      </c>
      <c r="Z92" s="318">
        <v>0.3</v>
      </c>
    </row>
    <row r="93" spans="2:27" x14ac:dyDescent="0.25">
      <c r="C93" s="487"/>
      <c r="D93" s="47" t="str">
        <f>W93</f>
        <v>GS 1,000-4,999</v>
      </c>
      <c r="F93" s="98">
        <f>(F$16+F$53)*$X93+(F$21+F$58)*$Y93+(F$26+F$63)*$Z93</f>
        <v>4109.339473684211</v>
      </c>
      <c r="G93" s="98">
        <f>(G$16-F$16+G$53-F$53)*$X93+(G$21-F$21+G$58-F$58)*$Y93+(G$26-F$26+G$63-F$63)*$Z93</f>
        <v>13545.628983866794</v>
      </c>
      <c r="H93" s="98">
        <f t="shared" ref="H93:M94" si="76">(H$16-G$16+H$53-G$53)*$X93+(H$21-G$21+H$58-G$58)*$Y93+(H$26-G$26+H$63-G$63)*$Z93</f>
        <v>15156.611234643689</v>
      </c>
      <c r="I93" s="98">
        <f t="shared" si="76"/>
        <v>10892.454369772948</v>
      </c>
      <c r="J93" s="98">
        <f t="shared" si="76"/>
        <v>17195.841356155212</v>
      </c>
      <c r="K93" s="98">
        <f t="shared" si="76"/>
        <v>36456.298293083142</v>
      </c>
      <c r="L93" s="98">
        <f t="shared" si="76"/>
        <v>64471.811253469066</v>
      </c>
      <c r="M93" s="98">
        <f t="shared" si="76"/>
        <v>102655.06600764683</v>
      </c>
      <c r="N93" s="98">
        <f>(N$16-M$16+N$53-M$53)*$X93+(N$21-M$21+N$58-M$58)*$Y93+(N$26-M$26+N$63-M$63)*$Z93</f>
        <v>139146.10012419015</v>
      </c>
      <c r="O93" s="98">
        <f>(O$16-N$16+O$53-N$53)*$X93+(O$21-N$21+O$58-N$58)*$Y93+(O$26-N$26+O$63-N$63)*$Z93</f>
        <v>174400.55181823028</v>
      </c>
      <c r="P93" s="98"/>
      <c r="Q93" s="98"/>
      <c r="V93" s="98"/>
      <c r="W93" s="381" t="s">
        <v>304</v>
      </c>
      <c r="X93" s="318">
        <v>0.05</v>
      </c>
      <c r="Y93" s="318">
        <v>0.1</v>
      </c>
      <c r="Z93" s="318">
        <v>0.1</v>
      </c>
    </row>
    <row r="94" spans="2:27" x14ac:dyDescent="0.25">
      <c r="C94" s="487"/>
      <c r="D94" s="47" t="str">
        <f>W94</f>
        <v>Large Use</v>
      </c>
      <c r="F94" s="98">
        <f>(F$16+F$53)*$X94+(F$21+F$58)*$Y94+(F$26+F$63)*$Z94</f>
        <v>0</v>
      </c>
      <c r="G94" s="98">
        <f>(G$16-F$16+G$53-F$53)*$X94+(G$21-F$21+G$58-F$58)*$Y94+(G$26-F$26+G$63-F$63)*$Z94</f>
        <v>0</v>
      </c>
      <c r="H94" s="98">
        <f t="shared" si="76"/>
        <v>0</v>
      </c>
      <c r="I94" s="98">
        <f t="shared" si="76"/>
        <v>0</v>
      </c>
      <c r="J94" s="98">
        <f t="shared" si="76"/>
        <v>0</v>
      </c>
      <c r="K94" s="98">
        <f t="shared" si="76"/>
        <v>1121.1542567794284</v>
      </c>
      <c r="L94" s="98">
        <f t="shared" si="76"/>
        <v>4014.8050915147724</v>
      </c>
      <c r="M94" s="98">
        <f t="shared" si="76"/>
        <v>11721.280076803218</v>
      </c>
      <c r="N94" s="98">
        <f>(N$16-M$16+N$53-M$53)*$X94+(N$21-M$21+N$58-M$58)*$Y94+(N$26-M$26+N$63-M$63)*$Z94</f>
        <v>17171.262953820151</v>
      </c>
      <c r="O94" s="98">
        <f>(O$16-N$16+O$53-N$53)*$X94+(O$21-N$21+O$58-N$58)*$Y94+(O$26-N$26+O$63-N$63)*$Z94</f>
        <v>19013.843721286452</v>
      </c>
      <c r="P94" s="98"/>
      <c r="Q94" s="98"/>
      <c r="V94" s="98"/>
      <c r="W94" s="381" t="s">
        <v>115</v>
      </c>
      <c r="Z94" s="117">
        <v>0.05</v>
      </c>
    </row>
    <row r="95" spans="2:27" x14ac:dyDescent="0.25">
      <c r="F95" s="335">
        <f>SUM(F90:F94)</f>
        <v>76081.526315789495</v>
      </c>
      <c r="G95" s="335">
        <f t="shared" ref="G95:M95" si="77">SUM(G90:G94)</f>
        <v>253286.07354191309</v>
      </c>
      <c r="H95" s="335">
        <f t="shared" si="77"/>
        <v>290446.97046886018</v>
      </c>
      <c r="I95" s="335">
        <f t="shared" si="77"/>
        <v>215224.53308575752</v>
      </c>
      <c r="J95" s="335">
        <f t="shared" si="77"/>
        <v>339738.21177073166</v>
      </c>
      <c r="K95" s="335">
        <f t="shared" si="77"/>
        <v>693989.57897343731</v>
      </c>
      <c r="L95" s="335">
        <f t="shared" si="77"/>
        <v>1176730.4198088706</v>
      </c>
      <c r="M95" s="335">
        <f t="shared" si="77"/>
        <v>1781791.8482060861</v>
      </c>
      <c r="N95" s="335">
        <f>SUM(N90:N94)</f>
        <v>2396397.7136361608</v>
      </c>
      <c r="O95" s="335">
        <f>SUM(O90:O94)</f>
        <v>3042491.6797438436</v>
      </c>
      <c r="P95" s="335"/>
      <c r="Q95" s="335"/>
      <c r="X95" s="331">
        <f>SUM(X90:X94)</f>
        <v>1</v>
      </c>
      <c r="Y95" s="331">
        <f>SUM(Y90:Y94)</f>
        <v>1</v>
      </c>
      <c r="Z95" s="331">
        <f>SUM(Z90:Z94)</f>
        <v>1</v>
      </c>
    </row>
    <row r="97" spans="3:17" x14ac:dyDescent="0.25">
      <c r="C97" s="47" t="s">
        <v>305</v>
      </c>
    </row>
    <row r="98" spans="3:17" x14ac:dyDescent="0.25">
      <c r="D98" s="47" t="s">
        <v>306</v>
      </c>
      <c r="F98" s="328">
        <v>0.2</v>
      </c>
      <c r="G98" s="328">
        <f>F98</f>
        <v>0.2</v>
      </c>
      <c r="H98" s="328">
        <f t="shared" ref="H98:O98" si="78">G98</f>
        <v>0.2</v>
      </c>
      <c r="I98" s="328">
        <f t="shared" si="78"/>
        <v>0.2</v>
      </c>
      <c r="J98" s="328">
        <f t="shared" si="78"/>
        <v>0.2</v>
      </c>
      <c r="K98" s="328">
        <f t="shared" si="78"/>
        <v>0.2</v>
      </c>
      <c r="L98" s="328">
        <f t="shared" si="78"/>
        <v>0.2</v>
      </c>
      <c r="M98" s="328">
        <f t="shared" si="78"/>
        <v>0.2</v>
      </c>
      <c r="N98" s="328">
        <f>M98</f>
        <v>0.2</v>
      </c>
      <c r="O98" s="328">
        <f t="shared" si="78"/>
        <v>0.2</v>
      </c>
      <c r="P98" s="328"/>
      <c r="Q98" s="328"/>
    </row>
    <row r="99" spans="3:17" x14ac:dyDescent="0.25">
      <c r="D99" s="47" t="str">
        <f>W92</f>
        <v>GS 50-999</v>
      </c>
      <c r="F99" s="98">
        <f>((F92/F98)/8760)*12</f>
        <v>34.418691420331655</v>
      </c>
      <c r="G99" s="98">
        <f t="shared" ref="G99:O99" si="79">((G92/G98)/8760)*12</f>
        <v>110.88770482315218</v>
      </c>
      <c r="H99" s="98">
        <f t="shared" si="79"/>
        <v>116.84520115236796</v>
      </c>
      <c r="I99" s="98">
        <f t="shared" si="79"/>
        <v>77.302311754987414</v>
      </c>
      <c r="J99" s="98">
        <f t="shared" si="79"/>
        <v>122.07283328089791</v>
      </c>
      <c r="K99" s="98">
        <f t="shared" si="79"/>
        <v>293.47883961024928</v>
      </c>
      <c r="L99" s="98">
        <f t="shared" si="79"/>
        <v>584.88004886342753</v>
      </c>
      <c r="M99" s="98">
        <f t="shared" si="79"/>
        <v>1062.1422388799838</v>
      </c>
      <c r="N99" s="98">
        <f t="shared" si="79"/>
        <v>1467.7808657887438</v>
      </c>
      <c r="O99" s="98">
        <f t="shared" si="79"/>
        <v>1782.4815002235</v>
      </c>
      <c r="P99" s="382"/>
      <c r="Q99" s="382"/>
    </row>
    <row r="100" spans="3:17" x14ac:dyDescent="0.25">
      <c r="D100" s="47" t="str">
        <f>W93</f>
        <v>GS 1,000-4,999</v>
      </c>
      <c r="F100" s="98">
        <f>((F93/F98)/8760)*12</f>
        <v>28.146160778658977</v>
      </c>
      <c r="G100" s="98">
        <f t="shared" ref="G100:O100" si="80">((G93/G98)/8760)*12</f>
        <v>92.778280711416386</v>
      </c>
      <c r="H100" s="98">
        <f t="shared" si="80"/>
        <v>103.8124057167376</v>
      </c>
      <c r="I100" s="98">
        <f t="shared" si="80"/>
        <v>74.605851847759908</v>
      </c>
      <c r="J100" s="98">
        <f t="shared" si="80"/>
        <v>117.77973531613156</v>
      </c>
      <c r="K100" s="98">
        <f t="shared" si="80"/>
        <v>249.70067324029549</v>
      </c>
      <c r="L100" s="98">
        <f t="shared" si="80"/>
        <v>441.58774831143194</v>
      </c>
      <c r="M100" s="98">
        <f t="shared" si="80"/>
        <v>703.11689046333436</v>
      </c>
      <c r="N100" s="98">
        <f t="shared" si="80"/>
        <v>953.05548030267232</v>
      </c>
      <c r="O100" s="98">
        <f t="shared" si="80"/>
        <v>1194.5243275221251</v>
      </c>
    </row>
    <row r="101" spans="3:17" x14ac:dyDescent="0.25">
      <c r="D101" s="47" t="str">
        <f>W94</f>
        <v>Large Use</v>
      </c>
      <c r="F101" s="98">
        <f>((F94/F98)/8760)*12</f>
        <v>0</v>
      </c>
      <c r="G101" s="98">
        <f t="shared" ref="G101:O101" si="81">((G94/G98)/8760)*12</f>
        <v>0</v>
      </c>
      <c r="H101" s="98">
        <f t="shared" si="81"/>
        <v>0</v>
      </c>
      <c r="I101" s="98">
        <f t="shared" si="81"/>
        <v>0</v>
      </c>
      <c r="J101" s="98">
        <f t="shared" si="81"/>
        <v>0</v>
      </c>
      <c r="K101" s="98">
        <f t="shared" si="81"/>
        <v>7.6791387450645763</v>
      </c>
      <c r="L101" s="98">
        <f t="shared" si="81"/>
        <v>27.498665010375152</v>
      </c>
      <c r="M101" s="98">
        <f t="shared" si="81"/>
        <v>80.28274025207682</v>
      </c>
      <c r="N101" s="98">
        <f t="shared" si="81"/>
        <v>117.61139009465856</v>
      </c>
      <c r="O101" s="98">
        <f t="shared" si="81"/>
        <v>130.23180631018118</v>
      </c>
    </row>
    <row r="102" spans="3:17" x14ac:dyDescent="0.25">
      <c r="F102" s="335">
        <f>SUM(F99:F101)</f>
        <v>62.564852198990636</v>
      </c>
      <c r="G102" s="335">
        <f t="shared" ref="G102:O102" si="82">SUM(G99:G101)</f>
        <v>203.66598553456856</v>
      </c>
      <c r="H102" s="335">
        <f t="shared" si="82"/>
        <v>220.65760686910556</v>
      </c>
      <c r="I102" s="335">
        <f t="shared" si="82"/>
        <v>151.90816360274732</v>
      </c>
      <c r="J102" s="335">
        <f t="shared" si="82"/>
        <v>239.85256859702946</v>
      </c>
      <c r="K102" s="335">
        <f t="shared" si="82"/>
        <v>550.85865159560944</v>
      </c>
      <c r="L102" s="335">
        <f t="shared" si="82"/>
        <v>1053.9664621852346</v>
      </c>
      <c r="M102" s="335">
        <f t="shared" si="82"/>
        <v>1845.5418695953949</v>
      </c>
      <c r="N102" s="335">
        <f t="shared" si="82"/>
        <v>2538.4477361860745</v>
      </c>
      <c r="O102" s="335">
        <f t="shared" si="82"/>
        <v>3107.2376340558062</v>
      </c>
    </row>
    <row r="104" spans="3:17" x14ac:dyDescent="0.25">
      <c r="E104" s="206"/>
      <c r="F104" s="341">
        <f t="shared" ref="F104:L104" si="83">F119</f>
        <v>2017</v>
      </c>
      <c r="G104" s="341">
        <f t="shared" si="83"/>
        <v>2018</v>
      </c>
      <c r="H104" s="341">
        <f t="shared" si="83"/>
        <v>2019</v>
      </c>
      <c r="I104" s="341">
        <f t="shared" si="83"/>
        <v>2020</v>
      </c>
      <c r="J104" s="341">
        <f t="shared" si="83"/>
        <v>2021</v>
      </c>
      <c r="K104" s="341">
        <f t="shared" si="83"/>
        <v>2022</v>
      </c>
      <c r="L104" s="341">
        <f t="shared" si="83"/>
        <v>2023</v>
      </c>
      <c r="M104" s="383"/>
    </row>
    <row r="105" spans="3:17" x14ac:dyDescent="0.25">
      <c r="E105" s="73" t="s">
        <v>307</v>
      </c>
      <c r="F105" s="384">
        <f>F31+F68</f>
        <v>66</v>
      </c>
      <c r="G105" s="384">
        <f t="shared" ref="G105:L105" si="84">G31+G68</f>
        <v>151</v>
      </c>
      <c r="H105" s="384">
        <f t="shared" si="84"/>
        <v>90</v>
      </c>
      <c r="I105" s="384">
        <f t="shared" si="84"/>
        <v>78</v>
      </c>
      <c r="J105" s="384">
        <f t="shared" si="84"/>
        <v>179</v>
      </c>
      <c r="K105" s="384">
        <f t="shared" si="84"/>
        <v>328</v>
      </c>
      <c r="L105" s="385">
        <f t="shared" si="84"/>
        <v>522</v>
      </c>
      <c r="M105" s="92" t="s">
        <v>308</v>
      </c>
    </row>
    <row r="106" spans="3:17" x14ac:dyDescent="0.25">
      <c r="E106" s="73" t="s">
        <v>309</v>
      </c>
      <c r="F106" s="384">
        <f>F32+F69</f>
        <v>8180</v>
      </c>
      <c r="G106" s="384">
        <f t="shared" ref="G106:L106" si="85">G32+G69</f>
        <v>16758</v>
      </c>
      <c r="H106" s="384">
        <f t="shared" si="85"/>
        <v>9762</v>
      </c>
      <c r="I106" s="384">
        <f t="shared" si="85"/>
        <v>10515</v>
      </c>
      <c r="J106" s="384">
        <f t="shared" si="85"/>
        <v>19716</v>
      </c>
      <c r="K106" s="384">
        <f t="shared" si="85"/>
        <v>38662</v>
      </c>
      <c r="L106" s="385">
        <f t="shared" si="85"/>
        <v>50132</v>
      </c>
      <c r="M106" s="92" t="s">
        <v>310</v>
      </c>
    </row>
    <row r="107" spans="3:17" x14ac:dyDescent="0.25">
      <c r="E107" s="206" t="s">
        <v>311</v>
      </c>
      <c r="F107" s="386">
        <f t="shared" ref="F107:L107" si="86">F28</f>
        <v>8.4198708953129378E-3</v>
      </c>
      <c r="G107" s="386">
        <f t="shared" si="86"/>
        <v>9.2524957389822256E-3</v>
      </c>
      <c r="H107" s="386">
        <f t="shared" si="86"/>
        <v>9.6021947873799734E-3</v>
      </c>
      <c r="I107" s="386">
        <f t="shared" si="86"/>
        <v>7.4773228732532481E-3</v>
      </c>
      <c r="J107" s="386">
        <f t="shared" si="86"/>
        <v>9.9755700325732891E-3</v>
      </c>
      <c r="K107" s="386">
        <f t="shared" si="86"/>
        <v>8.5715157246133659E-3</v>
      </c>
      <c r="L107" s="386">
        <f t="shared" si="86"/>
        <v>1.0663905784910055E-2</v>
      </c>
      <c r="M107" s="92" t="s">
        <v>312</v>
      </c>
    </row>
    <row r="108" spans="3:17" x14ac:dyDescent="0.25">
      <c r="E108" s="73" t="s">
        <v>313</v>
      </c>
      <c r="F108" s="384">
        <f t="shared" ref="F108:L111" si="87">F33+F70</f>
        <v>6191</v>
      </c>
      <c r="G108" s="384">
        <f t="shared" si="87"/>
        <v>12828</v>
      </c>
      <c r="H108" s="384">
        <f t="shared" si="87"/>
        <v>7124</v>
      </c>
      <c r="I108" s="384">
        <f t="shared" si="87"/>
        <v>5699</v>
      </c>
      <c r="J108" s="384">
        <f t="shared" si="87"/>
        <v>8028</v>
      </c>
      <c r="K108" s="384">
        <f t="shared" si="87"/>
        <v>13157</v>
      </c>
      <c r="L108" s="385">
        <f t="shared" si="87"/>
        <v>11001</v>
      </c>
      <c r="M108" s="92" t="s">
        <v>314</v>
      </c>
    </row>
    <row r="109" spans="3:17" x14ac:dyDescent="0.25">
      <c r="E109" s="73" t="s">
        <v>315</v>
      </c>
      <c r="F109" s="384">
        <f t="shared" si="87"/>
        <v>1467</v>
      </c>
      <c r="G109" s="384">
        <f t="shared" si="87"/>
        <v>3055</v>
      </c>
      <c r="H109" s="384">
        <f t="shared" si="87"/>
        <v>2546</v>
      </c>
      <c r="I109" s="384">
        <f t="shared" si="87"/>
        <v>4681</v>
      </c>
      <c r="J109" s="384">
        <f t="shared" si="87"/>
        <v>11406</v>
      </c>
      <c r="K109" s="384">
        <f t="shared" si="87"/>
        <v>23938</v>
      </c>
      <c r="L109" s="385">
        <f t="shared" si="87"/>
        <v>36195</v>
      </c>
      <c r="M109" s="92" t="s">
        <v>316</v>
      </c>
    </row>
    <row r="110" spans="3:17" x14ac:dyDescent="0.25">
      <c r="E110" s="73" t="s">
        <v>317</v>
      </c>
      <c r="F110" s="384">
        <f t="shared" si="87"/>
        <v>522</v>
      </c>
      <c r="G110" s="384">
        <f t="shared" si="87"/>
        <v>875</v>
      </c>
      <c r="H110" s="384">
        <f t="shared" si="87"/>
        <v>92</v>
      </c>
      <c r="I110" s="384">
        <f t="shared" si="87"/>
        <v>135</v>
      </c>
      <c r="J110" s="384">
        <f t="shared" si="87"/>
        <v>282</v>
      </c>
      <c r="K110" s="384">
        <f t="shared" si="87"/>
        <v>695</v>
      </c>
      <c r="L110" s="385">
        <f t="shared" si="87"/>
        <v>1127</v>
      </c>
      <c r="M110" s="92" t="s">
        <v>318</v>
      </c>
    </row>
    <row r="111" spans="3:17" x14ac:dyDescent="0.25">
      <c r="E111" s="102" t="s">
        <v>319</v>
      </c>
      <c r="F111" s="387">
        <f t="shared" si="87"/>
        <v>0</v>
      </c>
      <c r="G111" s="387">
        <f t="shared" si="87"/>
        <v>0</v>
      </c>
      <c r="H111" s="387">
        <f t="shared" si="87"/>
        <v>0</v>
      </c>
      <c r="I111" s="387">
        <f t="shared" si="87"/>
        <v>0</v>
      </c>
      <c r="J111" s="387">
        <f t="shared" si="87"/>
        <v>0</v>
      </c>
      <c r="K111" s="387">
        <f t="shared" si="87"/>
        <v>872</v>
      </c>
      <c r="L111" s="388">
        <f t="shared" si="87"/>
        <v>1809</v>
      </c>
      <c r="M111" s="92" t="s">
        <v>320</v>
      </c>
    </row>
    <row r="112" spans="3:17" x14ac:dyDescent="0.25">
      <c r="E112" s="69" t="str">
        <f>E38</f>
        <v>Passenger EV as % of EV</v>
      </c>
      <c r="F112" s="389">
        <f>F108/SUM(F$108:F$111)</f>
        <v>0.75684596577017116</v>
      </c>
      <c r="G112" s="389">
        <f t="shared" ref="G112:L112" si="88">G108/SUM(G$108:G$111)</f>
        <v>0.76548514142499102</v>
      </c>
      <c r="H112" s="389">
        <f t="shared" si="88"/>
        <v>0.72976849006351152</v>
      </c>
      <c r="I112" s="389">
        <f t="shared" si="88"/>
        <v>0.54198763670946271</v>
      </c>
      <c r="J112" s="389">
        <f t="shared" si="88"/>
        <v>0.40718198417528911</v>
      </c>
      <c r="K112" s="389">
        <f t="shared" si="88"/>
        <v>0.34030831307226733</v>
      </c>
      <c r="L112" s="390">
        <f t="shared" si="88"/>
        <v>0.21944067661373973</v>
      </c>
      <c r="M112" s="92" t="s">
        <v>321</v>
      </c>
    </row>
    <row r="113" spans="5:15" x14ac:dyDescent="0.25">
      <c r="E113" s="73" t="str">
        <f>E39</f>
        <v>Multi-Purpose EV as % of EV</v>
      </c>
      <c r="F113" s="389">
        <f>F109/SUM(F$108:F$111)</f>
        <v>0.17933985330073349</v>
      </c>
      <c r="G113" s="389">
        <f t="shared" ref="F113:L115" si="89">G109/SUM(G$108:G$111)</f>
        <v>0.18230099057166727</v>
      </c>
      <c r="H113" s="389">
        <f t="shared" si="89"/>
        <v>0.26080721163695963</v>
      </c>
      <c r="I113" s="389">
        <f t="shared" si="89"/>
        <v>0.44517356157869709</v>
      </c>
      <c r="J113" s="389">
        <f t="shared" si="89"/>
        <v>0.57851491174680458</v>
      </c>
      <c r="K113" s="389">
        <f t="shared" si="89"/>
        <v>0.61916093321607779</v>
      </c>
      <c r="L113" s="390">
        <f t="shared" si="89"/>
        <v>0.72199393600893635</v>
      </c>
      <c r="M113" s="92" t="s">
        <v>322</v>
      </c>
    </row>
    <row r="114" spans="5:15" x14ac:dyDescent="0.25">
      <c r="E114" s="73" t="str">
        <f>E40</f>
        <v>Van EV as % of EV</v>
      </c>
      <c r="F114" s="389">
        <f t="shared" si="89"/>
        <v>6.3814180929095354E-2</v>
      </c>
      <c r="G114" s="389">
        <f t="shared" si="89"/>
        <v>5.2213868003341685E-2</v>
      </c>
      <c r="H114" s="389">
        <f t="shared" si="89"/>
        <v>9.4242982995287848E-3</v>
      </c>
      <c r="I114" s="389">
        <f t="shared" si="89"/>
        <v>1.2838801711840228E-2</v>
      </c>
      <c r="J114" s="389">
        <f t="shared" si="89"/>
        <v>1.4303104077906269E-2</v>
      </c>
      <c r="K114" s="389">
        <f t="shared" si="89"/>
        <v>1.7976307485386166E-2</v>
      </c>
      <c r="L114" s="390">
        <f t="shared" si="89"/>
        <v>2.2480651081145775E-2</v>
      </c>
      <c r="M114" s="92" t="s">
        <v>323</v>
      </c>
    </row>
    <row r="115" spans="5:15" x14ac:dyDescent="0.25">
      <c r="E115" s="102" t="str">
        <f>E41</f>
        <v>Pickup Truck EV as % of EV</v>
      </c>
      <c r="F115" s="391">
        <f t="shared" si="89"/>
        <v>0</v>
      </c>
      <c r="G115" s="391">
        <f t="shared" si="89"/>
        <v>0</v>
      </c>
      <c r="H115" s="391">
        <f t="shared" si="89"/>
        <v>0</v>
      </c>
      <c r="I115" s="391">
        <f t="shared" si="89"/>
        <v>0</v>
      </c>
      <c r="J115" s="391">
        <f t="shared" si="89"/>
        <v>0</v>
      </c>
      <c r="K115" s="391">
        <f t="shared" si="89"/>
        <v>2.2554446226268687E-2</v>
      </c>
      <c r="L115" s="392">
        <f t="shared" si="89"/>
        <v>3.6084736296178088E-2</v>
      </c>
      <c r="M115" s="119" t="s">
        <v>324</v>
      </c>
    </row>
    <row r="119" spans="5:15" x14ac:dyDescent="0.25">
      <c r="E119" s="393"/>
      <c r="F119" s="341">
        <f t="shared" ref="F119:M119" si="90">F7</f>
        <v>2017</v>
      </c>
      <c r="G119" s="341">
        <f t="shared" si="90"/>
        <v>2018</v>
      </c>
      <c r="H119" s="341">
        <f t="shared" si="90"/>
        <v>2019</v>
      </c>
      <c r="I119" s="341">
        <f t="shared" si="90"/>
        <v>2020</v>
      </c>
      <c r="J119" s="341">
        <f t="shared" si="90"/>
        <v>2021</v>
      </c>
      <c r="K119" s="341">
        <f t="shared" si="90"/>
        <v>2022</v>
      </c>
      <c r="L119" s="341">
        <f t="shared" si="90"/>
        <v>2023</v>
      </c>
      <c r="M119" s="341">
        <f t="shared" si="90"/>
        <v>2024</v>
      </c>
    </row>
    <row r="120" spans="5:15" x14ac:dyDescent="0.25">
      <c r="E120" s="484" t="s">
        <v>325</v>
      </c>
      <c r="F120" s="485"/>
      <c r="G120" s="485"/>
      <c r="H120" s="485"/>
      <c r="I120" s="485"/>
      <c r="J120" s="485"/>
      <c r="K120" s="485"/>
      <c r="L120" s="485"/>
      <c r="M120" s="485"/>
    </row>
    <row r="121" spans="5:15" x14ac:dyDescent="0.25">
      <c r="E121" s="394" t="s">
        <v>326</v>
      </c>
      <c r="F121" s="395">
        <f>F9+F46</f>
        <v>66</v>
      </c>
      <c r="G121" s="395">
        <f t="shared" ref="G121:L121" si="91">G9+G46</f>
        <v>151</v>
      </c>
      <c r="H121" s="395">
        <f t="shared" si="91"/>
        <v>90</v>
      </c>
      <c r="I121" s="395">
        <f t="shared" si="91"/>
        <v>78</v>
      </c>
      <c r="J121" s="395">
        <f t="shared" si="91"/>
        <v>179</v>
      </c>
      <c r="K121" s="395">
        <f t="shared" si="91"/>
        <v>328</v>
      </c>
      <c r="L121" s="395">
        <f t="shared" si="91"/>
        <v>522</v>
      </c>
      <c r="M121" s="395">
        <f>M9+M46</f>
        <v>726</v>
      </c>
      <c r="N121" s="47" t="s">
        <v>327</v>
      </c>
    </row>
    <row r="122" spans="5:15" x14ac:dyDescent="0.25">
      <c r="E122" s="341" t="s">
        <v>328</v>
      </c>
      <c r="F122" s="393">
        <f>F12+F49</f>
        <v>61.929824561403507</v>
      </c>
      <c r="G122" s="393">
        <f t="shared" ref="G122:L122" si="92">G12+G49</f>
        <v>143.31917134831463</v>
      </c>
      <c r="H122" s="393">
        <f t="shared" si="92"/>
        <v>89.223992502343009</v>
      </c>
      <c r="I122" s="393">
        <f t="shared" si="92"/>
        <v>77.026304624522695</v>
      </c>
      <c r="J122" s="393">
        <f t="shared" si="92"/>
        <v>177.18795180722893</v>
      </c>
      <c r="K122" s="393">
        <f t="shared" si="92"/>
        <v>314.86787649083823</v>
      </c>
      <c r="L122" s="393">
        <f t="shared" si="92"/>
        <v>491.37041194590751</v>
      </c>
      <c r="M122" s="393">
        <f>M12+M49</f>
        <v>660.17616486283225</v>
      </c>
      <c r="N122" s="47" t="s">
        <v>329</v>
      </c>
    </row>
    <row r="123" spans="5:15" x14ac:dyDescent="0.25">
      <c r="E123" s="341" t="s">
        <v>277</v>
      </c>
      <c r="F123" s="393">
        <f>F17+F54</f>
        <v>4.0701754385964914</v>
      </c>
      <c r="G123" s="393">
        <f t="shared" ref="G123:L123" si="93">G17+G54</f>
        <v>7.6808286516853927</v>
      </c>
      <c r="H123" s="393">
        <f t="shared" si="93"/>
        <v>0.77600749765698218</v>
      </c>
      <c r="I123" s="393">
        <f t="shared" si="93"/>
        <v>0.97369537547730167</v>
      </c>
      <c r="J123" s="393">
        <f t="shared" si="93"/>
        <v>1.8120481927710843</v>
      </c>
      <c r="K123" s="393">
        <f t="shared" si="93"/>
        <v>5.65776179729892</v>
      </c>
      <c r="L123" s="393">
        <f t="shared" si="93"/>
        <v>11.338582489190156</v>
      </c>
      <c r="M123" s="393">
        <f>M17+M54</f>
        <v>6.9729735233819188</v>
      </c>
      <c r="N123" s="47" t="s">
        <v>330</v>
      </c>
    </row>
    <row r="124" spans="5:15" x14ac:dyDescent="0.25">
      <c r="E124" s="341" t="s">
        <v>331</v>
      </c>
      <c r="F124" s="396">
        <f>F22+F59</f>
        <v>0</v>
      </c>
      <c r="G124" s="396">
        <f t="shared" ref="G124:L124" si="94">G22+G59</f>
        <v>0</v>
      </c>
      <c r="H124" s="396">
        <f t="shared" si="94"/>
        <v>0</v>
      </c>
      <c r="I124" s="396">
        <f t="shared" si="94"/>
        <v>0</v>
      </c>
      <c r="J124" s="396">
        <f t="shared" si="94"/>
        <v>0</v>
      </c>
      <c r="K124" s="396">
        <f t="shared" si="94"/>
        <v>7.4743617118628558</v>
      </c>
      <c r="L124" s="396">
        <f t="shared" si="94"/>
        <v>19.291005564902292</v>
      </c>
      <c r="M124" s="396">
        <f>M22+M59</f>
        <v>58.850861613785824</v>
      </c>
      <c r="N124" s="47" t="s">
        <v>332</v>
      </c>
    </row>
    <row r="126" spans="5:15" ht="14.4" x14ac:dyDescent="0.3">
      <c r="E126" s="393"/>
      <c r="F126" s="397">
        <f t="shared" ref="F126:L126" si="95">L7</f>
        <v>2023</v>
      </c>
      <c r="G126" s="341">
        <f t="shared" si="95"/>
        <v>2024</v>
      </c>
      <c r="H126" s="341">
        <f t="shared" si="95"/>
        <v>2025</v>
      </c>
      <c r="I126" s="397">
        <f t="shared" si="95"/>
        <v>2026</v>
      </c>
      <c r="J126" s="341">
        <f t="shared" si="95"/>
        <v>2027</v>
      </c>
      <c r="K126" s="397">
        <f t="shared" si="95"/>
        <v>2028</v>
      </c>
      <c r="L126" s="341">
        <f t="shared" si="95"/>
        <v>2029</v>
      </c>
      <c r="O126" s="47" t="s">
        <v>333</v>
      </c>
    </row>
    <row r="127" spans="5:15" ht="14.4" x14ac:dyDescent="0.3">
      <c r="E127" s="393" t="s">
        <v>334</v>
      </c>
      <c r="F127" s="398">
        <f>L83</f>
        <v>677004</v>
      </c>
      <c r="G127" s="398">
        <f t="shared" ref="G127:L127" si="96">M83</f>
        <v>699289</v>
      </c>
      <c r="H127" s="398">
        <f t="shared" si="96"/>
        <v>713274.78</v>
      </c>
      <c r="I127" s="398">
        <f t="shared" si="96"/>
        <v>727540.27560000005</v>
      </c>
      <c r="J127" s="398">
        <f t="shared" si="96"/>
        <v>742091.08111200004</v>
      </c>
      <c r="K127" s="398">
        <f t="shared" si="96"/>
        <v>756932.90273424005</v>
      </c>
      <c r="L127" s="398">
        <f t="shared" si="96"/>
        <v>772071.56078892492</v>
      </c>
      <c r="N127" s="47" t="s">
        <v>335</v>
      </c>
      <c r="O127" s="47" t="s">
        <v>336</v>
      </c>
    </row>
    <row r="128" spans="5:15" ht="14.4" x14ac:dyDescent="0.3">
      <c r="E128" s="393" t="s">
        <v>337</v>
      </c>
      <c r="F128" s="399">
        <f t="shared" ref="F128:L128" si="97">L82</f>
        <v>7.4049784048543288E-2</v>
      </c>
      <c r="G128" s="399">
        <f t="shared" si="97"/>
        <v>8.0939354115394352E-2</v>
      </c>
      <c r="H128" s="399">
        <f t="shared" si="97"/>
        <v>0.10147926190024462</v>
      </c>
      <c r="I128" s="399">
        <f t="shared" si="97"/>
        <v>0.12723156378461625</v>
      </c>
      <c r="J128" s="399">
        <f t="shared" si="97"/>
        <v>0.15951900437541369</v>
      </c>
      <c r="K128" s="399">
        <f t="shared" si="97"/>
        <v>0.2</v>
      </c>
      <c r="L128" s="399">
        <f t="shared" si="97"/>
        <v>0.23</v>
      </c>
      <c r="N128" s="47" t="s">
        <v>338</v>
      </c>
      <c r="O128" s="47" t="s">
        <v>339</v>
      </c>
    </row>
    <row r="129" spans="5:15" ht="14.4" x14ac:dyDescent="0.3">
      <c r="E129" s="393" t="str">
        <f>D28</f>
        <v>Oshawa % of ON New EVs</v>
      </c>
      <c r="F129" s="400">
        <f t="shared" ref="F129:L129" si="98">(L31+L68)/(L32+L69)</f>
        <v>1.0412510971036465E-2</v>
      </c>
      <c r="G129" s="400">
        <f t="shared" si="98"/>
        <v>1.2826855123674912E-2</v>
      </c>
      <c r="H129" s="400">
        <f t="shared" si="98"/>
        <v>1.2899145720701489E-2</v>
      </c>
      <c r="I129" s="400">
        <f t="shared" si="98"/>
        <v>1.2899145720701489E-2</v>
      </c>
      <c r="J129" s="400">
        <f t="shared" si="98"/>
        <v>1.2899145720701491E-2</v>
      </c>
      <c r="K129" s="400">
        <f t="shared" si="98"/>
        <v>1.2899145720701485E-2</v>
      </c>
      <c r="L129" s="400">
        <f t="shared" si="98"/>
        <v>1.2899145720701487E-2</v>
      </c>
      <c r="N129" s="47" t="s">
        <v>340</v>
      </c>
      <c r="O129" s="47" t="s">
        <v>341</v>
      </c>
    </row>
    <row r="130" spans="5:15" x14ac:dyDescent="0.25">
      <c r="E130" s="341" t="s">
        <v>342</v>
      </c>
      <c r="F130" s="401">
        <f t="shared" ref="F130:L130" si="99">SUM(F131:F133)</f>
        <v>522</v>
      </c>
      <c r="G130" s="395">
        <f t="shared" si="99"/>
        <v>726</v>
      </c>
      <c r="H130" s="395">
        <f t="shared" si="99"/>
        <v>933.67368190810544</v>
      </c>
      <c r="I130" s="401">
        <f t="shared" si="99"/>
        <v>1194.023444761483</v>
      </c>
      <c r="J130" s="395">
        <f t="shared" si="99"/>
        <v>1526.9703047926316</v>
      </c>
      <c r="K130" s="401">
        <f t="shared" si="99"/>
        <v>1952.7575626325056</v>
      </c>
      <c r="L130" s="395">
        <f t="shared" si="99"/>
        <v>2290.5846209679294</v>
      </c>
      <c r="N130" s="47" t="s">
        <v>343</v>
      </c>
      <c r="O130" s="47" t="s">
        <v>344</v>
      </c>
    </row>
    <row r="131" spans="5:15" ht="14.4" x14ac:dyDescent="0.3">
      <c r="E131" s="341" t="s">
        <v>328</v>
      </c>
      <c r="F131" s="398">
        <f>L12+L49</f>
        <v>491.37041194590751</v>
      </c>
      <c r="G131" s="398">
        <f t="shared" ref="G131:L131" si="100">M12+M49</f>
        <v>660.17616486283225</v>
      </c>
      <c r="H131" s="398">
        <f t="shared" si="100"/>
        <v>864.03439876351467</v>
      </c>
      <c r="I131" s="398">
        <f t="shared" si="100"/>
        <v>1104.965631135321</v>
      </c>
      <c r="J131" s="398">
        <f t="shared" si="100"/>
        <v>1413.0792104313555</v>
      </c>
      <c r="K131" s="398">
        <f t="shared" si="100"/>
        <v>1807.108564002714</v>
      </c>
      <c r="L131" s="398">
        <f t="shared" si="100"/>
        <v>2119.7383455751838</v>
      </c>
      <c r="N131" s="47" t="s">
        <v>345</v>
      </c>
      <c r="O131" s="47" t="s">
        <v>346</v>
      </c>
    </row>
    <row r="132" spans="5:15" ht="14.4" x14ac:dyDescent="0.3">
      <c r="E132" s="341" t="s">
        <v>277</v>
      </c>
      <c r="F132" s="398">
        <f>L17+L54</f>
        <v>11.338582489190156</v>
      </c>
      <c r="G132" s="398">
        <f t="shared" ref="G132:L132" si="101">M17+M54</f>
        <v>6.9729735233819188</v>
      </c>
      <c r="H132" s="398">
        <f t="shared" si="101"/>
        <v>14.015058399575604</v>
      </c>
      <c r="I132" s="398">
        <f t="shared" si="101"/>
        <v>17.923080229267569</v>
      </c>
      <c r="J132" s="398">
        <f t="shared" si="101"/>
        <v>22.920832417971901</v>
      </c>
      <c r="K132" s="398">
        <f t="shared" si="101"/>
        <v>29.31218027328001</v>
      </c>
      <c r="L132" s="398">
        <f t="shared" si="101"/>
        <v>34.383187460557451</v>
      </c>
      <c r="N132" s="47" t="s">
        <v>347</v>
      </c>
      <c r="O132" s="47" t="s">
        <v>346</v>
      </c>
    </row>
    <row r="133" spans="5:15" ht="14.4" x14ac:dyDescent="0.3">
      <c r="E133" s="341" t="s">
        <v>348</v>
      </c>
      <c r="F133" s="398">
        <f>L22+L59</f>
        <v>19.291005564902292</v>
      </c>
      <c r="G133" s="398">
        <f t="shared" ref="G133:L133" si="102">M22+M59</f>
        <v>58.850861613785824</v>
      </c>
      <c r="H133" s="398">
        <f t="shared" si="102"/>
        <v>55.624224745015169</v>
      </c>
      <c r="I133" s="398">
        <f t="shared" si="102"/>
        <v>71.134733396894489</v>
      </c>
      <c r="J133" s="398">
        <f t="shared" si="102"/>
        <v>90.970261943304209</v>
      </c>
      <c r="K133" s="398">
        <f t="shared" si="102"/>
        <v>116.33681835651147</v>
      </c>
      <c r="L133" s="398">
        <f t="shared" si="102"/>
        <v>136.46308793218796</v>
      </c>
      <c r="N133" s="47" t="s">
        <v>349</v>
      </c>
      <c r="O133" s="47" t="s">
        <v>346</v>
      </c>
    </row>
    <row r="136" spans="5:15" x14ac:dyDescent="0.25">
      <c r="F136" s="47">
        <v>2023</v>
      </c>
      <c r="G136" s="47">
        <v>2024</v>
      </c>
      <c r="H136" s="47">
        <v>2025</v>
      </c>
      <c r="I136" s="47">
        <v>2026</v>
      </c>
    </row>
    <row r="137" spans="5:15" x14ac:dyDescent="0.25">
      <c r="E137" s="47" t="str">
        <f>E131</f>
        <v>Passenger &amp; Multi-Purpose EVs</v>
      </c>
      <c r="F137" s="98">
        <f>F131</f>
        <v>491.37041194590751</v>
      </c>
      <c r="G137" s="98">
        <f>G131</f>
        <v>660.17616486283225</v>
      </c>
      <c r="H137" s="98">
        <f>H131</f>
        <v>864.03439876351467</v>
      </c>
      <c r="I137" s="98">
        <f>I131</f>
        <v>1104.965631135321</v>
      </c>
      <c r="J137" s="47" t="s">
        <v>308</v>
      </c>
    </row>
    <row r="138" spans="5:15" x14ac:dyDescent="0.25">
      <c r="E138" s="47" t="s">
        <v>350</v>
      </c>
      <c r="F138" s="98">
        <f>L13+L50</f>
        <v>1354.9255332805585</v>
      </c>
      <c r="G138" s="98">
        <f>M13+M50</f>
        <v>2015.1016981433906</v>
      </c>
      <c r="H138" s="98">
        <f>N13+N50</f>
        <v>2879.1360969069055</v>
      </c>
      <c r="I138" s="98">
        <f>O13+O50</f>
        <v>3984.1017280422266</v>
      </c>
      <c r="J138" s="47" t="s">
        <v>310</v>
      </c>
      <c r="K138" s="346"/>
    </row>
    <row r="139" spans="5:15" x14ac:dyDescent="0.25">
      <c r="E139" s="47" t="s">
        <v>351</v>
      </c>
      <c r="F139" s="98">
        <f>L16+L53</f>
        <v>2854434.9286372187</v>
      </c>
      <c r="G139" s="98">
        <f>M16+M53</f>
        <v>4364917.3048964543</v>
      </c>
      <c r="H139" s="98">
        <f>N16+N53</f>
        <v>6374790.7296849741</v>
      </c>
      <c r="I139" s="98">
        <f>O16+O53</f>
        <v>8971763.0528080557</v>
      </c>
      <c r="J139" s="346" t="s">
        <v>352</v>
      </c>
      <c r="K139" s="346"/>
      <c r="L139" s="209"/>
    </row>
    <row r="140" spans="5:15" x14ac:dyDescent="0.25">
      <c r="E140" s="47" t="s">
        <v>353</v>
      </c>
      <c r="G140" s="98"/>
      <c r="H140" s="98">
        <f>H139-G139</f>
        <v>2009873.4247885197</v>
      </c>
      <c r="I140" s="98">
        <f>I139-H139</f>
        <v>2596972.3231230816</v>
      </c>
      <c r="J140" s="47" t="s">
        <v>354</v>
      </c>
      <c r="L140" s="209"/>
    </row>
    <row r="141" spans="5:15" x14ac:dyDescent="0.25">
      <c r="E141" s="47" t="str">
        <f>E132</f>
        <v>Van EVs</v>
      </c>
      <c r="F141" s="98">
        <f>F132</f>
        <v>11.338582489190156</v>
      </c>
      <c r="G141" s="98">
        <f>G132</f>
        <v>6.9729735233819188</v>
      </c>
      <c r="H141" s="98">
        <f>H132</f>
        <v>14.015058399575604</v>
      </c>
      <c r="I141" s="98">
        <f>I132</f>
        <v>17.923080229267569</v>
      </c>
      <c r="J141" s="47" t="s">
        <v>316</v>
      </c>
      <c r="L141" s="209"/>
    </row>
    <row r="142" spans="5:15" x14ac:dyDescent="0.25">
      <c r="E142" s="47" t="s">
        <v>350</v>
      </c>
      <c r="F142" s="357">
        <f>L18+L55</f>
        <v>32.309099442676334</v>
      </c>
      <c r="G142" s="357">
        <f>M18+M55</f>
        <v>39.282072966058251</v>
      </c>
      <c r="H142" s="357">
        <f>N18+N55</f>
        <v>53.297131365633859</v>
      </c>
      <c r="I142" s="357">
        <f>O18+O55</f>
        <v>71.220211594901428</v>
      </c>
      <c r="J142" s="47" t="s">
        <v>318</v>
      </c>
      <c r="L142" s="209"/>
    </row>
    <row r="143" spans="5:15" x14ac:dyDescent="0.25">
      <c r="E143" s="47" t="s">
        <v>351</v>
      </c>
      <c r="F143" s="98">
        <f>L21+L58</f>
        <v>88343.19836225707</v>
      </c>
      <c r="G143" s="98">
        <f>M21+M58</f>
        <v>125227.06877304314</v>
      </c>
      <c r="H143" s="98">
        <f>N21+N58</f>
        <v>168326.09854428194</v>
      </c>
      <c r="I143" s="98">
        <f>O21+O58</f>
        <v>233568.58073931496</v>
      </c>
      <c r="J143" s="346" t="s">
        <v>355</v>
      </c>
      <c r="L143" s="209"/>
    </row>
    <row r="144" spans="5:15" x14ac:dyDescent="0.25">
      <c r="E144" s="47" t="s">
        <v>353</v>
      </c>
      <c r="F144" s="98"/>
      <c r="G144" s="98"/>
      <c r="H144" s="98">
        <f>H143-G143</f>
        <v>43099.029771238798</v>
      </c>
      <c r="I144" s="98">
        <f>I143-H143</f>
        <v>65242.482195033022</v>
      </c>
      <c r="J144" s="47" t="s">
        <v>356</v>
      </c>
      <c r="L144" s="209"/>
    </row>
    <row r="145" spans="5:23" x14ac:dyDescent="0.25">
      <c r="E145" s="47" t="str">
        <f>E133</f>
        <v>Pickup Truck EVs</v>
      </c>
      <c r="F145" s="98">
        <f>F133</f>
        <v>19.291005564902292</v>
      </c>
      <c r="G145" s="98">
        <f>G133</f>
        <v>58.850861613785824</v>
      </c>
      <c r="H145" s="98">
        <f>H133</f>
        <v>55.624224745015169</v>
      </c>
      <c r="I145" s="98">
        <f>I133</f>
        <v>71.134733396894489</v>
      </c>
      <c r="J145" s="47" t="s">
        <v>357</v>
      </c>
      <c r="L145" s="209"/>
    </row>
    <row r="146" spans="5:23" x14ac:dyDescent="0.25">
      <c r="E146" s="47" t="s">
        <v>350</v>
      </c>
      <c r="F146" s="98">
        <f>L23+L55</f>
        <v>52.159279718960128</v>
      </c>
      <c r="G146" s="98">
        <f>M23+M55</f>
        <v>113.97317869714934</v>
      </c>
      <c r="H146" s="98">
        <f>N23+N55</f>
        <v>176.00541611391614</v>
      </c>
      <c r="I146" s="98">
        <f>O23+O55</f>
        <v>255.33500121613395</v>
      </c>
      <c r="J146" s="47" t="s">
        <v>358</v>
      </c>
      <c r="L146" s="209"/>
    </row>
    <row r="147" spans="5:23" x14ac:dyDescent="0.25">
      <c r="E147" s="47" t="s">
        <v>351</v>
      </c>
      <c r="F147" s="98">
        <f>L26+L63</f>
        <v>102719.18696588402</v>
      </c>
      <c r="G147" s="98">
        <f>M26+M63</f>
        <v>337144.78850194835</v>
      </c>
      <c r="H147" s="98">
        <f>N26+N63</f>
        <v>680570.04757835134</v>
      </c>
      <c r="I147" s="98">
        <f>O26+O63</f>
        <v>1060846.9220040804</v>
      </c>
      <c r="J147" s="47" t="s">
        <v>359</v>
      </c>
      <c r="L147" s="209"/>
    </row>
    <row r="148" spans="5:23" x14ac:dyDescent="0.25">
      <c r="E148" s="47" t="s">
        <v>353</v>
      </c>
      <c r="G148" s="98"/>
      <c r="H148" s="98">
        <f>H147-G147</f>
        <v>343425.25907640299</v>
      </c>
      <c r="I148" s="98">
        <f>I147-H147</f>
        <v>380276.87442572904</v>
      </c>
      <c r="J148" s="47" t="s">
        <v>360</v>
      </c>
    </row>
    <row r="149" spans="5:23" x14ac:dyDescent="0.25">
      <c r="L149" s="337"/>
    </row>
    <row r="150" spans="5:23" x14ac:dyDescent="0.25">
      <c r="I150" s="483">
        <v>2025</v>
      </c>
      <c r="J150" s="483"/>
      <c r="K150" s="483"/>
      <c r="L150" s="483">
        <v>2026</v>
      </c>
      <c r="M150" s="483"/>
      <c r="N150" s="483"/>
    </row>
    <row r="151" spans="5:23" x14ac:dyDescent="0.25">
      <c r="F151" s="198" t="str">
        <f t="shared" ref="F151:H156" si="103">X89</f>
        <v>Passenger/SUV</v>
      </c>
      <c r="G151" s="198" t="str">
        <f t="shared" si="103"/>
        <v>Van</v>
      </c>
      <c r="H151" s="198" t="str">
        <f t="shared" si="103"/>
        <v>Pick-up Truck</v>
      </c>
      <c r="I151" s="341" t="str">
        <f t="shared" ref="I151:N151" si="104">F151</f>
        <v>Passenger/SUV</v>
      </c>
      <c r="J151" s="341" t="str">
        <f t="shared" si="104"/>
        <v>Van</v>
      </c>
      <c r="K151" s="341" t="str">
        <f t="shared" si="104"/>
        <v>Pick-up Truck</v>
      </c>
      <c r="L151" s="341" t="str">
        <f t="shared" si="104"/>
        <v>Passenger/SUV</v>
      </c>
      <c r="M151" s="341" t="str">
        <f t="shared" si="104"/>
        <v>Van</v>
      </c>
      <c r="N151" s="341" t="str">
        <f t="shared" si="104"/>
        <v>Pick-up Truck</v>
      </c>
    </row>
    <row r="152" spans="5:23" x14ac:dyDescent="0.25">
      <c r="E152" s="47" t="str">
        <f>W90</f>
        <v>Residential</v>
      </c>
      <c r="F152" s="402">
        <f t="shared" si="103"/>
        <v>0.8</v>
      </c>
      <c r="G152" s="402">
        <f t="shared" si="103"/>
        <v>0.25</v>
      </c>
      <c r="H152" s="402">
        <f t="shared" si="103"/>
        <v>0.25</v>
      </c>
      <c r="I152" s="403">
        <f>$F152*I$157</f>
        <v>1607898.7398308159</v>
      </c>
      <c r="J152" s="403">
        <f>$G152*J$157</f>
        <v>10774.7574428097</v>
      </c>
      <c r="K152" s="403">
        <f>$H152*K$157</f>
        <v>85856.314769100747</v>
      </c>
      <c r="L152" s="403">
        <f>$F152*L$157</f>
        <v>2077577.8584984653</v>
      </c>
      <c r="M152" s="403">
        <f>$G152*M$157</f>
        <v>16310.620548758256</v>
      </c>
      <c r="N152" s="403">
        <f>$H152*N$157</f>
        <v>95069.21860643226</v>
      </c>
      <c r="R152" s="209"/>
      <c r="S152" s="209"/>
      <c r="T152" s="209"/>
      <c r="U152" s="209"/>
      <c r="V152" s="209"/>
      <c r="W152" s="209"/>
    </row>
    <row r="153" spans="5:23" x14ac:dyDescent="0.25">
      <c r="E153" s="47" t="str">
        <f>W91</f>
        <v>GS&lt;50</v>
      </c>
      <c r="F153" s="402">
        <f t="shared" si="103"/>
        <v>0.1</v>
      </c>
      <c r="G153" s="402">
        <f t="shared" si="103"/>
        <v>0.4</v>
      </c>
      <c r="H153" s="402">
        <f t="shared" si="103"/>
        <v>0.3</v>
      </c>
      <c r="I153" s="403">
        <f>$F153*I$157</f>
        <v>200987.34247885199</v>
      </c>
      <c r="J153" s="403">
        <f>$G153*J$157</f>
        <v>17239.611908495521</v>
      </c>
      <c r="K153" s="403">
        <f>$H153*K$157</f>
        <v>103027.57772292089</v>
      </c>
      <c r="L153" s="403">
        <f>$F153*L$157</f>
        <v>259697.23231230816</v>
      </c>
      <c r="M153" s="403">
        <f>$G153*M$157</f>
        <v>26096.99287801321</v>
      </c>
      <c r="N153" s="403">
        <f>$H153*N$157</f>
        <v>114083.06232771871</v>
      </c>
      <c r="R153" s="209"/>
      <c r="S153" s="209"/>
      <c r="T153" s="209"/>
      <c r="U153" s="209"/>
      <c r="V153" s="209"/>
      <c r="W153" s="209"/>
    </row>
    <row r="154" spans="5:23" x14ac:dyDescent="0.25">
      <c r="E154" s="47" t="str">
        <f>W92</f>
        <v>GS 50-999</v>
      </c>
      <c r="F154" s="402">
        <f t="shared" si="103"/>
        <v>0.05</v>
      </c>
      <c r="G154" s="402">
        <f t="shared" si="103"/>
        <v>0.25</v>
      </c>
      <c r="H154" s="402">
        <f t="shared" si="103"/>
        <v>0.3</v>
      </c>
      <c r="I154" s="403">
        <f>$F154*I$157</f>
        <v>100493.671239426</v>
      </c>
      <c r="J154" s="403">
        <f>$G154*J$157</f>
        <v>10774.7574428097</v>
      </c>
      <c r="K154" s="403">
        <f>$H154*K$157</f>
        <v>103027.57772292089</v>
      </c>
      <c r="L154" s="403">
        <f>$F154*L$157</f>
        <v>129848.61615615408</v>
      </c>
      <c r="M154" s="403">
        <f>$G154*M$157</f>
        <v>16310.620548758256</v>
      </c>
      <c r="N154" s="403">
        <f>$H154*N$157</f>
        <v>114083.06232771871</v>
      </c>
      <c r="R154" s="209"/>
      <c r="S154" s="209"/>
      <c r="T154" s="209"/>
      <c r="U154" s="209"/>
      <c r="V154" s="209"/>
      <c r="W154" s="209"/>
    </row>
    <row r="155" spans="5:23" x14ac:dyDescent="0.25">
      <c r="E155" s="47" t="str">
        <f>W93</f>
        <v>GS 1,000-4,999</v>
      </c>
      <c r="F155" s="402">
        <f t="shared" si="103"/>
        <v>0.05</v>
      </c>
      <c r="G155" s="402">
        <f t="shared" si="103"/>
        <v>0.1</v>
      </c>
      <c r="H155" s="402">
        <f t="shared" si="103"/>
        <v>0.1</v>
      </c>
      <c r="I155" s="403">
        <f>$F155*I$157</f>
        <v>100493.671239426</v>
      </c>
      <c r="J155" s="403">
        <f>$G155*J$157</f>
        <v>4309.9029771238802</v>
      </c>
      <c r="K155" s="403">
        <f>$H155*K$157</f>
        <v>34342.525907640302</v>
      </c>
      <c r="L155" s="403">
        <f>$F155*L$157</f>
        <v>129848.61615615408</v>
      </c>
      <c r="M155" s="403">
        <f>$G155*M$157</f>
        <v>6524.2482195033026</v>
      </c>
      <c r="N155" s="403">
        <f>$H155*N$157</f>
        <v>38027.687442572904</v>
      </c>
      <c r="R155" s="209"/>
      <c r="S155" s="209"/>
      <c r="T155" s="209"/>
      <c r="U155" s="209"/>
      <c r="V155" s="209"/>
      <c r="W155" s="209"/>
    </row>
    <row r="156" spans="5:23" x14ac:dyDescent="0.25">
      <c r="E156" s="47" t="str">
        <f>W94</f>
        <v>Large Use</v>
      </c>
      <c r="F156" s="402">
        <f t="shared" si="103"/>
        <v>0</v>
      </c>
      <c r="G156" s="402">
        <f t="shared" si="103"/>
        <v>0</v>
      </c>
      <c r="H156" s="402">
        <f t="shared" si="103"/>
        <v>0.05</v>
      </c>
      <c r="I156" s="403">
        <f>$F156*I$157</f>
        <v>0</v>
      </c>
      <c r="J156" s="403">
        <f>$G156*J$157</f>
        <v>0</v>
      </c>
      <c r="K156" s="403">
        <f>$H156*K$157</f>
        <v>17171.262953820151</v>
      </c>
      <c r="L156" s="403">
        <f>$F156*L$157</f>
        <v>0</v>
      </c>
      <c r="M156" s="403">
        <f>$G156*M$157</f>
        <v>0</v>
      </c>
      <c r="N156" s="403">
        <f>$H156*N$157</f>
        <v>19013.843721286452</v>
      </c>
      <c r="R156" s="209"/>
      <c r="S156" s="209"/>
      <c r="T156" s="209"/>
      <c r="U156" s="209"/>
      <c r="V156" s="209"/>
      <c r="W156" s="209"/>
    </row>
    <row r="157" spans="5:23" x14ac:dyDescent="0.25">
      <c r="I157" s="395">
        <f>H140</f>
        <v>2009873.4247885197</v>
      </c>
      <c r="J157" s="395">
        <f>H144</f>
        <v>43099.029771238798</v>
      </c>
      <c r="K157" s="395">
        <f>H148</f>
        <v>343425.25907640299</v>
      </c>
      <c r="L157" s="395">
        <f>I140</f>
        <v>2596972.3231230816</v>
      </c>
      <c r="M157" s="395">
        <f>I144</f>
        <v>65242.482195033022</v>
      </c>
      <c r="N157" s="395">
        <f>I148</f>
        <v>380276.87442572904</v>
      </c>
      <c r="R157" s="98"/>
      <c r="S157" s="98"/>
      <c r="T157" s="98"/>
      <c r="U157" s="98"/>
      <c r="V157" s="98"/>
      <c r="W157" s="98"/>
    </row>
    <row r="160" spans="5:23" x14ac:dyDescent="0.25">
      <c r="F160" s="47" t="s">
        <v>361</v>
      </c>
      <c r="G160" s="47" t="s">
        <v>362</v>
      </c>
    </row>
    <row r="161" spans="5:10" x14ac:dyDescent="0.25">
      <c r="E161" s="47" t="str">
        <f>E152</f>
        <v>Residential</v>
      </c>
      <c r="F161" s="209">
        <f>SUM(I152:K152)</f>
        <v>1704529.8120427262</v>
      </c>
      <c r="G161" s="209">
        <f>SUM(L152:N152)</f>
        <v>2188957.6976536559</v>
      </c>
      <c r="I161" s="209"/>
      <c r="J161" s="209"/>
    </row>
    <row r="162" spans="5:10" x14ac:dyDescent="0.25">
      <c r="E162" s="47" t="str">
        <f>E153</f>
        <v>GS&lt;50</v>
      </c>
      <c r="F162" s="209">
        <f>SUM(I153:K153)</f>
        <v>321254.53211026837</v>
      </c>
      <c r="G162" s="209">
        <f>SUM(L153:N153)</f>
        <v>399877.2875180401</v>
      </c>
      <c r="I162" s="209"/>
      <c r="J162" s="209"/>
    </row>
    <row r="163" spans="5:10" x14ac:dyDescent="0.25">
      <c r="E163" s="47" t="str">
        <f>E154</f>
        <v>GS 50-999</v>
      </c>
      <c r="F163" s="209">
        <f>SUM(I154:K154)</f>
        <v>214296.00640515657</v>
      </c>
      <c r="G163" s="209">
        <f>SUM(L154:N154)</f>
        <v>260242.29903263104</v>
      </c>
      <c r="I163" s="209"/>
      <c r="J163" s="209"/>
    </row>
    <row r="164" spans="5:10" x14ac:dyDescent="0.25">
      <c r="E164" s="47" t="str">
        <f>E155</f>
        <v>GS 1,000-4,999</v>
      </c>
      <c r="F164" s="209">
        <f>SUM(I155:K155)</f>
        <v>139146.10012419018</v>
      </c>
      <c r="G164" s="209">
        <f>SUM(L155:N155)</f>
        <v>174400.55181823028</v>
      </c>
      <c r="I164" s="209"/>
      <c r="J164" s="209"/>
    </row>
    <row r="165" spans="5:10" x14ac:dyDescent="0.25">
      <c r="E165" s="47" t="str">
        <f>E156</f>
        <v>Large Use</v>
      </c>
      <c r="F165" s="209">
        <f>SUM(I156:K156)</f>
        <v>17171.262953820151</v>
      </c>
      <c r="G165" s="209">
        <f>SUM(L156:N156)</f>
        <v>19013.843721286452</v>
      </c>
      <c r="H165" s="47" t="s">
        <v>363</v>
      </c>
      <c r="I165" s="209"/>
      <c r="J165" s="209"/>
    </row>
    <row r="166" spans="5:10" x14ac:dyDescent="0.25">
      <c r="E166" s="47" t="s">
        <v>326</v>
      </c>
      <c r="F166" s="336">
        <f>SUM(F161:F165)</f>
        <v>2396397.7136361613</v>
      </c>
      <c r="G166" s="336">
        <f>SUM(G161:G165)</f>
        <v>3042491.6797438436</v>
      </c>
      <c r="I166" s="336"/>
      <c r="J166" s="336"/>
    </row>
    <row r="168" spans="5:10" x14ac:dyDescent="0.25">
      <c r="F168" s="47" t="s">
        <v>364</v>
      </c>
      <c r="G168" s="47" t="s">
        <v>365</v>
      </c>
    </row>
    <row r="169" spans="5:10" x14ac:dyDescent="0.25">
      <c r="E169" s="47" t="str">
        <f t="shared" ref="E169:E174" si="105">E161</f>
        <v>Residential</v>
      </c>
      <c r="F169" s="209">
        <f>F161/2</f>
        <v>852264.9060213631</v>
      </c>
      <c r="G169" s="209">
        <f>SUM($F161:F161)+G161/2</f>
        <v>2799008.6608695542</v>
      </c>
      <c r="I169" s="209"/>
      <c r="J169" s="209"/>
    </row>
    <row r="170" spans="5:10" x14ac:dyDescent="0.25">
      <c r="E170" s="47" t="str">
        <f t="shared" si="105"/>
        <v>GS&lt;50</v>
      </c>
      <c r="F170" s="209">
        <f>F162/2</f>
        <v>160627.26605513418</v>
      </c>
      <c r="G170" s="209">
        <f>SUM($F162:F162)+G162/2</f>
        <v>521193.17586928839</v>
      </c>
      <c r="I170" s="209"/>
      <c r="J170" s="209"/>
    </row>
    <row r="171" spans="5:10" x14ac:dyDescent="0.25">
      <c r="E171" s="47" t="str">
        <f t="shared" si="105"/>
        <v>GS 50-999</v>
      </c>
      <c r="F171" s="209">
        <f>F163/2</f>
        <v>107148.00320257829</v>
      </c>
      <c r="G171" s="209">
        <f>SUM($F163:F163)+G163/2</f>
        <v>344417.15592147212</v>
      </c>
      <c r="I171" s="209"/>
      <c r="J171" s="209"/>
    </row>
    <row r="172" spans="5:10" x14ac:dyDescent="0.25">
      <c r="E172" s="47" t="str">
        <f t="shared" si="105"/>
        <v>GS 1,000-4,999</v>
      </c>
      <c r="F172" s="209">
        <f>F164/2</f>
        <v>69573.050062095092</v>
      </c>
      <c r="G172" s="209">
        <f>SUM($F164:F164)+G164/2</f>
        <v>226346.37603330531</v>
      </c>
      <c r="I172" s="209"/>
      <c r="J172" s="209"/>
    </row>
    <row r="173" spans="5:10" x14ac:dyDescent="0.25">
      <c r="E173" s="47" t="str">
        <f t="shared" si="105"/>
        <v>Large Use</v>
      </c>
      <c r="F173" s="209">
        <f>F165/2</f>
        <v>8585.6314769100754</v>
      </c>
      <c r="G173" s="209">
        <f>SUM($F165:F165)+G165/2</f>
        <v>26678.184814463377</v>
      </c>
      <c r="I173" s="209"/>
      <c r="J173" s="209"/>
    </row>
    <row r="174" spans="5:10" x14ac:dyDescent="0.25">
      <c r="E174" s="47" t="str">
        <f t="shared" si="105"/>
        <v>Total</v>
      </c>
      <c r="F174" s="336">
        <f>SUM(F169:F173)</f>
        <v>1198198.8568180806</v>
      </c>
      <c r="G174" s="336">
        <f>SUM(G169:G173)</f>
        <v>3917643.5535080833</v>
      </c>
      <c r="I174" s="336"/>
      <c r="J174" s="336"/>
    </row>
  </sheetData>
  <mergeCells count="14">
    <mergeCell ref="C59:C63"/>
    <mergeCell ref="B7:B43"/>
    <mergeCell ref="B44:B80"/>
    <mergeCell ref="L150:N150"/>
    <mergeCell ref="C22:C26"/>
    <mergeCell ref="E120:M120"/>
    <mergeCell ref="C9:C10"/>
    <mergeCell ref="C12:C16"/>
    <mergeCell ref="C17:C21"/>
    <mergeCell ref="I150:K150"/>
    <mergeCell ref="C46:C47"/>
    <mergeCell ref="C49:C53"/>
    <mergeCell ref="C54:C58"/>
    <mergeCell ref="C90:C94"/>
  </mergeCells>
  <phoneticPr fontId="33" type="noConversion"/>
  <hyperlinks>
    <hyperlink ref="F3" r:id="rId1" display="https://council.cleanairpartnership.org/wp-content/uploads/2021/11/2-21-050-EV-Charging-Performance-Requirements-in-GTHA.pdf"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theme="3" tint="0.499984740745262"/>
  </sheetPr>
  <dimension ref="B1:W62"/>
  <sheetViews>
    <sheetView workbookViewId="0">
      <selection activeCell="G45" sqref="G45"/>
    </sheetView>
  </sheetViews>
  <sheetFormatPr defaultColWidth="8.77734375" defaultRowHeight="13.8" x14ac:dyDescent="0.25"/>
  <cols>
    <col min="1" max="1" width="8.77734375" style="47"/>
    <col min="2" max="3" width="27" style="47" customWidth="1"/>
    <col min="4" max="4" width="13.77734375" style="47" bestFit="1" customWidth="1"/>
    <col min="5" max="5" width="19.109375" style="47" customWidth="1"/>
    <col min="6" max="6" width="13.33203125" style="47" customWidth="1"/>
    <col min="7" max="7" width="14.77734375" style="47" bestFit="1" customWidth="1"/>
    <col min="8" max="8" width="13.6640625" style="47" customWidth="1"/>
    <col min="9" max="9" width="14.77734375" style="47" customWidth="1"/>
    <col min="10" max="10" width="14.6640625" style="47" bestFit="1" customWidth="1"/>
    <col min="11" max="11" width="13.109375" style="47" customWidth="1"/>
    <col min="12" max="14" width="8.77734375" style="47"/>
    <col min="15" max="15" width="15.109375" style="47" customWidth="1"/>
    <col min="16" max="17" width="11.6640625" style="47" customWidth="1"/>
    <col min="18" max="18" width="13.6640625" style="47" customWidth="1"/>
    <col min="19" max="20" width="8.77734375" style="47"/>
    <col min="21" max="21" width="13.6640625" style="47" customWidth="1"/>
    <col min="22" max="22" width="10.44140625" style="47" bestFit="1" customWidth="1"/>
    <col min="23" max="16384" width="8.77734375" style="47"/>
  </cols>
  <sheetData>
    <row r="1" spans="2:23" x14ac:dyDescent="0.25">
      <c r="F1" s="198" t="s">
        <v>189</v>
      </c>
      <c r="G1" s="198" t="s">
        <v>302</v>
      </c>
      <c r="T1" s="47" t="s">
        <v>189</v>
      </c>
      <c r="V1" s="47" t="s">
        <v>366</v>
      </c>
    </row>
    <row r="2" spans="2:23" x14ac:dyDescent="0.25">
      <c r="E2" s="47" t="s">
        <v>367</v>
      </c>
      <c r="F2" s="315">
        <f>U15</f>
        <v>1788</v>
      </c>
      <c r="G2" s="98">
        <f>W15</f>
        <v>6955</v>
      </c>
      <c r="H2" s="47" t="s">
        <v>368</v>
      </c>
      <c r="I2" s="47" t="s">
        <v>369</v>
      </c>
      <c r="O2" s="471" t="s">
        <v>370</v>
      </c>
      <c r="P2" s="471"/>
      <c r="Q2" s="471"/>
      <c r="T2" s="316" t="s">
        <v>371</v>
      </c>
      <c r="U2" s="47" t="s">
        <v>372</v>
      </c>
      <c r="V2" s="316" t="s">
        <v>371</v>
      </c>
      <c r="W2" s="47" t="s">
        <v>372</v>
      </c>
    </row>
    <row r="3" spans="2:23" x14ac:dyDescent="0.25">
      <c r="E3" s="47" t="s">
        <v>373</v>
      </c>
      <c r="F3" s="47">
        <v>3.4299999999999997E-2</v>
      </c>
      <c r="G3" s="47">
        <f>F3</f>
        <v>3.4299999999999997E-2</v>
      </c>
      <c r="H3" s="47" t="s">
        <v>374</v>
      </c>
      <c r="I3" s="47" t="s">
        <v>375</v>
      </c>
      <c r="O3" s="47" t="s">
        <v>169</v>
      </c>
      <c r="P3" s="317">
        <f ca="1">Weather!AP34</f>
        <v>697.33418478260876</v>
      </c>
      <c r="Q3" s="318">
        <f t="shared" ref="Q3:Q14" ca="1" si="0">P3/$P$15</f>
        <v>0.18808865274214304</v>
      </c>
      <c r="R3" s="488">
        <f ca="1">SUM(Q3:Q9)</f>
        <v>0.64853066116518754</v>
      </c>
      <c r="T3" s="319">
        <v>419</v>
      </c>
      <c r="U3" s="98">
        <f t="shared" ref="U3:U14" si="1">MAX(T3-$T$9,0)</f>
        <v>368</v>
      </c>
      <c r="V3" s="315">
        <v>1640</v>
      </c>
      <c r="W3" s="98">
        <f t="shared" ref="W3:W14" si="2">MAX(V3-$V$9,0)</f>
        <v>1491</v>
      </c>
    </row>
    <row r="4" spans="2:23" x14ac:dyDescent="0.25">
      <c r="E4" s="47" t="s">
        <v>376</v>
      </c>
      <c r="F4" s="47">
        <v>277</v>
      </c>
      <c r="G4" s="47">
        <f>F4</f>
        <v>277</v>
      </c>
      <c r="H4" s="47" t="s">
        <v>377</v>
      </c>
      <c r="I4" s="47" t="s">
        <v>375</v>
      </c>
      <c r="O4" s="47" t="s">
        <v>171</v>
      </c>
      <c r="P4" s="317">
        <f ca="1">Weather!AP35</f>
        <v>624.25501811594188</v>
      </c>
      <c r="Q4" s="318">
        <f t="shared" ca="1" si="0"/>
        <v>0.16837735462739914</v>
      </c>
      <c r="R4" s="488"/>
      <c r="T4" s="319">
        <v>404</v>
      </c>
      <c r="U4" s="98">
        <f t="shared" si="1"/>
        <v>353</v>
      </c>
      <c r="V4" s="315">
        <v>1463</v>
      </c>
      <c r="W4" s="98">
        <f t="shared" si="2"/>
        <v>1314</v>
      </c>
    </row>
    <row r="5" spans="2:23" x14ac:dyDescent="0.25">
      <c r="E5" s="47" t="s">
        <v>378</v>
      </c>
      <c r="F5" s="47">
        <f>F3*F4</f>
        <v>9.5010999999999992</v>
      </c>
      <c r="G5" s="47">
        <f>G3*G4</f>
        <v>9.5010999999999992</v>
      </c>
      <c r="H5" s="47" t="s">
        <v>379</v>
      </c>
      <c r="O5" s="47" t="s">
        <v>172</v>
      </c>
      <c r="P5" s="317">
        <f ca="1">Weather!AP36</f>
        <v>546.13298913043491</v>
      </c>
      <c r="Q5" s="318">
        <f t="shared" ca="1" si="0"/>
        <v>0.14730586910149249</v>
      </c>
      <c r="R5" s="488"/>
      <c r="T5" s="319">
        <v>354</v>
      </c>
      <c r="U5" s="98">
        <f t="shared" si="1"/>
        <v>303</v>
      </c>
      <c r="V5" s="315">
        <v>1262</v>
      </c>
      <c r="W5" s="98">
        <f t="shared" si="2"/>
        <v>1113</v>
      </c>
    </row>
    <row r="6" spans="2:23" x14ac:dyDescent="0.25">
      <c r="E6" s="47" t="s">
        <v>380</v>
      </c>
      <c r="F6" s="122">
        <f>F2*F5</f>
        <v>16987.966799999998</v>
      </c>
      <c r="G6" s="122">
        <f>G2*G5</f>
        <v>66080.150499999989</v>
      </c>
      <c r="H6" s="47" t="s">
        <v>381</v>
      </c>
      <c r="J6" s="98"/>
      <c r="O6" s="47" t="s">
        <v>173</v>
      </c>
      <c r="P6" s="317">
        <f ca="1">Weather!AP37</f>
        <v>352.41399621212122</v>
      </c>
      <c r="Q6" s="318">
        <f t="shared" ca="1" si="0"/>
        <v>9.5054961023711596E-2</v>
      </c>
      <c r="R6" s="488"/>
      <c r="T6" s="319">
        <v>252</v>
      </c>
      <c r="U6" s="98">
        <f t="shared" si="1"/>
        <v>201</v>
      </c>
      <c r="V6" s="315">
        <v>679</v>
      </c>
      <c r="W6" s="98">
        <f t="shared" si="2"/>
        <v>530</v>
      </c>
    </row>
    <row r="7" spans="2:23" x14ac:dyDescent="0.25">
      <c r="E7" s="47" t="s">
        <v>382</v>
      </c>
      <c r="F7" s="47">
        <v>2.5499999999999998</v>
      </c>
      <c r="G7" s="47">
        <v>2.5499999999999998</v>
      </c>
      <c r="H7" s="47" t="s">
        <v>383</v>
      </c>
      <c r="I7" s="320" t="s">
        <v>384</v>
      </c>
      <c r="O7" s="47" t="s">
        <v>69</v>
      </c>
      <c r="P7" s="317">
        <f ca="1">Weather!AP38</f>
        <v>150.136897859768</v>
      </c>
      <c r="Q7" s="318">
        <f t="shared" ca="1" si="0"/>
        <v>4.0495715628987718E-2</v>
      </c>
      <c r="R7" s="488"/>
      <c r="T7" s="319">
        <v>158</v>
      </c>
      <c r="U7" s="98">
        <f t="shared" si="1"/>
        <v>107</v>
      </c>
      <c r="V7" s="315">
        <v>331</v>
      </c>
      <c r="W7" s="98">
        <f t="shared" si="2"/>
        <v>182</v>
      </c>
    </row>
    <row r="8" spans="2:23" x14ac:dyDescent="0.25">
      <c r="E8" s="47" t="s">
        <v>385</v>
      </c>
      <c r="F8" s="209">
        <f>F6/F7</f>
        <v>6661.947764705882</v>
      </c>
      <c r="G8" s="209">
        <f>G6/G7</f>
        <v>25913.784509803918</v>
      </c>
      <c r="H8" s="47" t="s">
        <v>381</v>
      </c>
      <c r="O8" s="47" t="s">
        <v>142</v>
      </c>
      <c r="P8" s="317">
        <f ca="1">Weather!AP39</f>
        <v>32.520923826173821</v>
      </c>
      <c r="Q8" s="318">
        <f t="shared" ca="1" si="0"/>
        <v>8.7717150282855955E-3</v>
      </c>
      <c r="R8" s="488"/>
      <c r="T8" s="319">
        <v>69</v>
      </c>
      <c r="U8" s="98">
        <f t="shared" si="1"/>
        <v>18</v>
      </c>
      <c r="V8" s="315">
        <v>82</v>
      </c>
      <c r="W8" s="98">
        <f t="shared" si="2"/>
        <v>0</v>
      </c>
    </row>
    <row r="9" spans="2:23" x14ac:dyDescent="0.25">
      <c r="O9" s="47" t="s">
        <v>143</v>
      </c>
      <c r="P9" s="317">
        <f ca="1">Weather!AP40</f>
        <v>1.6179166666666653</v>
      </c>
      <c r="Q9" s="318">
        <f t="shared" ca="1" si="0"/>
        <v>4.3639301316808385E-4</v>
      </c>
      <c r="R9" s="488"/>
      <c r="T9" s="319">
        <v>51</v>
      </c>
      <c r="U9" s="98">
        <f t="shared" si="1"/>
        <v>0</v>
      </c>
      <c r="V9" s="315">
        <v>149</v>
      </c>
      <c r="W9" s="98">
        <f t="shared" si="2"/>
        <v>0</v>
      </c>
    </row>
    <row r="10" spans="2:23" x14ac:dyDescent="0.25">
      <c r="O10" s="47" t="s">
        <v>144</v>
      </c>
      <c r="P10" s="317">
        <f ca="1">Weather!AP41</f>
        <v>5.6499999999999977</v>
      </c>
      <c r="Q10" s="318">
        <f t="shared" ca="1" si="0"/>
        <v>1.5239477874218954E-3</v>
      </c>
      <c r="R10" s="488">
        <f ca="1">SUM(Q10:Q14)</f>
        <v>0.35146933883481224</v>
      </c>
      <c r="T10" s="319">
        <v>54</v>
      </c>
      <c r="U10" s="98">
        <f t="shared" si="1"/>
        <v>3</v>
      </c>
      <c r="V10" s="315">
        <v>166</v>
      </c>
      <c r="W10" s="98">
        <f t="shared" si="2"/>
        <v>17</v>
      </c>
    </row>
    <row r="11" spans="2:23" x14ac:dyDescent="0.25">
      <c r="O11" s="47" t="s">
        <v>174</v>
      </c>
      <c r="P11" s="317">
        <f ca="1">Weather!AP42</f>
        <v>54.959440993788824</v>
      </c>
      <c r="Q11" s="318">
        <f t="shared" ca="1" si="0"/>
        <v>1.482395017706703E-2</v>
      </c>
      <c r="R11" s="488"/>
      <c r="T11" s="319">
        <v>58</v>
      </c>
      <c r="U11" s="98">
        <f t="shared" si="1"/>
        <v>7</v>
      </c>
      <c r="V11" s="315">
        <v>193</v>
      </c>
      <c r="W11" s="98">
        <f t="shared" si="2"/>
        <v>44</v>
      </c>
    </row>
    <row r="12" spans="2:23" x14ac:dyDescent="0.25">
      <c r="O12" s="47" t="s">
        <v>175</v>
      </c>
      <c r="P12" s="317">
        <f ca="1">Weather!AP43</f>
        <v>237.89681159420289</v>
      </c>
      <c r="Q12" s="318">
        <f t="shared" ca="1" si="0"/>
        <v>6.4166782241364448E-2</v>
      </c>
      <c r="R12" s="488"/>
      <c r="T12" s="319">
        <v>91</v>
      </c>
      <c r="U12" s="98">
        <f t="shared" si="1"/>
        <v>40</v>
      </c>
      <c r="V12" s="315">
        <v>407</v>
      </c>
      <c r="W12" s="98">
        <f t="shared" si="2"/>
        <v>258</v>
      </c>
    </row>
    <row r="13" spans="2:23" x14ac:dyDescent="0.25">
      <c r="O13" s="47" t="s">
        <v>176</v>
      </c>
      <c r="P13" s="317">
        <f ca="1">Weather!AP44</f>
        <v>426.62991389045737</v>
      </c>
      <c r="Q13" s="318">
        <f t="shared" ca="1" si="0"/>
        <v>0.11507286961439937</v>
      </c>
      <c r="R13" s="488"/>
      <c r="T13" s="319">
        <v>174</v>
      </c>
      <c r="U13" s="98">
        <f t="shared" si="1"/>
        <v>123</v>
      </c>
      <c r="V13" s="315">
        <v>919</v>
      </c>
      <c r="W13" s="98">
        <f t="shared" si="2"/>
        <v>770</v>
      </c>
    </row>
    <row r="14" spans="2:23" x14ac:dyDescent="0.25">
      <c r="O14" s="47" t="s">
        <v>177</v>
      </c>
      <c r="P14" s="317">
        <f ca="1">Weather!AP45</f>
        <v>577.92800724637686</v>
      </c>
      <c r="Q14" s="318">
        <f t="shared" ca="1" si="0"/>
        <v>0.15588178901455954</v>
      </c>
      <c r="R14" s="488"/>
      <c r="T14" s="319">
        <v>316</v>
      </c>
      <c r="U14" s="98">
        <f t="shared" si="1"/>
        <v>265</v>
      </c>
      <c r="V14" s="315">
        <v>1385</v>
      </c>
      <c r="W14" s="98">
        <f t="shared" si="2"/>
        <v>1236</v>
      </c>
    </row>
    <row r="15" spans="2:23" x14ac:dyDescent="0.25">
      <c r="O15" s="47" t="s">
        <v>326</v>
      </c>
      <c r="P15" s="321">
        <f ca="1">SUM(P3:P14)</f>
        <v>3707.4761003185413</v>
      </c>
      <c r="Q15" s="322">
        <f ca="1">SUM(Q3:Q14)</f>
        <v>0.99999999999999978</v>
      </c>
      <c r="R15" s="323"/>
      <c r="T15" s="315">
        <f>SUM(T3:T14)</f>
        <v>2400</v>
      </c>
      <c r="U15" s="315">
        <f>SUM(U3:U14)</f>
        <v>1788</v>
      </c>
      <c r="V15" s="315">
        <f>SUM(V3:V14)</f>
        <v>8676</v>
      </c>
      <c r="W15" s="315">
        <f>SUM(W3:W14)</f>
        <v>6955</v>
      </c>
    </row>
    <row r="16" spans="2:23" ht="17.399999999999999" x14ac:dyDescent="0.3">
      <c r="B16" s="324"/>
      <c r="C16" s="324"/>
      <c r="D16" s="324"/>
      <c r="E16" s="324"/>
      <c r="F16" s="324"/>
      <c r="G16" s="324"/>
      <c r="H16" s="324"/>
      <c r="I16" s="324"/>
      <c r="J16" s="324"/>
      <c r="R16" s="323"/>
    </row>
    <row r="17" spans="2:18" x14ac:dyDescent="0.25">
      <c r="B17" s="325" t="s">
        <v>189</v>
      </c>
      <c r="C17" s="325"/>
      <c r="D17" s="47">
        <v>2022</v>
      </c>
      <c r="E17" s="47">
        <v>2023</v>
      </c>
      <c r="F17" s="47">
        <v>2024</v>
      </c>
      <c r="G17" s="47">
        <v>2025</v>
      </c>
      <c r="H17" s="47">
        <v>2026</v>
      </c>
      <c r="R17" s="323"/>
    </row>
    <row r="18" spans="2:18" x14ac:dyDescent="0.25">
      <c r="B18" s="47" t="s">
        <v>386</v>
      </c>
      <c r="C18" s="121">
        <f>'Customer Count'!C10</f>
        <v>55127.166666666664</v>
      </c>
      <c r="D18" s="315">
        <f>'Customer Count'!C11</f>
        <v>55761.75</v>
      </c>
      <c r="E18" s="315">
        <f>'Customer Count'!C12</f>
        <v>56980.916666666664</v>
      </c>
      <c r="F18" s="315">
        <f>'Customer Count'!C13</f>
        <v>57937</v>
      </c>
      <c r="G18" s="315">
        <f>'Customer Count'!C14</f>
        <v>58720.823454792175</v>
      </c>
      <c r="H18" s="315">
        <f>'Customer Count'!C15</f>
        <v>59515.251172978766</v>
      </c>
      <c r="I18" s="315"/>
      <c r="J18" s="315"/>
    </row>
    <row r="19" spans="2:18" x14ac:dyDescent="0.25">
      <c r="B19" s="47" t="s">
        <v>387</v>
      </c>
      <c r="D19" s="315">
        <f>D18-C18</f>
        <v>634.58333333333576</v>
      </c>
      <c r="E19" s="315">
        <f>E18-D18</f>
        <v>1219.1666666666642</v>
      </c>
      <c r="F19" s="315">
        <f>F18-E18</f>
        <v>956.08333333333576</v>
      </c>
      <c r="G19" s="315">
        <f>G18-F18</f>
        <v>783.82345479217474</v>
      </c>
      <c r="H19" s="315">
        <f>H18-G18</f>
        <v>794.42771818659094</v>
      </c>
      <c r="I19" s="315"/>
      <c r="J19" s="315"/>
    </row>
    <row r="20" spans="2:18" x14ac:dyDescent="0.25">
      <c r="B20" s="47" t="s">
        <v>388</v>
      </c>
      <c r="D20" s="326">
        <v>2E-3</v>
      </c>
      <c r="E20" s="57">
        <f>D20</f>
        <v>2E-3</v>
      </c>
      <c r="F20" s="57">
        <f t="shared" ref="F20:H21" si="3">E20</f>
        <v>2E-3</v>
      </c>
      <c r="G20" s="57">
        <f t="shared" si="3"/>
        <v>2E-3</v>
      </c>
      <c r="H20" s="57">
        <f t="shared" si="3"/>
        <v>2E-3</v>
      </c>
      <c r="I20" s="57"/>
      <c r="J20" s="57"/>
    </row>
    <row r="21" spans="2:18" x14ac:dyDescent="0.25">
      <c r="B21" s="47" t="s">
        <v>389</v>
      </c>
      <c r="D21" s="327">
        <v>0.17499999999999999</v>
      </c>
      <c r="E21" s="318">
        <f>D21</f>
        <v>0.17499999999999999</v>
      </c>
      <c r="F21" s="318">
        <f t="shared" si="3"/>
        <v>0.17499999999999999</v>
      </c>
      <c r="G21" s="318">
        <f t="shared" si="3"/>
        <v>0.17499999999999999</v>
      </c>
      <c r="H21" s="318">
        <f t="shared" si="3"/>
        <v>0.17499999999999999</v>
      </c>
      <c r="I21" s="328"/>
      <c r="J21" s="328"/>
    </row>
    <row r="22" spans="2:18" x14ac:dyDescent="0.25">
      <c r="B22" s="47" t="s">
        <v>390</v>
      </c>
      <c r="D22" s="315">
        <f>D20*(D18-D19)</f>
        <v>110.25433333333334</v>
      </c>
      <c r="E22" s="315">
        <f>E20*(E18-E19)</f>
        <v>111.5235</v>
      </c>
      <c r="F22" s="315">
        <f>F20*(F18-F19)</f>
        <v>113.96183333333333</v>
      </c>
      <c r="G22" s="315">
        <f>G20*(G18-G19)</f>
        <v>115.87400000000001</v>
      </c>
      <c r="H22" s="315">
        <f>H20*(H18-H19)</f>
        <v>117.44164690958435</v>
      </c>
      <c r="I22" s="315"/>
      <c r="J22" s="315"/>
    </row>
    <row r="23" spans="2:18" x14ac:dyDescent="0.25">
      <c r="B23" s="47" t="s">
        <v>391</v>
      </c>
      <c r="D23" s="315">
        <f>D21*D19</f>
        <v>111.05208333333375</v>
      </c>
      <c r="E23" s="315">
        <f>E21*E19</f>
        <v>213.35416666666623</v>
      </c>
      <c r="F23" s="315">
        <f>F21*F19</f>
        <v>167.31458333333376</v>
      </c>
      <c r="G23" s="315">
        <f>G21*G19</f>
        <v>137.16910458863057</v>
      </c>
      <c r="H23" s="315">
        <f>H21*H19</f>
        <v>139.02485068265341</v>
      </c>
      <c r="I23" s="315"/>
      <c r="J23" s="315"/>
    </row>
    <row r="24" spans="2:18" x14ac:dyDescent="0.25">
      <c r="B24" s="47" t="s">
        <v>392</v>
      </c>
      <c r="D24" s="315">
        <f>D22+D23</f>
        <v>221.30641666666708</v>
      </c>
      <c r="E24" s="315">
        <f>E22+E23</f>
        <v>324.87766666666624</v>
      </c>
      <c r="F24" s="315">
        <f>F22+F23</f>
        <v>281.2764166666671</v>
      </c>
      <c r="G24" s="315">
        <f>G22+G23</f>
        <v>253.04310458863057</v>
      </c>
      <c r="H24" s="315">
        <f>H22+H23</f>
        <v>256.46649759223777</v>
      </c>
      <c r="I24" s="315"/>
      <c r="J24" s="315"/>
    </row>
    <row r="25" spans="2:18" x14ac:dyDescent="0.25">
      <c r="B25" s="47" t="s">
        <v>381</v>
      </c>
      <c r="D25" s="315">
        <f>$F$8</f>
        <v>6661.947764705882</v>
      </c>
      <c r="E25" s="315">
        <f>$F$8</f>
        <v>6661.947764705882</v>
      </c>
      <c r="F25" s="315">
        <f>$F$8</f>
        <v>6661.947764705882</v>
      </c>
      <c r="G25" s="315">
        <f>$F$8</f>
        <v>6661.947764705882</v>
      </c>
      <c r="H25" s="315">
        <f>$F$8</f>
        <v>6661.947764705882</v>
      </c>
      <c r="I25" s="315"/>
      <c r="J25" s="315"/>
    </row>
    <row r="26" spans="2:18" x14ac:dyDescent="0.25">
      <c r="B26" s="325" t="s">
        <v>393</v>
      </c>
      <c r="C26" s="325"/>
      <c r="D26" s="329">
        <f>D24*D25</f>
        <v>1474331.7878275714</v>
      </c>
      <c r="E26" s="329">
        <f>E24*E25</f>
        <v>2164318.0452528596</v>
      </c>
      <c r="F26" s="329">
        <f>F24*F25</f>
        <v>1873848.7952769832</v>
      </c>
      <c r="G26" s="329">
        <f>G24*G25</f>
        <v>1685759.9449884642</v>
      </c>
      <c r="H26" s="329">
        <f>H24*H25</f>
        <v>1708566.4103565549</v>
      </c>
      <c r="I26" s="329"/>
      <c r="J26" s="329"/>
      <c r="L26" s="315"/>
      <c r="M26" s="315"/>
    </row>
    <row r="27" spans="2:18" x14ac:dyDescent="0.25">
      <c r="D27" s="315"/>
      <c r="E27" s="315"/>
      <c r="F27" s="315"/>
      <c r="G27" s="315"/>
      <c r="H27" s="315"/>
      <c r="I27" s="315"/>
      <c r="J27" s="315"/>
    </row>
    <row r="28" spans="2:18" x14ac:dyDescent="0.25">
      <c r="B28" s="325" t="s">
        <v>302</v>
      </c>
      <c r="C28" s="325"/>
      <c r="D28" s="315"/>
      <c r="E28" s="315"/>
      <c r="F28" s="315"/>
      <c r="G28" s="315"/>
      <c r="H28" s="315"/>
      <c r="I28" s="315"/>
      <c r="J28" s="315"/>
    </row>
    <row r="29" spans="2:18" x14ac:dyDescent="0.25">
      <c r="B29" s="47" t="s">
        <v>386</v>
      </c>
      <c r="C29" s="315">
        <f>'Customer Count'!G10</f>
        <v>4271.083333333333</v>
      </c>
      <c r="D29" s="315">
        <f>'Customer Count'!G11</f>
        <v>4304.833333333333</v>
      </c>
      <c r="E29" s="315">
        <f>'Customer Count'!G12</f>
        <v>4393.416666666667</v>
      </c>
      <c r="F29" s="315">
        <f>'Customer Count'!G17</f>
        <v>4427.25</v>
      </c>
      <c r="G29" s="315">
        <f>'Customer Count'!G18</f>
        <v>4474.9765485843118</v>
      </c>
      <c r="H29" s="315">
        <f>'Customer Count'!G19</f>
        <v>4523.2147507424133</v>
      </c>
      <c r="I29" s="315"/>
      <c r="J29" s="315"/>
    </row>
    <row r="30" spans="2:18" x14ac:dyDescent="0.25">
      <c r="B30" s="47" t="s">
        <v>387</v>
      </c>
      <c r="D30" s="315">
        <f>D29-C29</f>
        <v>33.75</v>
      </c>
      <c r="E30" s="315">
        <f>E29-D29</f>
        <v>88.58333333333394</v>
      </c>
      <c r="F30" s="315">
        <f>F29-E29</f>
        <v>33.83333333333303</v>
      </c>
      <c r="G30" s="315">
        <f>G29-F29</f>
        <v>47.726548584311786</v>
      </c>
      <c r="H30" s="315">
        <f>H29-G29</f>
        <v>48.238202158101558</v>
      </c>
      <c r="I30" s="315"/>
      <c r="J30" s="315"/>
    </row>
    <row r="31" spans="2:18" x14ac:dyDescent="0.25">
      <c r="B31" s="47" t="s">
        <v>388</v>
      </c>
      <c r="D31" s="326">
        <v>2E-3</v>
      </c>
      <c r="E31" s="57">
        <f>D31</f>
        <v>2E-3</v>
      </c>
      <c r="F31" s="57">
        <f t="shared" ref="F31:H32" si="4">E31</f>
        <v>2E-3</v>
      </c>
      <c r="G31" s="57">
        <f t="shared" si="4"/>
        <v>2E-3</v>
      </c>
      <c r="H31" s="57">
        <f t="shared" si="4"/>
        <v>2E-3</v>
      </c>
      <c r="I31" s="57"/>
      <c r="J31" s="57"/>
    </row>
    <row r="32" spans="2:18" x14ac:dyDescent="0.25">
      <c r="B32" s="47" t="s">
        <v>389</v>
      </c>
      <c r="D32" s="330">
        <v>0.17499999999999999</v>
      </c>
      <c r="E32" s="318">
        <f>D32</f>
        <v>0.17499999999999999</v>
      </c>
      <c r="F32" s="318">
        <f t="shared" si="4"/>
        <v>0.17499999999999999</v>
      </c>
      <c r="G32" s="318">
        <f t="shared" si="4"/>
        <v>0.17499999999999999</v>
      </c>
      <c r="H32" s="318">
        <f t="shared" si="4"/>
        <v>0.17499999999999999</v>
      </c>
      <c r="I32" s="328"/>
      <c r="J32" s="328"/>
    </row>
    <row r="33" spans="2:14" x14ac:dyDescent="0.25">
      <c r="B33" s="47" t="s">
        <v>390</v>
      </c>
      <c r="D33" s="315">
        <f>D31*(D29-D30)</f>
        <v>8.5421666666666667</v>
      </c>
      <c r="E33" s="315">
        <f>E31*(E29-E30)</f>
        <v>8.6096666666666657</v>
      </c>
      <c r="F33" s="315">
        <f>F31*(F29-F30)</f>
        <v>8.7868333333333339</v>
      </c>
      <c r="G33" s="315">
        <f>G31*(G29-G30)</f>
        <v>8.8544999999999998</v>
      </c>
      <c r="H33" s="315">
        <f>H31*(H29-H30)</f>
        <v>8.9499530971686241</v>
      </c>
      <c r="I33" s="315"/>
      <c r="J33" s="315"/>
    </row>
    <row r="34" spans="2:14" x14ac:dyDescent="0.25">
      <c r="B34" s="47" t="s">
        <v>391</v>
      </c>
      <c r="D34" s="315">
        <f>MAX(D32*D30,0)</f>
        <v>5.90625</v>
      </c>
      <c r="E34" s="315">
        <f>MAX(E32*E30,0)</f>
        <v>15.502083333333438</v>
      </c>
      <c r="F34" s="315">
        <f>MAX(F32*F30,0)</f>
        <v>5.9208333333332801</v>
      </c>
      <c r="G34" s="315">
        <f>MAX(G32*G30,0)</f>
        <v>8.3521460022545622</v>
      </c>
      <c r="H34" s="315">
        <f>MAX(H32*H30,0)</f>
        <v>8.4416853776677723</v>
      </c>
      <c r="I34" s="315"/>
      <c r="J34" s="315"/>
    </row>
    <row r="35" spans="2:14" x14ac:dyDescent="0.25">
      <c r="B35" s="47" t="s">
        <v>392</v>
      </c>
      <c r="D35" s="315">
        <f>D33+D34</f>
        <v>14.448416666666667</v>
      </c>
      <c r="E35" s="315">
        <f>E33+E34</f>
        <v>24.111750000000104</v>
      </c>
      <c r="F35" s="315">
        <f>F33+F34</f>
        <v>14.707666666666615</v>
      </c>
      <c r="G35" s="315">
        <f>G33+G34</f>
        <v>17.206646002254562</v>
      </c>
      <c r="H35" s="315">
        <f>H33+H34</f>
        <v>17.391638474836398</v>
      </c>
      <c r="I35" s="315"/>
      <c r="J35" s="315"/>
    </row>
    <row r="36" spans="2:14" x14ac:dyDescent="0.25">
      <c r="B36" s="47" t="s">
        <v>381</v>
      </c>
      <c r="D36" s="315">
        <f>G8</f>
        <v>25913.784509803918</v>
      </c>
      <c r="E36" s="315">
        <f>D36</f>
        <v>25913.784509803918</v>
      </c>
      <c r="F36" s="315">
        <f>E36</f>
        <v>25913.784509803918</v>
      </c>
      <c r="G36" s="315">
        <f>F36</f>
        <v>25913.784509803918</v>
      </c>
      <c r="H36" s="315">
        <f>G36</f>
        <v>25913.784509803918</v>
      </c>
      <c r="I36" s="315"/>
      <c r="J36" s="315"/>
    </row>
    <row r="37" spans="2:14" x14ac:dyDescent="0.25">
      <c r="B37" s="325" t="s">
        <v>393</v>
      </c>
      <c r="C37" s="325"/>
      <c r="D37" s="329">
        <f>D35*D36</f>
        <v>374413.15600785945</v>
      </c>
      <c r="E37" s="329">
        <f>E35*E36</f>
        <v>624826.69365426735</v>
      </c>
      <c r="F37" s="329">
        <f>F35*F36</f>
        <v>381131.30464202474</v>
      </c>
      <c r="G37" s="329">
        <f>G35*G36</f>
        <v>445889.31663890375</v>
      </c>
      <c r="H37" s="329">
        <f>H35*H36</f>
        <v>450683.17170932528</v>
      </c>
      <c r="I37" s="329"/>
      <c r="J37" s="329"/>
      <c r="L37" s="315"/>
      <c r="M37" s="315"/>
    </row>
    <row r="38" spans="2:14" x14ac:dyDescent="0.25">
      <c r="D38" s="315"/>
      <c r="E38" s="328"/>
      <c r="F38" s="328"/>
      <c r="G38" s="328"/>
    </row>
    <row r="39" spans="2:14" x14ac:dyDescent="0.25">
      <c r="D39" s="49"/>
    </row>
    <row r="40" spans="2:14" ht="14.4" x14ac:dyDescent="0.3">
      <c r="L40" s="331"/>
      <c r="M40" s="332"/>
    </row>
    <row r="41" spans="2:14" x14ac:dyDescent="0.25">
      <c r="D41" s="47">
        <v>2022</v>
      </c>
      <c r="E41" s="47">
        <v>2023</v>
      </c>
      <c r="F41" s="47">
        <v>2024</v>
      </c>
      <c r="G41" s="47">
        <v>2025</v>
      </c>
      <c r="H41" s="47">
        <v>2026</v>
      </c>
      <c r="I41" s="47">
        <v>2027</v>
      </c>
      <c r="L41" s="331"/>
      <c r="M41" s="333"/>
      <c r="N41" s="334"/>
    </row>
    <row r="42" spans="2:14" x14ac:dyDescent="0.25">
      <c r="B42" s="47" t="s">
        <v>394</v>
      </c>
      <c r="D42" s="98">
        <f t="shared" ref="D42:I42" si="5">D26</f>
        <v>1474331.7878275714</v>
      </c>
      <c r="E42" s="98">
        <f t="shared" si="5"/>
        <v>2164318.0452528596</v>
      </c>
      <c r="F42" s="98">
        <f t="shared" si="5"/>
        <v>1873848.7952769832</v>
      </c>
      <c r="G42" s="98">
        <f t="shared" si="5"/>
        <v>1685759.9449884642</v>
      </c>
      <c r="H42" s="98">
        <f t="shared" si="5"/>
        <v>1708566.4103565549</v>
      </c>
      <c r="I42" s="98">
        <f t="shared" si="5"/>
        <v>0</v>
      </c>
      <c r="J42" s="98"/>
      <c r="K42" s="98"/>
      <c r="L42" s="331"/>
      <c r="M42" s="333"/>
      <c r="N42" s="334"/>
    </row>
    <row r="43" spans="2:14" x14ac:dyDescent="0.25">
      <c r="B43" s="47" t="s">
        <v>395</v>
      </c>
      <c r="D43" s="315">
        <f t="shared" ref="D43:I43" ca="1" si="6">C42*$R$3</f>
        <v>0</v>
      </c>
      <c r="E43" s="315">
        <f t="shared" ca="1" si="6"/>
        <v>956149.36913666781</v>
      </c>
      <c r="F43" s="315">
        <f t="shared" ca="1" si="6"/>
        <v>1403626.6128595832</v>
      </c>
      <c r="G43" s="315">
        <f t="shared" ca="1" si="6"/>
        <v>1215248.3981245721</v>
      </c>
      <c r="H43" s="315">
        <f t="shared" ca="1" si="6"/>
        <v>1093267.0116891589</v>
      </c>
      <c r="I43" s="315">
        <f t="shared" ca="1" si="6"/>
        <v>1108057.7037531678</v>
      </c>
      <c r="J43" s="315"/>
      <c r="K43" s="315"/>
      <c r="L43" s="331"/>
      <c r="M43" s="333"/>
      <c r="N43" s="334"/>
    </row>
    <row r="44" spans="2:14" x14ac:dyDescent="0.25">
      <c r="B44" s="47" t="s">
        <v>396</v>
      </c>
      <c r="D44" s="315">
        <f t="shared" ref="D44:I44" ca="1" si="7">D42*$R$10</f>
        <v>518182.41869090317</v>
      </c>
      <c r="E44" s="315">
        <f t="shared" ca="1" si="7"/>
        <v>760691.43239327578</v>
      </c>
      <c r="F44" s="315">
        <f t="shared" ca="1" si="7"/>
        <v>658600.3971524107</v>
      </c>
      <c r="G44" s="315">
        <f ca="1">G42*$R$10</f>
        <v>592492.93329930503</v>
      </c>
      <c r="H44" s="315">
        <f t="shared" ca="1" si="7"/>
        <v>600508.70660338679</v>
      </c>
      <c r="I44" s="315">
        <f t="shared" ca="1" si="7"/>
        <v>0</v>
      </c>
      <c r="J44" s="315"/>
      <c r="K44" s="315"/>
      <c r="L44" s="331"/>
      <c r="M44" s="333"/>
      <c r="N44" s="334"/>
    </row>
    <row r="45" spans="2:14" x14ac:dyDescent="0.25">
      <c r="B45" s="325" t="s">
        <v>397</v>
      </c>
      <c r="C45" s="325"/>
      <c r="D45" s="335">
        <f t="shared" ref="D45:I45" ca="1" si="8">D43+D44</f>
        <v>518182.41869090317</v>
      </c>
      <c r="E45" s="335">
        <f t="shared" ca="1" si="8"/>
        <v>1716840.8015299435</v>
      </c>
      <c r="F45" s="335">
        <f t="shared" ca="1" si="8"/>
        <v>2062227.0100119938</v>
      </c>
      <c r="G45" s="335">
        <f t="shared" ca="1" si="8"/>
        <v>1807741.3314238773</v>
      </c>
      <c r="H45" s="335">
        <f t="shared" ca="1" si="8"/>
        <v>1693775.7182925455</v>
      </c>
      <c r="I45" s="335">
        <f t="shared" ca="1" si="8"/>
        <v>1108057.7037531678</v>
      </c>
      <c r="J45" s="335"/>
      <c r="K45" s="335"/>
      <c r="M45" s="333"/>
    </row>
    <row r="46" spans="2:14" x14ac:dyDescent="0.25">
      <c r="B46" s="47" t="s">
        <v>398</v>
      </c>
      <c r="D46" s="98">
        <f t="shared" ref="D46:I46" si="9">D37</f>
        <v>374413.15600785945</v>
      </c>
      <c r="E46" s="98">
        <f t="shared" si="9"/>
        <v>624826.69365426735</v>
      </c>
      <c r="F46" s="98">
        <f t="shared" si="9"/>
        <v>381131.30464202474</v>
      </c>
      <c r="G46" s="98">
        <f t="shared" si="9"/>
        <v>445889.31663890375</v>
      </c>
      <c r="H46" s="98">
        <f t="shared" si="9"/>
        <v>450683.17170932528</v>
      </c>
      <c r="I46" s="98">
        <f t="shared" si="9"/>
        <v>0</v>
      </c>
      <c r="J46" s="98"/>
      <c r="K46" s="98"/>
    </row>
    <row r="47" spans="2:14" x14ac:dyDescent="0.25">
      <c r="B47" s="47" t="s">
        <v>395</v>
      </c>
      <c r="D47" s="315">
        <f t="shared" ref="D47:I47" ca="1" si="10">C46*$R$3</f>
        <v>0</v>
      </c>
      <c r="E47" s="315">
        <f t="shared" ca="1" si="10"/>
        <v>242818.41161472158</v>
      </c>
      <c r="F47" s="315">
        <f t="shared" ca="1" si="10"/>
        <v>405219.26874926011</v>
      </c>
      <c r="G47" s="315">
        <f t="shared" ca="1" si="10"/>
        <v>247175.33699024282</v>
      </c>
      <c r="H47" s="315">
        <f t="shared" ca="1" si="10"/>
        <v>289172.89332632191</v>
      </c>
      <c r="I47" s="315">
        <f t="shared" ca="1" si="10"/>
        <v>292281.85532467248</v>
      </c>
      <c r="J47" s="315"/>
      <c r="K47" s="315"/>
    </row>
    <row r="48" spans="2:14" x14ac:dyDescent="0.25">
      <c r="B48" s="47" t="s">
        <v>396</v>
      </c>
      <c r="D48" s="315">
        <f t="shared" ref="D48:I48" ca="1" si="11">D46*$R$10</f>
        <v>131594.74439313778</v>
      </c>
      <c r="E48" s="315">
        <f t="shared" ca="1" si="11"/>
        <v>219607.42490500712</v>
      </c>
      <c r="F48" s="315">
        <f t="shared" ca="1" si="11"/>
        <v>133955.96765178183</v>
      </c>
      <c r="G48" s="315">
        <f t="shared" ca="1" si="11"/>
        <v>156716.42331258176</v>
      </c>
      <c r="H48" s="315">
        <f t="shared" ca="1" si="11"/>
        <v>158401.31638465272</v>
      </c>
      <c r="I48" s="315">
        <f t="shared" ca="1" si="11"/>
        <v>0</v>
      </c>
      <c r="J48" s="315"/>
      <c r="K48" s="315"/>
    </row>
    <row r="49" spans="2:11" x14ac:dyDescent="0.25">
      <c r="B49" s="325" t="s">
        <v>397</v>
      </c>
      <c r="C49" s="325"/>
      <c r="D49" s="335">
        <f t="shared" ref="D49:I49" ca="1" si="12">D47+D48</f>
        <v>131594.74439313778</v>
      </c>
      <c r="E49" s="335">
        <f t="shared" ca="1" si="12"/>
        <v>462425.83651972871</v>
      </c>
      <c r="F49" s="335">
        <f t="shared" ca="1" si="12"/>
        <v>539175.23640104197</v>
      </c>
      <c r="G49" s="335">
        <f t="shared" ca="1" si="12"/>
        <v>403891.76030282455</v>
      </c>
      <c r="H49" s="335">
        <f t="shared" ca="1" si="12"/>
        <v>447574.2097109746</v>
      </c>
      <c r="I49" s="335">
        <f t="shared" ca="1" si="12"/>
        <v>292281.85532467248</v>
      </c>
      <c r="J49" s="335"/>
      <c r="K49" s="335"/>
    </row>
    <row r="53" spans="2:11" ht="27.6" x14ac:dyDescent="0.25">
      <c r="D53" s="222"/>
      <c r="E53" s="222" t="s">
        <v>361</v>
      </c>
      <c r="F53" s="222" t="s">
        <v>362</v>
      </c>
      <c r="G53" s="222" t="s">
        <v>399</v>
      </c>
      <c r="H53" s="222"/>
    </row>
    <row r="54" spans="2:11" x14ac:dyDescent="0.25">
      <c r="C54" s="47" t="s">
        <v>189</v>
      </c>
      <c r="D54" s="209"/>
      <c r="E54" s="209">
        <f ca="1">G45</f>
        <v>1807741.3314238773</v>
      </c>
      <c r="F54" s="209">
        <f ca="1">H45</f>
        <v>1693775.7182925455</v>
      </c>
      <c r="G54" s="209">
        <f ca="1">I45</f>
        <v>1108057.7037531678</v>
      </c>
      <c r="H54" s="209"/>
    </row>
    <row r="55" spans="2:11" x14ac:dyDescent="0.25">
      <c r="C55" s="47" t="s">
        <v>400</v>
      </c>
      <c r="D55" s="209"/>
      <c r="E55" s="209">
        <f ca="1">G49</f>
        <v>403891.76030282455</v>
      </c>
      <c r="F55" s="209">
        <f ca="1">H49</f>
        <v>447574.2097109746</v>
      </c>
      <c r="G55" s="209">
        <f ca="1">I49</f>
        <v>292281.85532467248</v>
      </c>
      <c r="H55" s="209"/>
    </row>
    <row r="56" spans="2:11" x14ac:dyDescent="0.25">
      <c r="C56" s="47" t="s">
        <v>326</v>
      </c>
      <c r="D56" s="336"/>
      <c r="E56" s="336">
        <f ca="1">SUM(E54:E55)</f>
        <v>2211633.0917267017</v>
      </c>
      <c r="F56" s="336">
        <f ca="1">SUM(F54:F55)</f>
        <v>2141349.9280035202</v>
      </c>
      <c r="G56" s="336">
        <f ca="1">SUM(G54:G55)</f>
        <v>1400339.5590778403</v>
      </c>
      <c r="H56" s="336"/>
    </row>
    <row r="59" spans="2:11" x14ac:dyDescent="0.25">
      <c r="E59" s="198">
        <v>2025</v>
      </c>
      <c r="F59" s="47">
        <v>2026</v>
      </c>
      <c r="G59" s="47">
        <v>2027</v>
      </c>
    </row>
    <row r="60" spans="2:11" x14ac:dyDescent="0.25">
      <c r="C60" s="47" t="str">
        <f>C54</f>
        <v>Residential</v>
      </c>
      <c r="D60" s="209"/>
      <c r="E60" s="209">
        <f ca="1">SUM($D54:E54)</f>
        <v>1807741.3314238773</v>
      </c>
      <c r="F60" s="209">
        <f ca="1">SUM($D54:F54)</f>
        <v>3501517.0497164228</v>
      </c>
      <c r="G60" s="209">
        <f ca="1">SUM($D54:G54)</f>
        <v>4609574.7534695901</v>
      </c>
      <c r="H60" s="209"/>
    </row>
    <row r="61" spans="2:11" x14ac:dyDescent="0.25">
      <c r="C61" s="47" t="str">
        <f>C55</f>
        <v>GS &lt; 50</v>
      </c>
      <c r="D61" s="209"/>
      <c r="E61" s="209">
        <f ca="1">SUM($D55:E55)</f>
        <v>403891.76030282455</v>
      </c>
      <c r="F61" s="209">
        <f ca="1">SUM($D55:F55)</f>
        <v>851465.97001379915</v>
      </c>
      <c r="G61" s="209">
        <f ca="1">SUM($D55:G55)</f>
        <v>1143747.8253384717</v>
      </c>
      <c r="H61" s="209"/>
    </row>
    <row r="62" spans="2:11" x14ac:dyDescent="0.25">
      <c r="C62" s="325" t="s">
        <v>326</v>
      </c>
      <c r="D62" s="336"/>
      <c r="E62" s="336">
        <f ca="1">E60+E61</f>
        <v>2211633.0917267017</v>
      </c>
      <c r="F62" s="336">
        <f ca="1">F60+F61</f>
        <v>4352983.0197302215</v>
      </c>
      <c r="G62" s="336">
        <f ca="1">G60+G61</f>
        <v>5753322.5788080618</v>
      </c>
      <c r="H62" s="336"/>
    </row>
  </sheetData>
  <mergeCells count="3">
    <mergeCell ref="O2:Q2"/>
    <mergeCell ref="R3:R9"/>
    <mergeCell ref="R10:R14"/>
  </mergeCells>
  <hyperlinks>
    <hyperlink ref="I7" r:id="rId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3" tint="0.499984740745262"/>
  </sheetPr>
  <dimension ref="A2:K33"/>
  <sheetViews>
    <sheetView workbookViewId="0">
      <selection activeCell="I22" sqref="I22"/>
    </sheetView>
  </sheetViews>
  <sheetFormatPr defaultColWidth="10.109375" defaultRowHeight="13.8" x14ac:dyDescent="0.25"/>
  <cols>
    <col min="1" max="1" width="10.109375" style="30"/>
    <col min="2" max="2" width="11.6640625" style="30" customWidth="1"/>
    <col min="3" max="3" width="15.44140625" style="30" bestFit="1" customWidth="1"/>
    <col min="4" max="4" width="15.6640625" style="30" bestFit="1" customWidth="1"/>
    <col min="5" max="5" width="15.6640625" style="30" customWidth="1"/>
    <col min="6" max="6" width="13.33203125" style="30" customWidth="1"/>
    <col min="7" max="7" width="1.77734375" style="30" customWidth="1"/>
    <col min="8" max="8" width="14.6640625" style="30" bestFit="1" customWidth="1"/>
    <col min="9" max="9" width="14" style="30" customWidth="1"/>
    <col min="10" max="11" width="10.109375" style="30"/>
    <col min="12" max="13" width="10.77734375" style="30" bestFit="1" customWidth="1"/>
    <col min="14" max="16384" width="10.109375" style="30"/>
  </cols>
  <sheetData>
    <row r="2" spans="1:11" x14ac:dyDescent="0.25">
      <c r="D2" s="489" t="s">
        <v>401</v>
      </c>
      <c r="E2" s="490"/>
      <c r="H2" s="489" t="s">
        <v>402</v>
      </c>
      <c r="I2" s="490"/>
    </row>
    <row r="3" spans="1:11" x14ac:dyDescent="0.25">
      <c r="D3" s="45">
        <v>2025</v>
      </c>
      <c r="E3" s="46">
        <v>2026</v>
      </c>
      <c r="H3" s="45">
        <v>2025</v>
      </c>
      <c r="I3" s="46">
        <v>2026</v>
      </c>
    </row>
    <row r="4" spans="1:11" x14ac:dyDescent="0.25">
      <c r="B4" s="31"/>
      <c r="C4" s="32" t="s">
        <v>189</v>
      </c>
      <c r="D4" s="33">
        <f>'EV Forecast'!F169</f>
        <v>852264.9060213631</v>
      </c>
      <c r="E4" s="34">
        <f>'EV Forecast'!G169</f>
        <v>2799008.6608695542</v>
      </c>
      <c r="F4" s="35"/>
      <c r="G4" s="35"/>
      <c r="H4" s="33"/>
      <c r="I4" s="34"/>
    </row>
    <row r="5" spans="1:11" x14ac:dyDescent="0.25">
      <c r="B5" s="36" t="s">
        <v>281</v>
      </c>
      <c r="C5" s="30" t="s">
        <v>302</v>
      </c>
      <c r="D5" s="37">
        <f>'EV Forecast'!F170</f>
        <v>160627.26605513418</v>
      </c>
      <c r="E5" s="38">
        <f>'EV Forecast'!G170</f>
        <v>521193.17586928839</v>
      </c>
      <c r="F5" s="35"/>
      <c r="G5" s="35"/>
      <c r="H5" s="37"/>
      <c r="I5" s="38"/>
    </row>
    <row r="6" spans="1:11" x14ac:dyDescent="0.25">
      <c r="B6" s="36"/>
      <c r="C6" s="30" t="s">
        <v>303</v>
      </c>
      <c r="D6" s="37">
        <f>'EV Forecast'!F171</f>
        <v>107148.00320257829</v>
      </c>
      <c r="E6" s="38">
        <f>'EV Forecast'!G171</f>
        <v>344417.15592147212</v>
      </c>
      <c r="F6" s="35"/>
      <c r="G6" s="35"/>
      <c r="H6" s="37">
        <f>'EV Forecast'!N99/2</f>
        <v>733.89043289437188</v>
      </c>
      <c r="I6" s="38">
        <f>'EV Forecast'!O99/2+'EV Forecast'!N99</f>
        <v>2359.021615900494</v>
      </c>
    </row>
    <row r="7" spans="1:11" x14ac:dyDescent="0.25">
      <c r="B7" s="36"/>
      <c r="C7" s="30" t="s">
        <v>304</v>
      </c>
      <c r="D7" s="37">
        <f>'EV Forecast'!F172</f>
        <v>69573.050062095092</v>
      </c>
      <c r="E7" s="38">
        <f>'EV Forecast'!G172</f>
        <v>226346.37603330531</v>
      </c>
      <c r="F7" s="35"/>
      <c r="G7" s="35"/>
      <c r="H7" s="37">
        <f>'EV Forecast'!N100/2</f>
        <v>476.52774015133616</v>
      </c>
      <c r="I7" s="38">
        <f>'EV Forecast'!O100/2+'EV Forecast'!N100</f>
        <v>1550.3176440637349</v>
      </c>
    </row>
    <row r="8" spans="1:11" x14ac:dyDescent="0.25">
      <c r="B8" s="36"/>
      <c r="C8" s="30" t="s">
        <v>115</v>
      </c>
      <c r="D8" s="37">
        <f>'EV Forecast'!F173</f>
        <v>8585.6314769100754</v>
      </c>
      <c r="E8" s="38">
        <f>'EV Forecast'!G173</f>
        <v>26678.184814463377</v>
      </c>
      <c r="F8" s="35"/>
      <c r="G8" s="35"/>
      <c r="H8" s="37">
        <f>'EV Forecast'!N101/2</f>
        <v>58.80569504732928</v>
      </c>
      <c r="I8" s="38">
        <f>'EV Forecast'!O101/2+'EV Forecast'!N101</f>
        <v>182.72729324974915</v>
      </c>
    </row>
    <row r="9" spans="1:11" x14ac:dyDescent="0.25">
      <c r="B9" s="39"/>
      <c r="C9" s="40" t="s">
        <v>326</v>
      </c>
      <c r="D9" s="41">
        <f>SUM(D4:D8)</f>
        <v>1198198.8568180806</v>
      </c>
      <c r="E9" s="42">
        <f>SUM(E4:E8)</f>
        <v>3917643.5535080833</v>
      </c>
      <c r="F9" s="43"/>
      <c r="G9" s="43"/>
      <c r="H9" s="41">
        <f>SUM(H4:H8)</f>
        <v>1269.2238680930373</v>
      </c>
      <c r="I9" s="42">
        <f>SUM(I4:I8)</f>
        <v>4092.0665532139778</v>
      </c>
    </row>
    <row r="10" spans="1:11" x14ac:dyDescent="0.25">
      <c r="B10" s="31"/>
      <c r="C10" s="32" t="s">
        <v>189</v>
      </c>
      <c r="D10" s="33">
        <f ca="1">Heating!E60</f>
        <v>1807741.3314238773</v>
      </c>
      <c r="E10" s="34">
        <f ca="1">Heating!F60</f>
        <v>3501517.0497164228</v>
      </c>
      <c r="F10" s="35"/>
      <c r="G10" s="35"/>
      <c r="H10" s="33"/>
      <c r="I10" s="34"/>
    </row>
    <row r="11" spans="1:11" x14ac:dyDescent="0.25">
      <c r="A11" s="30" t="s">
        <v>403</v>
      </c>
      <c r="B11" s="36" t="s">
        <v>404</v>
      </c>
      <c r="C11" s="30" t="s">
        <v>302</v>
      </c>
      <c r="D11" s="37">
        <f ca="1">Heating!E61</f>
        <v>403891.76030282455</v>
      </c>
      <c r="E11" s="38">
        <f ca="1">Heating!F61</f>
        <v>851465.97001379915</v>
      </c>
      <c r="F11" s="35"/>
      <c r="G11" s="35"/>
      <c r="H11" s="37"/>
      <c r="I11" s="38"/>
    </row>
    <row r="12" spans="1:11" x14ac:dyDescent="0.25">
      <c r="B12" s="36"/>
      <c r="C12" s="30" t="s">
        <v>303</v>
      </c>
      <c r="D12" s="37"/>
      <c r="E12" s="38"/>
      <c r="F12" s="35"/>
      <c r="G12" s="35"/>
      <c r="H12" s="37"/>
      <c r="I12" s="38"/>
      <c r="K12" s="30" t="s">
        <v>405</v>
      </c>
    </row>
    <row r="13" spans="1:11" x14ac:dyDescent="0.25">
      <c r="B13" s="36"/>
      <c r="C13" s="30" t="s">
        <v>304</v>
      </c>
      <c r="D13" s="37"/>
      <c r="E13" s="38"/>
      <c r="F13" s="35"/>
      <c r="G13" s="35"/>
      <c r="H13" s="37"/>
      <c r="I13" s="38"/>
    </row>
    <row r="14" spans="1:11" x14ac:dyDescent="0.25">
      <c r="B14" s="36"/>
      <c r="C14" s="30" t="s">
        <v>115</v>
      </c>
      <c r="D14" s="37"/>
      <c r="E14" s="38"/>
      <c r="F14" s="35"/>
      <c r="G14" s="35"/>
      <c r="H14" s="37"/>
      <c r="I14" s="38"/>
    </row>
    <row r="15" spans="1:11" x14ac:dyDescent="0.25">
      <c r="B15" s="39"/>
      <c r="C15" s="40" t="s">
        <v>326</v>
      </c>
      <c r="D15" s="41">
        <f ca="1">SUM(D10:D12)</f>
        <v>2211633.0917267017</v>
      </c>
      <c r="E15" s="42">
        <f ca="1">SUM(E10:E12)</f>
        <v>4352983.0197302215</v>
      </c>
      <c r="F15" s="43"/>
      <c r="G15" s="43"/>
      <c r="H15" s="41">
        <f>SUM(H10:H12)</f>
        <v>0</v>
      </c>
      <c r="I15" s="42">
        <f>SUM(I10:I12)</f>
        <v>0</v>
      </c>
      <c r="K15" s="30" t="s">
        <v>406</v>
      </c>
    </row>
    <row r="16" spans="1:11" x14ac:dyDescent="0.25">
      <c r="B16" s="31"/>
      <c r="C16" s="32" t="s">
        <v>189</v>
      </c>
      <c r="D16" s="33">
        <f ca="1">D4+D10</f>
        <v>2660006.2374452404</v>
      </c>
      <c r="E16" s="34">
        <f ca="1">E4+E10</f>
        <v>6300525.710585977</v>
      </c>
      <c r="F16" s="35"/>
      <c r="G16" s="35"/>
      <c r="H16" s="33"/>
      <c r="I16" s="34"/>
    </row>
    <row r="17" spans="2:9" x14ac:dyDescent="0.25">
      <c r="B17" s="44" t="s">
        <v>326</v>
      </c>
      <c r="C17" s="30" t="s">
        <v>302</v>
      </c>
      <c r="D17" s="37">
        <f t="shared" ref="D17:E20" ca="1" si="0">D5+D11</f>
        <v>564519.02635795879</v>
      </c>
      <c r="E17" s="38">
        <f t="shared" ca="1" si="0"/>
        <v>1372659.1458830875</v>
      </c>
      <c r="F17" s="35"/>
      <c r="G17" s="35"/>
      <c r="H17" s="37"/>
      <c r="I17" s="38"/>
    </row>
    <row r="18" spans="2:9" x14ac:dyDescent="0.25">
      <c r="B18" s="36"/>
      <c r="C18" s="30" t="s">
        <v>303</v>
      </c>
      <c r="D18" s="37">
        <f t="shared" si="0"/>
        <v>107148.00320257829</v>
      </c>
      <c r="E18" s="38">
        <f t="shared" si="0"/>
        <v>344417.15592147212</v>
      </c>
      <c r="F18" s="35"/>
      <c r="G18" s="35"/>
      <c r="H18" s="37">
        <f>H6+H12</f>
        <v>733.89043289437188</v>
      </c>
      <c r="I18" s="38">
        <f>I6+I12</f>
        <v>2359.021615900494</v>
      </c>
    </row>
    <row r="19" spans="2:9" x14ac:dyDescent="0.25">
      <c r="B19" s="36"/>
      <c r="C19" s="30" t="s">
        <v>304</v>
      </c>
      <c r="D19" s="37">
        <f t="shared" si="0"/>
        <v>69573.050062095092</v>
      </c>
      <c r="E19" s="38">
        <f t="shared" si="0"/>
        <v>226346.37603330531</v>
      </c>
      <c r="F19" s="35"/>
      <c r="G19" s="35"/>
      <c r="H19" s="37">
        <f t="shared" ref="H19:I20" si="1">H7+H13</f>
        <v>476.52774015133616</v>
      </c>
      <c r="I19" s="38">
        <f t="shared" si="1"/>
        <v>1550.3176440637349</v>
      </c>
    </row>
    <row r="20" spans="2:9" x14ac:dyDescent="0.25">
      <c r="B20" s="36"/>
      <c r="C20" s="30" t="s">
        <v>115</v>
      </c>
      <c r="D20" s="37">
        <f t="shared" si="0"/>
        <v>8585.6314769100754</v>
      </c>
      <c r="E20" s="38">
        <f t="shared" si="0"/>
        <v>26678.184814463377</v>
      </c>
      <c r="F20" s="35"/>
      <c r="G20" s="35"/>
      <c r="H20" s="37">
        <f t="shared" si="1"/>
        <v>58.80569504732928</v>
      </c>
      <c r="I20" s="38">
        <f t="shared" si="1"/>
        <v>182.72729324974915</v>
      </c>
    </row>
    <row r="21" spans="2:9" x14ac:dyDescent="0.25">
      <c r="B21" s="39"/>
      <c r="C21" s="40" t="s">
        <v>326</v>
      </c>
      <c r="D21" s="41">
        <f ca="1">SUM(D16:D20)</f>
        <v>3409831.9485447821</v>
      </c>
      <c r="E21" s="42">
        <f ca="1">SUM(E16:E20)</f>
        <v>8270626.5732383057</v>
      </c>
      <c r="F21" s="43"/>
      <c r="G21" s="43"/>
      <c r="H21" s="41">
        <f>SUM(H16:H20)</f>
        <v>1269.2238680930373</v>
      </c>
      <c r="I21" s="42">
        <f>SUM(I16:I20)</f>
        <v>4092.0665532139778</v>
      </c>
    </row>
    <row r="33" spans="4:4" x14ac:dyDescent="0.25">
      <c r="D33" s="270"/>
    </row>
  </sheetData>
  <mergeCells count="2">
    <mergeCell ref="H2:I2"/>
    <mergeCell ref="D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0000"/>
  </sheetPr>
  <dimension ref="B1:W16"/>
  <sheetViews>
    <sheetView topLeftCell="J1" workbookViewId="0">
      <selection activeCell="AC2" sqref="AC2"/>
    </sheetView>
  </sheetViews>
  <sheetFormatPr defaultColWidth="8.77734375" defaultRowHeight="13.2" x14ac:dyDescent="0.25"/>
  <cols>
    <col min="1" max="1" width="14.77734375" style="1" customWidth="1"/>
    <col min="2" max="2" width="8.77734375" style="1"/>
    <col min="3" max="3" width="21.109375" style="1" customWidth="1"/>
    <col min="4" max="4" width="15.77734375" style="1" customWidth="1"/>
    <col min="5" max="5" width="8.77734375" style="1"/>
    <col min="6" max="7" width="22.44140625" style="1" customWidth="1"/>
    <col min="8" max="8" width="8.77734375" style="1"/>
    <col min="9" max="9" width="20" style="1" customWidth="1"/>
    <col min="10" max="10" width="16.77734375" style="1" customWidth="1"/>
    <col min="11" max="11" width="8.77734375" style="1"/>
    <col min="12" max="13" width="22.33203125" style="1" customWidth="1"/>
    <col min="14" max="14" width="8.77734375" style="1"/>
    <col min="15" max="15" width="19.33203125" style="1" customWidth="1"/>
    <col min="16" max="16" width="17.6640625" style="1" customWidth="1"/>
    <col min="17" max="17" width="8.77734375" style="1"/>
    <col min="18" max="18" width="25.109375" style="1" customWidth="1"/>
    <col min="19" max="20" width="8.77734375" style="1"/>
    <col min="21" max="21" width="16.88671875" style="1" bestFit="1" customWidth="1"/>
    <col min="22" max="22" width="11" style="1" bestFit="1" customWidth="1"/>
    <col min="23" max="16384" width="8.77734375" style="1"/>
  </cols>
  <sheetData>
    <row r="1" spans="2:23" x14ac:dyDescent="0.25">
      <c r="D1" s="4"/>
    </row>
    <row r="2" spans="2:23" ht="13.8" x14ac:dyDescent="0.25">
      <c r="B2" s="187"/>
      <c r="C2" s="491" t="s">
        <v>407</v>
      </c>
      <c r="D2" s="491"/>
      <c r="E2" s="188" t="s">
        <v>408</v>
      </c>
      <c r="F2" s="186"/>
      <c r="G2" s="186"/>
      <c r="H2" s="187"/>
      <c r="I2" s="491" t="s">
        <v>398</v>
      </c>
      <c r="J2" s="491"/>
      <c r="K2" s="188" t="s">
        <v>408</v>
      </c>
      <c r="N2" s="187"/>
      <c r="O2" s="491" t="s">
        <v>409</v>
      </c>
      <c r="P2" s="491"/>
      <c r="Q2" s="188" t="s">
        <v>408</v>
      </c>
      <c r="T2" s="187"/>
      <c r="U2" s="491" t="s">
        <v>418</v>
      </c>
      <c r="V2" s="491"/>
      <c r="W2" s="188" t="s">
        <v>408</v>
      </c>
    </row>
    <row r="3" spans="2:23" ht="13.8" x14ac:dyDescent="0.25">
      <c r="B3" s="188" t="s">
        <v>1</v>
      </c>
      <c r="C3" s="188" t="s">
        <v>410</v>
      </c>
      <c r="D3" s="188" t="s">
        <v>196</v>
      </c>
      <c r="E3" s="188" t="s">
        <v>411</v>
      </c>
      <c r="F3" s="186"/>
      <c r="G3" s="186"/>
      <c r="H3" s="188" t="s">
        <v>1</v>
      </c>
      <c r="I3" s="188" t="s">
        <v>410</v>
      </c>
      <c r="J3" s="188" t="s">
        <v>196</v>
      </c>
      <c r="K3" s="188" t="s">
        <v>411</v>
      </c>
      <c r="N3" s="188" t="s">
        <v>1</v>
      </c>
      <c r="O3" s="188" t="s">
        <v>410</v>
      </c>
      <c r="P3" s="188" t="s">
        <v>196</v>
      </c>
      <c r="Q3" s="188" t="s">
        <v>411</v>
      </c>
      <c r="T3" s="188" t="s">
        <v>1</v>
      </c>
      <c r="U3" s="188" t="s">
        <v>410</v>
      </c>
      <c r="V3" s="188" t="s">
        <v>196</v>
      </c>
      <c r="W3" s="188" t="s">
        <v>411</v>
      </c>
    </row>
    <row r="4" spans="2:23" ht="13.8" x14ac:dyDescent="0.25">
      <c r="B4" s="186">
        <v>2015</v>
      </c>
      <c r="C4" s="189">
        <f>SUMIF('Res Predicted Monthly'!$B:$B,B4,'Res Predicted Monthly'!D:D)</f>
        <v>481012059.99999994</v>
      </c>
      <c r="D4" s="189">
        <f>SUMIF('Res Predicted Monthly'!$B:$B,B4,'Res Predicted Monthly'!O:O)</f>
        <v>476922040.30077809</v>
      </c>
      <c r="E4" s="190">
        <f t="shared" ref="E4:E13" si="0">ABS(C4-D4)/C4</f>
        <v>8.5029462654675429E-3</v>
      </c>
      <c r="F4" s="190"/>
      <c r="G4" s="190"/>
      <c r="H4" s="186">
        <v>2015</v>
      </c>
      <c r="I4" s="189">
        <f>SUMIF('GS&lt;50 Predicted Monthly'!$B:$B,H4,'GS&lt;50 Predicted Monthly'!D:D)</f>
        <v>134898301.62</v>
      </c>
      <c r="J4" s="189">
        <f>SUMIF('GS&lt;50 Predicted Monthly'!$B:$B,H4,'GS&lt;50 Predicted Monthly'!Q:Q)</f>
        <v>131308099.89515515</v>
      </c>
      <c r="K4" s="190">
        <f t="shared" ref="K4:K13" si="1">ABS(I4-J4)/I4</f>
        <v>2.6614135847004432E-2</v>
      </c>
      <c r="N4" s="186">
        <v>2015</v>
      </c>
      <c r="O4" s="189">
        <f>SUMIF('GS 50-999 Predicted Monthly'!$B:$B,N4,'GS 50-999 Predicted Monthly'!D:D)</f>
        <v>331966598.85181773</v>
      </c>
      <c r="P4" s="189">
        <f>SUMIF('GS 50-999 Predicted Monthly'!$B:$B,N4,'GS 50-999 Predicted Monthly'!Q:Q)</f>
        <v>333025224.3762958</v>
      </c>
      <c r="Q4" s="190">
        <f t="shared" ref="Q4:Q13" si="2">ABS(O4-P4)/O4</f>
        <v>3.1889519251020312E-3</v>
      </c>
      <c r="T4" s="186">
        <v>2015</v>
      </c>
      <c r="U4" s="189">
        <f>SUMIF('Large Use Predicted Monthly'!$B:$B,T4,'Large Use Predicted Monthly'!$D:$D)</f>
        <v>41948975.999999993</v>
      </c>
      <c r="V4" s="189">
        <f>SUMIF('Large Use Predicted Monthly'!$B:$B,T4,'Large Use Predicted Monthly'!$U:$U)</f>
        <v>39213861.570268683</v>
      </c>
      <c r="W4" s="190">
        <f t="shared" ref="W4:W13" si="3">ABS(U4-V4)/U4</f>
        <v>6.5200982015182207E-2</v>
      </c>
    </row>
    <row r="5" spans="2:23" ht="13.8" x14ac:dyDescent="0.25">
      <c r="B5" s="185">
        <v>2016</v>
      </c>
      <c r="C5" s="189">
        <f>SUMIF('Res Predicted Monthly'!$B:$B,B5,'Res Predicted Monthly'!D:D)</f>
        <v>485657328.5</v>
      </c>
      <c r="D5" s="189">
        <f>SUMIF('Res Predicted Monthly'!$B:$B,B5,'Res Predicted Monthly'!O:O)</f>
        <v>488717248.03116369</v>
      </c>
      <c r="E5" s="190">
        <f t="shared" si="0"/>
        <v>6.3005731646520241E-3</v>
      </c>
      <c r="F5" s="190"/>
      <c r="G5" s="190"/>
      <c r="H5" s="185">
        <v>2016</v>
      </c>
      <c r="I5" s="189">
        <f>SUMIF('GS&lt;50 Predicted Monthly'!$B:$B,H5,'GS&lt;50 Predicted Monthly'!D:D)</f>
        <v>134192420.16500002</v>
      </c>
      <c r="J5" s="189">
        <f>SUMIF('GS&lt;50 Predicted Monthly'!$B:$B,H5,'GS&lt;50 Predicted Monthly'!Q:Q)</f>
        <v>135054184.59272656</v>
      </c>
      <c r="K5" s="190">
        <f t="shared" si="1"/>
        <v>6.4218562171166641E-3</v>
      </c>
      <c r="N5" s="185">
        <v>2016</v>
      </c>
      <c r="O5" s="189">
        <f>SUMIF('GS 50-999 Predicted Monthly'!$B:$B,N5,'GS 50-999 Predicted Monthly'!D:D)</f>
        <v>338382860.51643836</v>
      </c>
      <c r="P5" s="189">
        <f>SUMIF('GS 50-999 Predicted Monthly'!$B:$B,N5,'GS 50-999 Predicted Monthly'!Q:Q)</f>
        <v>335876760.56126654</v>
      </c>
      <c r="Q5" s="190">
        <f t="shared" si="2"/>
        <v>7.4061078369838983E-3</v>
      </c>
      <c r="T5" s="185">
        <v>2016</v>
      </c>
      <c r="U5" s="189">
        <f>SUMIF('Large Use Predicted Monthly'!$B:$B,T5,'Large Use Predicted Monthly'!$D:$D)</f>
        <v>41438245.999999993</v>
      </c>
      <c r="V5" s="189">
        <f>SUMIF('Large Use Predicted Monthly'!$B:$B,T5,'Large Use Predicted Monthly'!$U:$U)</f>
        <v>39458719.723537877</v>
      </c>
      <c r="W5" s="190">
        <f t="shared" si="3"/>
        <v>4.7770513174281451E-2</v>
      </c>
    </row>
    <row r="6" spans="2:23" ht="13.8" x14ac:dyDescent="0.25">
      <c r="B6" s="186">
        <v>2017</v>
      </c>
      <c r="C6" s="189">
        <f>SUMIF('Res Predicted Monthly'!$B:$B,B6,'Res Predicted Monthly'!D:D)</f>
        <v>485732542.58580047</v>
      </c>
      <c r="D6" s="189">
        <f>SUMIF('Res Predicted Monthly'!$B:$B,B6,'Res Predicted Monthly'!O:O)</f>
        <v>484768651.78869158</v>
      </c>
      <c r="E6" s="190">
        <f t="shared" si="0"/>
        <v>1.9844064636427476E-3</v>
      </c>
      <c r="F6" s="190"/>
      <c r="G6" s="190"/>
      <c r="H6" s="186">
        <v>2017</v>
      </c>
      <c r="I6" s="189">
        <f>SUMIF('GS&lt;50 Predicted Monthly'!$B:$B,H6,'GS&lt;50 Predicted Monthly'!D:D)</f>
        <v>133352086.91229646</v>
      </c>
      <c r="J6" s="189">
        <f>SUMIF('GS&lt;50 Predicted Monthly'!$B:$B,H6,'GS&lt;50 Predicted Monthly'!Q:Q)</f>
        <v>132262084.23595771</v>
      </c>
      <c r="K6" s="190">
        <f t="shared" si="1"/>
        <v>8.1738704026103805E-3</v>
      </c>
      <c r="N6" s="186">
        <v>2017</v>
      </c>
      <c r="O6" s="189">
        <f>SUMIF('GS 50-999 Predicted Monthly'!$B:$B,N6,'GS 50-999 Predicted Monthly'!D:D)</f>
        <v>348869191.4106676</v>
      </c>
      <c r="P6" s="189">
        <f>SUMIF('GS 50-999 Predicted Monthly'!$B:$B,N6,'GS 50-999 Predicted Monthly'!Q:Q)</f>
        <v>331226870.37178296</v>
      </c>
      <c r="Q6" s="190">
        <f t="shared" si="2"/>
        <v>5.0570017282257441E-2</v>
      </c>
      <c r="T6" s="186">
        <v>2017</v>
      </c>
      <c r="U6" s="189">
        <f>SUMIF('Large Use Predicted Monthly'!$B:$B,T6,'Large Use Predicted Monthly'!$D:$D)</f>
        <v>37675686.675000004</v>
      </c>
      <c r="V6" s="189">
        <f>SUMIF('Large Use Predicted Monthly'!$B:$B,T6,'Large Use Predicted Monthly'!$U:$U)</f>
        <v>39094550.024723701</v>
      </c>
      <c r="W6" s="190">
        <f t="shared" si="3"/>
        <v>3.7659920095502716E-2</v>
      </c>
    </row>
    <row r="7" spans="2:23" ht="13.8" x14ac:dyDescent="0.25">
      <c r="B7" s="185">
        <v>2018</v>
      </c>
      <c r="C7" s="189">
        <f>SUMIF('Res Predicted Monthly'!$B:$B,B7,'Res Predicted Monthly'!D:D)</f>
        <v>511063536.77024138</v>
      </c>
      <c r="D7" s="189">
        <f>SUMIF('Res Predicted Monthly'!$B:$B,B7,'Res Predicted Monthly'!O:O)</f>
        <v>516004977.46185267</v>
      </c>
      <c r="E7" s="190">
        <f t="shared" si="0"/>
        <v>9.668936122580022E-3</v>
      </c>
      <c r="F7" s="190"/>
      <c r="G7" s="190"/>
      <c r="H7" s="185">
        <v>2018</v>
      </c>
      <c r="I7" s="189">
        <f>SUMIF('GS&lt;50 Predicted Monthly'!$B:$B,H7,'GS&lt;50 Predicted Monthly'!D:D)</f>
        <v>140606315.23148555</v>
      </c>
      <c r="J7" s="189">
        <f>SUMIF('GS&lt;50 Predicted Monthly'!$B:$B,H7,'GS&lt;50 Predicted Monthly'!Q:Q)</f>
        <v>137242956.69136372</v>
      </c>
      <c r="K7" s="190">
        <f t="shared" si="1"/>
        <v>2.392039457534036E-2</v>
      </c>
      <c r="N7" s="185">
        <v>2018</v>
      </c>
      <c r="O7" s="189">
        <f>SUMIF('GS 50-999 Predicted Monthly'!$B:$B,N7,'GS 50-999 Predicted Monthly'!D:D)</f>
        <v>331859176.49686801</v>
      </c>
      <c r="P7" s="189">
        <f>SUMIF('GS 50-999 Predicted Monthly'!$B:$B,N7,'GS 50-999 Predicted Monthly'!Q:Q)</f>
        <v>343800642.08431679</v>
      </c>
      <c r="Q7" s="190">
        <f t="shared" si="2"/>
        <v>3.5983532875311273E-2</v>
      </c>
      <c r="T7" s="185">
        <v>2018</v>
      </c>
      <c r="U7" s="189">
        <f>SUMIF('Large Use Predicted Monthly'!$B:$B,T7,'Large Use Predicted Monthly'!$D:$D)</f>
        <v>45152334.11666666</v>
      </c>
      <c r="V7" s="189">
        <f>SUMIF('Large Use Predicted Monthly'!$B:$B,T7,'Large Use Predicted Monthly'!$U:$U)</f>
        <v>39626284.453973033</v>
      </c>
      <c r="W7" s="190">
        <f t="shared" si="3"/>
        <v>0.12238679950443244</v>
      </c>
    </row>
    <row r="8" spans="2:23" ht="13.8" x14ac:dyDescent="0.25">
      <c r="B8" s="185">
        <v>2019</v>
      </c>
      <c r="C8" s="189">
        <f>SUMIF('Res Predicted Monthly'!$B:$B,B8,'Res Predicted Monthly'!D:D)</f>
        <v>511763347</v>
      </c>
      <c r="D8" s="189">
        <f>SUMIF('Res Predicted Monthly'!$B:$B,B8,'Res Predicted Monthly'!O:O)</f>
        <v>513749416.09797871</v>
      </c>
      <c r="E8" s="190">
        <f t="shared" si="0"/>
        <v>3.8808349789433262E-3</v>
      </c>
      <c r="F8" s="190"/>
      <c r="G8" s="190"/>
      <c r="H8" s="185">
        <v>2019</v>
      </c>
      <c r="I8" s="189">
        <f>SUMIF('GS&lt;50 Predicted Monthly'!$B:$B,H8,'GS&lt;50 Predicted Monthly'!D:D)</f>
        <v>123864823.73779301</v>
      </c>
      <c r="J8" s="189">
        <f>SUMIF('GS&lt;50 Predicted Monthly'!$B:$B,H8,'GS&lt;50 Predicted Monthly'!Q:Q)</f>
        <v>135146131.27985844</v>
      </c>
      <c r="K8" s="190">
        <f t="shared" si="1"/>
        <v>9.1077573128805336E-2</v>
      </c>
      <c r="N8" s="185">
        <v>2019</v>
      </c>
      <c r="O8" s="189">
        <f>SUMIF('GS 50-999 Predicted Monthly'!$B:$B,N8,'GS 50-999 Predicted Monthly'!D:D)</f>
        <v>336690488.22027057</v>
      </c>
      <c r="P8" s="189">
        <f>SUMIF('GS 50-999 Predicted Monthly'!$B:$B,N8,'GS 50-999 Predicted Monthly'!Q:Q)</f>
        <v>341735211.07771158</v>
      </c>
      <c r="Q8" s="190">
        <f t="shared" si="2"/>
        <v>1.4983265146892525E-2</v>
      </c>
      <c r="T8" s="185">
        <v>2019</v>
      </c>
      <c r="U8" s="189">
        <f>SUMIF('Large Use Predicted Monthly'!$B:$B,T8,'Large Use Predicted Monthly'!$D:$D)</f>
        <v>39157632.233333327</v>
      </c>
      <c r="V8" s="189">
        <f>SUMIF('Large Use Predicted Monthly'!$B:$B,T8,'Large Use Predicted Monthly'!$U:$U)</f>
        <v>39160279.985173367</v>
      </c>
      <c r="W8" s="190">
        <f t="shared" si="3"/>
        <v>6.7617771786164396E-5</v>
      </c>
    </row>
    <row r="9" spans="2:23" ht="13.8" x14ac:dyDescent="0.25">
      <c r="B9" s="186">
        <v>2020</v>
      </c>
      <c r="C9" s="189">
        <f>SUMIF('Res Predicted Monthly'!$B:$B,B9,'Res Predicted Monthly'!D:D)</f>
        <v>545038339</v>
      </c>
      <c r="D9" s="189">
        <f>SUMIF('Res Predicted Monthly'!$B:$B,B9,'Res Predicted Monthly'!O:O)</f>
        <v>534506065.18768591</v>
      </c>
      <c r="E9" s="190">
        <f t="shared" si="0"/>
        <v>1.9323913674839842E-2</v>
      </c>
      <c r="F9" s="190"/>
      <c r="G9" s="190"/>
      <c r="H9" s="185">
        <v>2020</v>
      </c>
      <c r="I9" s="189">
        <f>SUMIF('GS&lt;50 Predicted Monthly'!$B:$B,H9,'GS&lt;50 Predicted Monthly'!D:D)</f>
        <v>121640408.50729647</v>
      </c>
      <c r="J9" s="189">
        <f>SUMIF('GS&lt;50 Predicted Monthly'!$B:$B,H9,'GS&lt;50 Predicted Monthly'!Q:Q)</f>
        <v>126056838.71810764</v>
      </c>
      <c r="K9" s="190">
        <f t="shared" si="1"/>
        <v>3.6307262241282695E-2</v>
      </c>
      <c r="N9" s="185">
        <v>2020</v>
      </c>
      <c r="O9" s="189">
        <f>SUMIF('GS 50-999 Predicted Monthly'!$B:$B,N9,'GS 50-999 Predicted Monthly'!D:D)</f>
        <v>312300869.96593964</v>
      </c>
      <c r="P9" s="189">
        <f>SUMIF('GS 50-999 Predicted Monthly'!$B:$B,N9,'GS 50-999 Predicted Monthly'!Q:Q)</f>
        <v>318920896.11867136</v>
      </c>
      <c r="Q9" s="190">
        <f t="shared" si="2"/>
        <v>2.1197591135284747E-2</v>
      </c>
      <c r="T9" s="185">
        <v>2020</v>
      </c>
      <c r="U9" s="189">
        <f>SUMIF('Large Use Predicted Monthly'!$B:$B,T9,'Large Use Predicted Monthly'!$D:$D)</f>
        <v>31076990.349999994</v>
      </c>
      <c r="V9" s="189">
        <f>SUMIF('Large Use Predicted Monthly'!$B:$B,T9,'Large Use Predicted Monthly'!$U:$U)</f>
        <v>35040108.469363138</v>
      </c>
      <c r="W9" s="190">
        <f t="shared" si="3"/>
        <v>0.12752580203967998</v>
      </c>
    </row>
    <row r="10" spans="2:23" ht="13.8" x14ac:dyDescent="0.25">
      <c r="B10" s="185">
        <v>2021</v>
      </c>
      <c r="C10" s="189">
        <f>SUMIF('Res Predicted Monthly'!$B:$B,B10,'Res Predicted Monthly'!D:D)</f>
        <v>542014862.93494022</v>
      </c>
      <c r="D10" s="189">
        <f>SUMIF('Res Predicted Monthly'!$B:$B,B10,'Res Predicted Monthly'!O:O)</f>
        <v>542208592.2776047</v>
      </c>
      <c r="E10" s="190">
        <f t="shared" si="0"/>
        <v>3.5742441012680156E-4</v>
      </c>
      <c r="F10" s="190"/>
      <c r="G10" s="190"/>
      <c r="H10" s="186">
        <v>2021</v>
      </c>
      <c r="I10" s="189">
        <f>SUMIF('GS&lt;50 Predicted Monthly'!$B:$B,H10,'GS&lt;50 Predicted Monthly'!D:D)</f>
        <v>125968958.52395788</v>
      </c>
      <c r="J10" s="189">
        <f>SUMIF('GS&lt;50 Predicted Monthly'!$B:$B,H10,'GS&lt;50 Predicted Monthly'!Q:Q)</f>
        <v>126268039.20044671</v>
      </c>
      <c r="K10" s="190">
        <f t="shared" si="1"/>
        <v>2.3742410828295436E-3</v>
      </c>
      <c r="N10" s="185">
        <v>2021</v>
      </c>
      <c r="O10" s="189">
        <f>SUMIF('GS 50-999 Predicted Monthly'!$B:$B,N10,'GS 50-999 Predicted Monthly'!D:D)</f>
        <v>318889100.1174531</v>
      </c>
      <c r="P10" s="189">
        <f>SUMIF('GS 50-999 Predicted Monthly'!$B:$B,N10,'GS 50-999 Predicted Monthly'!Q:Q)</f>
        <v>320616452.55330133</v>
      </c>
      <c r="Q10" s="190">
        <f t="shared" si="2"/>
        <v>5.4167810540153875E-3</v>
      </c>
      <c r="T10" s="185">
        <v>2021</v>
      </c>
      <c r="U10" s="189">
        <f>SUMIF('Large Use Predicted Monthly'!$B:$B,T10,'Large Use Predicted Monthly'!$D:$D)</f>
        <v>36461103.083068967</v>
      </c>
      <c r="V10" s="189">
        <f>SUMIF('Large Use Predicted Monthly'!$B:$B,T10,'Large Use Predicted Monthly'!$U:$U)</f>
        <v>35362708.399484709</v>
      </c>
      <c r="W10" s="190">
        <f t="shared" si="3"/>
        <v>3.0125108422578338E-2</v>
      </c>
    </row>
    <row r="11" spans="2:23" ht="13.8" x14ac:dyDescent="0.25">
      <c r="B11" s="185">
        <v>2022</v>
      </c>
      <c r="C11" s="189">
        <f>SUMIF('Res Predicted Monthly'!$B:$B,B11,'Res Predicted Monthly'!D:D)</f>
        <v>537151507.58162737</v>
      </c>
      <c r="D11" s="189">
        <f>SUMIF('Res Predicted Monthly'!$B:$B,B11,'Res Predicted Monthly'!O:O)</f>
        <v>548900875.06423283</v>
      </c>
      <c r="E11" s="190">
        <f t="shared" si="0"/>
        <v>2.1873470178839595E-2</v>
      </c>
      <c r="F11" s="190"/>
      <c r="G11" s="190"/>
      <c r="H11" s="185">
        <v>2022</v>
      </c>
      <c r="I11" s="189">
        <f>SUMIF('GS&lt;50 Predicted Monthly'!$B:$B,H11,'GS&lt;50 Predicted Monthly'!D:D)</f>
        <v>133832555.90465832</v>
      </c>
      <c r="J11" s="189">
        <f>SUMIF('GS&lt;50 Predicted Monthly'!$B:$B,H11,'GS&lt;50 Predicted Monthly'!Q:Q)</f>
        <v>132189454.75031555</v>
      </c>
      <c r="K11" s="190">
        <f t="shared" si="1"/>
        <v>1.2277290403938098E-2</v>
      </c>
      <c r="N11" s="185">
        <v>2022</v>
      </c>
      <c r="O11" s="189">
        <f>SUMIF('GS 50-999 Predicted Monthly'!$B:$B,N11,'GS 50-999 Predicted Monthly'!D:D)</f>
        <v>352184063.75136703</v>
      </c>
      <c r="P11" s="189">
        <f>SUMIF('GS 50-999 Predicted Monthly'!$B:$B,N11,'GS 50-999 Predicted Monthly'!Q:Q)</f>
        <v>335037277.05446774</v>
      </c>
      <c r="Q11" s="190">
        <f t="shared" si="2"/>
        <v>4.8687003364821436E-2</v>
      </c>
      <c r="T11" s="185">
        <v>2022</v>
      </c>
      <c r="U11" s="189">
        <f>SUMIF('Large Use Predicted Monthly'!$B:$B,T11,'Large Use Predicted Monthly'!$D:$D)</f>
        <v>34241072.745995484</v>
      </c>
      <c r="V11" s="189">
        <f>SUMIF('Large Use Predicted Monthly'!$B:$B,T11,'Large Use Predicted Monthly'!$U:$U)</f>
        <v>37187859.49361033</v>
      </c>
      <c r="W11" s="190">
        <f t="shared" si="3"/>
        <v>8.6060000791285785E-2</v>
      </c>
    </row>
    <row r="12" spans="2:23" ht="13.8" x14ac:dyDescent="0.25">
      <c r="B12" s="186">
        <v>2023</v>
      </c>
      <c r="C12" s="189">
        <f>SUMIF('Res Predicted Monthly'!$B:$B,B12,'Res Predicted Monthly'!D:D)</f>
        <v>545169865.73952734</v>
      </c>
      <c r="D12" s="189">
        <f>SUMIF('Res Predicted Monthly'!$B:$B,B12,'Res Predicted Monthly'!O:O)</f>
        <v>540714118.95064676</v>
      </c>
      <c r="E12" s="190">
        <f t="shared" si="0"/>
        <v>8.1731347766926376E-3</v>
      </c>
      <c r="F12" s="190"/>
      <c r="G12" s="190"/>
      <c r="H12" s="185">
        <v>2023</v>
      </c>
      <c r="I12" s="189">
        <f>SUMIF('GS&lt;50 Predicted Monthly'!$B:$B,H12,'GS&lt;50 Predicted Monthly'!D:D)</f>
        <v>135558434.85972881</v>
      </c>
      <c r="J12" s="189">
        <f>SUMIF('GS&lt;50 Predicted Monthly'!$B:$B,H12,'GS&lt;50 Predicted Monthly'!Q:Q)</f>
        <v>136043604.93654272</v>
      </c>
      <c r="K12" s="190">
        <f t="shared" si="1"/>
        <v>3.5790474957603608E-3</v>
      </c>
      <c r="N12" s="185">
        <v>2023</v>
      </c>
      <c r="O12" s="189">
        <f>SUMIF('GS 50-999 Predicted Monthly'!$B:$B,N12,'GS 50-999 Predicted Monthly'!D:D)</f>
        <v>333727083.94433075</v>
      </c>
      <c r="P12" s="189">
        <f>SUMIF('GS 50-999 Predicted Monthly'!$B:$B,N12,'GS 50-999 Predicted Monthly'!Q:Q)</f>
        <v>337125249.75741458</v>
      </c>
      <c r="Q12" s="190">
        <f t="shared" si="2"/>
        <v>1.0182469378633584E-2</v>
      </c>
      <c r="T12" s="185">
        <v>2023</v>
      </c>
      <c r="U12" s="189">
        <f>SUMIF('Large Use Predicted Monthly'!$B:$B,T12,'Large Use Predicted Monthly'!$D:$D)</f>
        <v>34385309.398317255</v>
      </c>
      <c r="V12" s="189">
        <f>SUMIF('Large Use Predicted Monthly'!$B:$B,T12,'Large Use Predicted Monthly'!$U:$U)</f>
        <v>39089391.861089036</v>
      </c>
      <c r="W12" s="190">
        <f t="shared" si="3"/>
        <v>0.13680500612281793</v>
      </c>
    </row>
    <row r="13" spans="2:23" ht="13.8" x14ac:dyDescent="0.25">
      <c r="B13" s="185">
        <v>2024</v>
      </c>
      <c r="C13" s="189">
        <f>SUMIF('Res Predicted Monthly'!$B:$B,B13,'Res Predicted Monthly'!D:D)</f>
        <v>552782367.57977402</v>
      </c>
      <c r="D13" s="189">
        <f>SUMIF('Res Predicted Monthly'!$B:$B,B13,'Res Predicted Monthly'!O:O)</f>
        <v>550897964.12188292</v>
      </c>
      <c r="E13" s="190">
        <f t="shared" si="0"/>
        <v>3.4089427746067922E-3</v>
      </c>
      <c r="F13" s="190"/>
      <c r="G13" s="190"/>
      <c r="H13" s="185">
        <v>2024</v>
      </c>
      <c r="I13" s="189">
        <f>SUMIF('GS&lt;50 Predicted Monthly'!$B:$B,H13,'GS&lt;50 Predicted Monthly'!D:D)</f>
        <v>141570676.4194943</v>
      </c>
      <c r="J13" s="189">
        <f>SUMIF('GS&lt;50 Predicted Monthly'!$B:$B,H13,'GS&lt;50 Predicted Monthly'!Q:Q)</f>
        <v>137051707.89260617</v>
      </c>
      <c r="K13" s="190">
        <f t="shared" si="1"/>
        <v>3.1920229818622733E-2</v>
      </c>
      <c r="N13" s="185">
        <v>2024</v>
      </c>
      <c r="O13" s="189">
        <f>SUMIF('GS 50-999 Predicted Monthly'!$B:$B,N13,'GS 50-999 Predicted Monthly'!D:D)</f>
        <v>325027822.82436216</v>
      </c>
      <c r="P13" s="189">
        <f>SUMIF('GS 50-999 Predicted Monthly'!$B:$B,N13,'GS 50-999 Predicted Monthly'!Q:Q)</f>
        <v>338776736.00691819</v>
      </c>
      <c r="Q13" s="190">
        <f t="shared" si="2"/>
        <v>4.2300726944184228E-2</v>
      </c>
      <c r="T13" s="185">
        <v>2024</v>
      </c>
      <c r="U13" s="189">
        <f>SUMIF('Large Use Predicted Monthly'!$B:$B,T13,'Large Use Predicted Monthly'!$D:$D)</f>
        <v>40445029.17854955</v>
      </c>
      <c r="V13" s="189">
        <f>SUMIF('Large Use Predicted Monthly'!$B:$B,T13,'Large Use Predicted Monthly'!$U:$U)</f>
        <v>39200362.705077946</v>
      </c>
      <c r="W13" s="190">
        <f t="shared" si="3"/>
        <v>3.0774275572329823E-2</v>
      </c>
    </row>
    <row r="14" spans="2:23" ht="13.8" x14ac:dyDescent="0.25">
      <c r="B14" s="185"/>
      <c r="C14" s="185"/>
      <c r="D14" s="185"/>
      <c r="E14" s="185"/>
      <c r="F14" s="185"/>
      <c r="G14" s="185"/>
      <c r="H14" s="185"/>
      <c r="I14" s="185"/>
      <c r="J14" s="185"/>
      <c r="K14" s="185"/>
      <c r="N14" s="185"/>
      <c r="O14" s="185"/>
      <c r="P14" s="185"/>
      <c r="Q14" s="185"/>
      <c r="T14" s="185"/>
      <c r="U14" s="185"/>
      <c r="V14" s="185"/>
      <c r="W14" s="185"/>
    </row>
    <row r="15" spans="2:23" ht="13.8" x14ac:dyDescent="0.25">
      <c r="B15" s="492" t="s">
        <v>412</v>
      </c>
      <c r="C15" s="492"/>
      <c r="D15" s="492"/>
      <c r="E15" s="191">
        <f>AVERAGE(E4:E13)</f>
        <v>8.347458281039135E-3</v>
      </c>
      <c r="F15" s="191"/>
      <c r="G15" s="191"/>
      <c r="H15" s="492" t="s">
        <v>412</v>
      </c>
      <c r="I15" s="492"/>
      <c r="J15" s="492"/>
      <c r="K15" s="191">
        <f>AVERAGE(K4:K13)</f>
        <v>2.4266590121331061E-2</v>
      </c>
      <c r="N15" s="492" t="s">
        <v>412</v>
      </c>
      <c r="O15" s="492"/>
      <c r="P15" s="492"/>
      <c r="Q15" s="191">
        <f>AVERAGE(Q4:Q13)</f>
        <v>2.3991644694348658E-2</v>
      </c>
      <c r="T15" s="492" t="s">
        <v>412</v>
      </c>
      <c r="U15" s="492"/>
      <c r="V15" s="492"/>
      <c r="W15" s="191">
        <f>AVERAGE(W4:W13)</f>
        <v>6.8437602550987658E-2</v>
      </c>
    </row>
    <row r="16" spans="2:23" ht="13.8" x14ac:dyDescent="0.25">
      <c r="B16" s="492" t="s">
        <v>413</v>
      </c>
      <c r="C16" s="492"/>
      <c r="D16" s="492"/>
      <c r="E16" s="191">
        <f>'Res Predicted Monthly'!Q122</f>
        <v>4.5409589296759173E-2</v>
      </c>
      <c r="F16" s="191"/>
      <c r="G16" s="191"/>
      <c r="H16" s="492" t="s">
        <v>413</v>
      </c>
      <c r="I16" s="492"/>
      <c r="J16" s="492"/>
      <c r="K16" s="191">
        <f>'GS&lt;50 Predicted Monthly'!S122</f>
        <v>3.3588909099901955E-2</v>
      </c>
      <c r="N16" s="492" t="s">
        <v>413</v>
      </c>
      <c r="O16" s="492"/>
      <c r="P16" s="492"/>
      <c r="Q16" s="191">
        <f>'GS 50-999 Predicted Monthly'!S122</f>
        <v>3.9247816435303652E-2</v>
      </c>
      <c r="T16" s="492" t="s">
        <v>413</v>
      </c>
      <c r="U16" s="492"/>
      <c r="V16" s="492"/>
      <c r="W16" s="191">
        <f>'Large Use Predicted Monthly'!W122</f>
        <v>7.8689342138024615E-2</v>
      </c>
    </row>
  </sheetData>
  <mergeCells count="12">
    <mergeCell ref="U2:V2"/>
    <mergeCell ref="T15:V15"/>
    <mergeCell ref="T16:V16"/>
    <mergeCell ref="O2:P2"/>
    <mergeCell ref="N15:P15"/>
    <mergeCell ref="N16:P16"/>
    <mergeCell ref="C2:D2"/>
    <mergeCell ref="B15:D15"/>
    <mergeCell ref="B16:D16"/>
    <mergeCell ref="I2:J2"/>
    <mergeCell ref="H15:J15"/>
    <mergeCell ref="H16:J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O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7" width="11.33203125" style="1" bestFit="1" customWidth="1"/>
    <col min="8" max="8" width="9.33203125" style="1"/>
    <col min="9" max="9" width="11.77734375" style="1" bestFit="1" customWidth="1"/>
    <col min="10" max="10" width="12" style="1" bestFit="1" customWidth="1"/>
    <col min="11" max="11" width="12.77734375" style="1" bestFit="1" customWidth="1"/>
    <col min="12" max="12" width="13.77734375" style="1" bestFit="1" customWidth="1"/>
    <col min="13" max="13" width="14.33203125" style="1" bestFit="1" customWidth="1"/>
    <col min="14" max="14" width="13.6640625" style="1" bestFit="1" customWidth="1"/>
    <col min="15" max="15" width="16.109375" style="1" customWidth="1"/>
    <col min="16" max="16" width="13.77734375" style="1" bestFit="1" customWidth="1"/>
    <col min="17" max="17" width="13" style="1" bestFit="1" customWidth="1"/>
    <col min="18" max="19" width="16" style="1" bestFit="1" customWidth="1"/>
    <col min="20" max="16384" width="9.33203125" style="1"/>
  </cols>
  <sheetData>
    <row r="1" spans="1:15"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414</v>
      </c>
    </row>
    <row r="2" spans="1:15" x14ac:dyDescent="0.25">
      <c r="A2" s="3">
        <f>'Monthly Data'!A2</f>
        <v>42005</v>
      </c>
      <c r="B2" s="1">
        <f>YEAR(A2)</f>
        <v>2015</v>
      </c>
      <c r="C2" s="1">
        <f>MONTH(A2)</f>
        <v>1</v>
      </c>
      <c r="D2" s="268">
        <f>'Monthly Data'!F2</f>
        <v>49452804.208921209</v>
      </c>
      <c r="E2" s="278">
        <f ca="1">Weather!BR34</f>
        <v>573.33418478260865</v>
      </c>
      <c r="F2" s="278">
        <f ca="1">Weather!CU34</f>
        <v>0</v>
      </c>
      <c r="G2" s="18">
        <f>'Monthly Data'!DG2</f>
        <v>0</v>
      </c>
      <c r="H2" s="1">
        <f>'Monthly Data'!CC2</f>
        <v>1</v>
      </c>
      <c r="J2" s="18">
        <f>'Res Predicted Monthly'!$T$9</f>
        <v>24255450.877923299</v>
      </c>
      <c r="K2" s="18">
        <f ca="1">E2*'Res Predicted Monthly'!$T$10</f>
        <v>20534789.975186337</v>
      </c>
      <c r="L2" s="18">
        <f ca="1">F2*'Res Predicted Monthly'!$T$11</f>
        <v>0</v>
      </c>
      <c r="M2" s="18">
        <f>G2*'Res Predicted Monthly'!$T$12</f>
        <v>0</v>
      </c>
      <c r="N2" s="18">
        <f>H2*'Res Predicted Monthly'!$T$13</f>
        <v>63843.490548170899</v>
      </c>
      <c r="O2" s="268">
        <f t="shared" ref="O2:O33" ca="1" si="0">SUM(J2:N2)</f>
        <v>44854084.343657807</v>
      </c>
    </row>
    <row r="3" spans="1:15" x14ac:dyDescent="0.25">
      <c r="A3" s="3">
        <f>'Monthly Data'!A3</f>
        <v>42036</v>
      </c>
      <c r="B3" s="1">
        <f>YEAR(A3)</f>
        <v>2015</v>
      </c>
      <c r="C3" s="1">
        <f>MONTH(A3)</f>
        <v>2</v>
      </c>
      <c r="D3" s="268">
        <f>'Monthly Data'!F3</f>
        <v>50302916.673507825</v>
      </c>
      <c r="E3" s="278">
        <f ca="1">Weather!BR35</f>
        <v>511.05501811594206</v>
      </c>
      <c r="F3" s="278">
        <f ca="1">Weather!CU35</f>
        <v>0</v>
      </c>
      <c r="G3" s="18">
        <f>'Monthly Data'!DG3</f>
        <v>0</v>
      </c>
      <c r="H3" s="1">
        <f>'Monthly Data'!CC3</f>
        <v>2</v>
      </c>
      <c r="J3" s="18">
        <f>'Res Predicted Monthly'!$T$9</f>
        <v>24255450.877923299</v>
      </c>
      <c r="K3" s="18">
        <f ca="1">E3*'Res Predicted Monthly'!$T$10</f>
        <v>18304171.879712854</v>
      </c>
      <c r="L3" s="18">
        <f ca="1">F3*'Res Predicted Monthly'!$T$11</f>
        <v>0</v>
      </c>
      <c r="M3" s="18">
        <f>G3*'Res Predicted Monthly'!$T$12</f>
        <v>0</v>
      </c>
      <c r="N3" s="18">
        <f>H3*'Res Predicted Monthly'!$T$13</f>
        <v>127686.9810963418</v>
      </c>
      <c r="O3" s="268">
        <f t="shared" ca="1" si="0"/>
        <v>42687309.738732494</v>
      </c>
    </row>
    <row r="4" spans="1:15" x14ac:dyDescent="0.25">
      <c r="A4" s="3">
        <f>'Monthly Data'!A4</f>
        <v>42064</v>
      </c>
      <c r="B4" s="1">
        <f>YEAR(A4)</f>
        <v>2015</v>
      </c>
      <c r="C4" s="1">
        <f>MONTH(A4)</f>
        <v>3</v>
      </c>
      <c r="D4" s="268">
        <f>'Monthly Data'!F4</f>
        <v>41870929.863253012</v>
      </c>
      <c r="E4" s="278">
        <f ca="1">Weather!BR36</f>
        <v>422.13298913043479</v>
      </c>
      <c r="F4" s="278">
        <f ca="1">Weather!CU36</f>
        <v>0.51874999999999927</v>
      </c>
      <c r="G4" s="18">
        <f>'Monthly Data'!DG4</f>
        <v>0</v>
      </c>
      <c r="H4" s="1">
        <f>'Monthly Data'!CC4</f>
        <v>3</v>
      </c>
      <c r="J4" s="18">
        <f>'Res Predicted Monthly'!$T$9</f>
        <v>24255450.877923299</v>
      </c>
      <c r="K4" s="18">
        <f ca="1">E4*'Res Predicted Monthly'!$T$10</f>
        <v>15119301.279197056</v>
      </c>
      <c r="L4" s="18">
        <f ca="1">F4*'Res Predicted Monthly'!$T$11</f>
        <v>30393.885715931818</v>
      </c>
      <c r="M4" s="18">
        <f>G4*'Res Predicted Monthly'!$T$12</f>
        <v>0</v>
      </c>
      <c r="N4" s="18">
        <f>H4*'Res Predicted Monthly'!$T$13</f>
        <v>191530.4716445127</v>
      </c>
      <c r="O4" s="268">
        <f t="shared" ca="1" si="0"/>
        <v>39596676.514480799</v>
      </c>
    </row>
    <row r="5" spans="1:15" x14ac:dyDescent="0.25">
      <c r="A5" s="3">
        <f>'Monthly Data'!A5</f>
        <v>42095</v>
      </c>
      <c r="B5" s="1">
        <f>YEAR(A5)</f>
        <v>2015</v>
      </c>
      <c r="C5" s="1">
        <f>MONTH(A5)</f>
        <v>4</v>
      </c>
      <c r="D5" s="268">
        <f>'Monthly Data'!F5</f>
        <v>37098204.799471788</v>
      </c>
      <c r="E5" s="278">
        <f ca="1">Weather!BR37</f>
        <v>234.57024621212122</v>
      </c>
      <c r="F5" s="278">
        <f ca="1">Weather!CU37</f>
        <v>12.79125</v>
      </c>
      <c r="G5" s="18">
        <f>'Monthly Data'!DG5</f>
        <v>0</v>
      </c>
      <c r="H5" s="1">
        <f>'Monthly Data'!CC5</f>
        <v>4</v>
      </c>
      <c r="J5" s="18">
        <f>'Res Predicted Monthly'!$T$9</f>
        <v>24255450.877923299</v>
      </c>
      <c r="K5" s="18">
        <f ca="1">E5*'Res Predicted Monthly'!$T$10</f>
        <v>8401471.372616766</v>
      </c>
      <c r="L5" s="18">
        <f ca="1">F5*'Res Predicted Monthly'!$T$11</f>
        <v>749447.30730392947</v>
      </c>
      <c r="M5" s="18">
        <f>G5*'Res Predicted Monthly'!$T$12</f>
        <v>0</v>
      </c>
      <c r="N5" s="18">
        <f>H5*'Res Predicted Monthly'!$T$13</f>
        <v>255373.9621926836</v>
      </c>
      <c r="O5" s="268">
        <f t="shared" ca="1" si="0"/>
        <v>33661743.520036675</v>
      </c>
    </row>
    <row r="6" spans="1:15" x14ac:dyDescent="0.25">
      <c r="A6" s="3">
        <f>'Monthly Data'!A6</f>
        <v>42125</v>
      </c>
      <c r="B6" s="1">
        <f t="shared" ref="B6:B61" si="1">YEAR(A6)</f>
        <v>2015</v>
      </c>
      <c r="C6" s="1">
        <f t="shared" ref="C6:C61" si="2">MONTH(A6)</f>
        <v>5</v>
      </c>
      <c r="D6" s="268">
        <f>'Monthly Data'!F6</f>
        <v>31770390.553364351</v>
      </c>
      <c r="E6" s="278">
        <f ca="1">Weather!BR38</f>
        <v>64.294809115179262</v>
      </c>
      <c r="F6" s="278">
        <f ca="1">Weather!CU38</f>
        <v>130.22445928308915</v>
      </c>
      <c r="G6" s="18">
        <f>'Monthly Data'!DG6</f>
        <v>0</v>
      </c>
      <c r="H6" s="1">
        <f>'Monthly Data'!CC6</f>
        <v>5</v>
      </c>
      <c r="J6" s="18">
        <f>'Res Predicted Monthly'!$T$9</f>
        <v>24255450.877923299</v>
      </c>
      <c r="K6" s="18">
        <f ca="1">E6*'Res Predicted Monthly'!$T$10</f>
        <v>2302811.2342115333</v>
      </c>
      <c r="L6" s="18">
        <f ca="1">F6*'Res Predicted Monthly'!$T$11</f>
        <v>7629932.2079406912</v>
      </c>
      <c r="M6" s="18">
        <f>G6*'Res Predicted Monthly'!$T$12</f>
        <v>0</v>
      </c>
      <c r="N6" s="18">
        <f>H6*'Res Predicted Monthly'!$T$13</f>
        <v>319217.45274085447</v>
      </c>
      <c r="O6" s="268">
        <f t="shared" ca="1" si="0"/>
        <v>34507411.772816382</v>
      </c>
    </row>
    <row r="7" spans="1:15" x14ac:dyDescent="0.25">
      <c r="A7" s="3">
        <f>'Monthly Data'!A7</f>
        <v>42156</v>
      </c>
      <c r="B7" s="1">
        <f t="shared" si="1"/>
        <v>2015</v>
      </c>
      <c r="C7" s="1">
        <f t="shared" si="2"/>
        <v>6</v>
      </c>
      <c r="D7" s="268">
        <f>'Monthly Data'!F7</f>
        <v>34887825.889012918</v>
      </c>
      <c r="E7" s="278">
        <f ca="1">Weather!BR39</f>
        <v>3.2341666666666669</v>
      </c>
      <c r="F7" s="278">
        <f ca="1">Weather!CU39</f>
        <v>254.51826754405016</v>
      </c>
      <c r="G7" s="18">
        <f>'Monthly Data'!DG7</f>
        <v>0</v>
      </c>
      <c r="H7" s="1">
        <f>'Monthly Data'!CC7</f>
        <v>6</v>
      </c>
      <c r="J7" s="18">
        <f>'Res Predicted Monthly'!$T$9</f>
        <v>24255450.877923299</v>
      </c>
      <c r="K7" s="18">
        <f ca="1">E7*'Res Predicted Monthly'!$T$10</f>
        <v>115836.33944647886</v>
      </c>
      <c r="L7" s="18">
        <f ca="1">F7*'Res Predicted Monthly'!$T$11</f>
        <v>14912383.877302805</v>
      </c>
      <c r="M7" s="18">
        <f>G7*'Res Predicted Monthly'!$T$12</f>
        <v>0</v>
      </c>
      <c r="N7" s="18">
        <f>H7*'Res Predicted Monthly'!$T$13</f>
        <v>383060.9432890254</v>
      </c>
      <c r="O7" s="268">
        <f t="shared" ca="1" si="0"/>
        <v>39666732.03796161</v>
      </c>
    </row>
    <row r="8" spans="1:15" x14ac:dyDescent="0.25">
      <c r="A8" s="3">
        <f>'Monthly Data'!A8</f>
        <v>42186</v>
      </c>
      <c r="B8" s="1">
        <f t="shared" si="1"/>
        <v>2015</v>
      </c>
      <c r="C8" s="1">
        <f t="shared" si="2"/>
        <v>7</v>
      </c>
      <c r="D8" s="268">
        <f>'Monthly Data'!F8</f>
        <v>40842121.370275021</v>
      </c>
      <c r="E8" s="278">
        <f ca="1">Weather!BR40</f>
        <v>0</v>
      </c>
      <c r="F8" s="278">
        <f ca="1">Weather!CU40</f>
        <v>359.94737858727854</v>
      </c>
      <c r="G8" s="18">
        <f>'Monthly Data'!DG8</f>
        <v>0</v>
      </c>
      <c r="H8" s="1">
        <f>'Monthly Data'!CC8</f>
        <v>7</v>
      </c>
      <c r="J8" s="18">
        <f>'Res Predicted Monthly'!$T$9</f>
        <v>24255450.877923299</v>
      </c>
      <c r="K8" s="18">
        <f ca="1">E8*'Res Predicted Monthly'!$T$10</f>
        <v>0</v>
      </c>
      <c r="L8" s="18">
        <f ca="1">F8*'Res Predicted Monthly'!$T$11</f>
        <v>21089541.182710368</v>
      </c>
      <c r="M8" s="18">
        <f>G8*'Res Predicted Monthly'!$T$12</f>
        <v>0</v>
      </c>
      <c r="N8" s="18">
        <f>H8*'Res Predicted Monthly'!$T$13</f>
        <v>446904.43383719632</v>
      </c>
      <c r="O8" s="268">
        <f t="shared" ca="1" si="0"/>
        <v>45791896.494470865</v>
      </c>
    </row>
    <row r="9" spans="1:15" x14ac:dyDescent="0.25">
      <c r="A9" s="3">
        <f>'Monthly Data'!A9</f>
        <v>42217</v>
      </c>
      <c r="B9" s="1">
        <f t="shared" si="1"/>
        <v>2015</v>
      </c>
      <c r="C9" s="1">
        <f t="shared" si="2"/>
        <v>8</v>
      </c>
      <c r="D9" s="268">
        <f>'Monthly Data'!F9</f>
        <v>45385708.477988221</v>
      </c>
      <c r="E9" s="278">
        <f ca="1">Weather!BR41</f>
        <v>0</v>
      </c>
      <c r="F9" s="278">
        <f ca="1">Weather!CU41</f>
        <v>334.96558794466404</v>
      </c>
      <c r="G9" s="18">
        <f>'Monthly Data'!DG9</f>
        <v>0</v>
      </c>
      <c r="H9" s="1">
        <f>'Monthly Data'!CC9</f>
        <v>8</v>
      </c>
      <c r="J9" s="18">
        <f>'Res Predicted Monthly'!$T$9</f>
        <v>24255450.877923299</v>
      </c>
      <c r="K9" s="18">
        <f ca="1">E9*'Res Predicted Monthly'!$T$10</f>
        <v>0</v>
      </c>
      <c r="L9" s="18">
        <f ca="1">F9*'Res Predicted Monthly'!$T$11</f>
        <v>19625842.503633816</v>
      </c>
      <c r="M9" s="18">
        <f>G9*'Res Predicted Monthly'!$T$12</f>
        <v>0</v>
      </c>
      <c r="N9" s="18">
        <f>H9*'Res Predicted Monthly'!$T$13</f>
        <v>510747.92438536719</v>
      </c>
      <c r="O9" s="268">
        <f t="shared" ca="1" si="0"/>
        <v>44392041.305942483</v>
      </c>
    </row>
    <row r="10" spans="1:15" x14ac:dyDescent="0.25">
      <c r="A10" s="3">
        <f>'Monthly Data'!A10</f>
        <v>42248</v>
      </c>
      <c r="B10" s="1">
        <f t="shared" si="1"/>
        <v>2015</v>
      </c>
      <c r="C10" s="1">
        <f t="shared" si="2"/>
        <v>9</v>
      </c>
      <c r="D10" s="268">
        <f>'Monthly Data'!F10</f>
        <v>40632623.048269503</v>
      </c>
      <c r="E10" s="278">
        <f ca="1">Weather!BR42</f>
        <v>10.413369565217392</v>
      </c>
      <c r="F10" s="278">
        <f ca="1">Weather!CU42</f>
        <v>216.57430900621117</v>
      </c>
      <c r="G10" s="18">
        <f>'Monthly Data'!DG10</f>
        <v>0</v>
      </c>
      <c r="H10" s="1">
        <f>'Monthly Data'!CC10</f>
        <v>9</v>
      </c>
      <c r="J10" s="18">
        <f>'Res Predicted Monthly'!$T$9</f>
        <v>24255450.877923299</v>
      </c>
      <c r="K10" s="18">
        <f ca="1">E10*'Res Predicted Monthly'!$T$10</f>
        <v>372969.83614681382</v>
      </c>
      <c r="L10" s="18">
        <f ca="1">F10*'Res Predicted Monthly'!$T$11</f>
        <v>12689223.704947844</v>
      </c>
      <c r="M10" s="18">
        <f>G10*'Res Predicted Monthly'!$T$12</f>
        <v>0</v>
      </c>
      <c r="N10" s="18">
        <f>H10*'Res Predicted Monthly'!$T$13</f>
        <v>574591.41493353806</v>
      </c>
      <c r="O10" s="268">
        <f t="shared" ca="1" si="0"/>
        <v>37892235.833951496</v>
      </c>
    </row>
    <row r="11" spans="1:15" x14ac:dyDescent="0.25">
      <c r="A11" s="3">
        <f>'Monthly Data'!A11</f>
        <v>42278</v>
      </c>
      <c r="B11" s="1">
        <f t="shared" si="1"/>
        <v>2015</v>
      </c>
      <c r="C11" s="1">
        <f t="shared" si="2"/>
        <v>10</v>
      </c>
      <c r="D11" s="268">
        <f>'Monthly Data'!F11</f>
        <v>32633098.840061631</v>
      </c>
      <c r="E11" s="278">
        <f ca="1">Weather!BR43</f>
        <v>130.19639492753623</v>
      </c>
      <c r="F11" s="278">
        <f ca="1">Weather!CU43</f>
        <v>62.266666666666673</v>
      </c>
      <c r="G11" s="18">
        <f>'Monthly Data'!DG11</f>
        <v>0</v>
      </c>
      <c r="H11" s="1">
        <f>'Monthly Data'!CC11</f>
        <v>10</v>
      </c>
      <c r="J11" s="18">
        <f>'Res Predicted Monthly'!$T$9</f>
        <v>24255450.877923299</v>
      </c>
      <c r="K11" s="18">
        <f ca="1">E11*'Res Predicted Monthly'!$T$10</f>
        <v>4663171.4911210211</v>
      </c>
      <c r="L11" s="18">
        <f ca="1">F11*'Res Predicted Monthly'!$T$11</f>
        <v>3648242.796296271</v>
      </c>
      <c r="M11" s="18">
        <f>G11*'Res Predicted Monthly'!$T$12</f>
        <v>0</v>
      </c>
      <c r="N11" s="18">
        <f>H11*'Res Predicted Monthly'!$T$13</f>
        <v>638434.90548170893</v>
      </c>
      <c r="O11" s="268">
        <f t="shared" ca="1" si="0"/>
        <v>33205300.070822299</v>
      </c>
    </row>
    <row r="12" spans="1:15" x14ac:dyDescent="0.25">
      <c r="A12" s="3">
        <f>'Monthly Data'!A12</f>
        <v>42309</v>
      </c>
      <c r="B12" s="1">
        <f t="shared" si="1"/>
        <v>2015</v>
      </c>
      <c r="C12" s="1">
        <f t="shared" si="2"/>
        <v>11</v>
      </c>
      <c r="D12" s="268">
        <f>'Monthly Data'!F12</f>
        <v>36028748.529270537</v>
      </c>
      <c r="E12" s="278">
        <f ca="1">Weather!BR44</f>
        <v>307.43824722379077</v>
      </c>
      <c r="F12" s="278">
        <f ca="1">Weather!CU44</f>
        <v>5.6391666666666662</v>
      </c>
      <c r="G12" s="18">
        <f>'Monthly Data'!DG12</f>
        <v>0</v>
      </c>
      <c r="H12" s="1">
        <f>'Monthly Data'!CC12</f>
        <v>11</v>
      </c>
      <c r="J12" s="18">
        <f>'Res Predicted Monthly'!$T$9</f>
        <v>24255450.877923299</v>
      </c>
      <c r="K12" s="18">
        <f ca="1">E12*'Res Predicted Monthly'!$T$10</f>
        <v>11011343.828161456</v>
      </c>
      <c r="L12" s="18">
        <f ca="1">F12*'Res Predicted Monthly'!$T$11</f>
        <v>330402.28857784881</v>
      </c>
      <c r="M12" s="18">
        <f>G12*'Res Predicted Monthly'!$T$12</f>
        <v>0</v>
      </c>
      <c r="N12" s="18">
        <f>H12*'Res Predicted Monthly'!$T$13</f>
        <v>702278.39602987992</v>
      </c>
      <c r="O12" s="268">
        <f t="shared" ca="1" si="0"/>
        <v>36299475.390692487</v>
      </c>
    </row>
    <row r="13" spans="1:15" x14ac:dyDescent="0.25">
      <c r="A13" s="3">
        <f>'Monthly Data'!A13</f>
        <v>42339</v>
      </c>
      <c r="B13" s="1">
        <f t="shared" si="1"/>
        <v>2015</v>
      </c>
      <c r="C13" s="1">
        <f t="shared" si="2"/>
        <v>12</v>
      </c>
      <c r="D13" s="268">
        <f>'Monthly Data'!F13</f>
        <v>40106687.746603891</v>
      </c>
      <c r="E13" s="278">
        <f ca="1">Weather!BR45</f>
        <v>453.92800724637681</v>
      </c>
      <c r="F13" s="278">
        <f ca="1">Weather!CU45</f>
        <v>0.12791666666666668</v>
      </c>
      <c r="G13" s="18">
        <f>'Monthly Data'!DG13</f>
        <v>0</v>
      </c>
      <c r="H13" s="1">
        <f>'Monthly Data'!CC13</f>
        <v>12</v>
      </c>
      <c r="J13" s="18">
        <f>'Res Predicted Monthly'!$T$9</f>
        <v>24255450.877923299</v>
      </c>
      <c r="K13" s="18">
        <f ca="1">E13*'Res Predicted Monthly'!$T$10</f>
        <v>16258085.668123169</v>
      </c>
      <c r="L13" s="18">
        <f ca="1">F13*'Res Predicted Monthly'!$T$11</f>
        <v>7494.7172006354076</v>
      </c>
      <c r="M13" s="18">
        <f>G13*'Res Predicted Monthly'!$T$12</f>
        <v>0</v>
      </c>
      <c r="N13" s="18">
        <f>H13*'Res Predicted Monthly'!$T$13</f>
        <v>766121.88657805079</v>
      </c>
      <c r="O13" s="268">
        <f t="shared" ca="1" si="0"/>
        <v>41287153.149825156</v>
      </c>
    </row>
    <row r="14" spans="1:15" x14ac:dyDescent="0.25">
      <c r="A14" s="3">
        <f>'Monthly Data'!A14</f>
        <v>42370</v>
      </c>
      <c r="B14" s="1">
        <f t="shared" si="1"/>
        <v>2016</v>
      </c>
      <c r="C14" s="1">
        <f t="shared" si="2"/>
        <v>1</v>
      </c>
      <c r="D14" s="268">
        <f>'Monthly Data'!F14</f>
        <v>44838756.596333042</v>
      </c>
      <c r="E14" s="278">
        <f t="shared" ref="E14:F33" ca="1" si="3">E2</f>
        <v>573.33418478260865</v>
      </c>
      <c r="F14" s="278">
        <f t="shared" ca="1" si="3"/>
        <v>0</v>
      </c>
      <c r="G14" s="18">
        <f>'Monthly Data'!DG14</f>
        <v>0</v>
      </c>
      <c r="H14" s="1">
        <f>'Monthly Data'!CC14</f>
        <v>13</v>
      </c>
      <c r="J14" s="18">
        <f>'Res Predicted Monthly'!$T$9</f>
        <v>24255450.877923299</v>
      </c>
      <c r="K14" s="18">
        <f ca="1">E14*'Res Predicted Monthly'!$T$10</f>
        <v>20534789.975186337</v>
      </c>
      <c r="L14" s="18">
        <f ca="1">F14*'Res Predicted Monthly'!$T$11</f>
        <v>0</v>
      </c>
      <c r="M14" s="18">
        <f>G14*'Res Predicted Monthly'!$T$12</f>
        <v>0</v>
      </c>
      <c r="N14" s="18">
        <f>H14*'Res Predicted Monthly'!$T$13</f>
        <v>829965.37712622166</v>
      </c>
      <c r="O14" s="268">
        <f t="shared" ca="1" si="0"/>
        <v>45620206.23023586</v>
      </c>
    </row>
    <row r="15" spans="1:15" x14ac:dyDescent="0.25">
      <c r="A15" s="3">
        <f>'Monthly Data'!A15</f>
        <v>42401</v>
      </c>
      <c r="B15" s="1">
        <f t="shared" si="1"/>
        <v>2016</v>
      </c>
      <c r="C15" s="1">
        <f t="shared" si="2"/>
        <v>2</v>
      </c>
      <c r="D15" s="268">
        <f>'Monthly Data'!F15</f>
        <v>44227635.344579577</v>
      </c>
      <c r="E15" s="278">
        <f t="shared" ca="1" si="3"/>
        <v>511.05501811594206</v>
      </c>
      <c r="F15" s="278">
        <f t="shared" ca="1" si="3"/>
        <v>0</v>
      </c>
      <c r="G15" s="18">
        <f>'Monthly Data'!DG15</f>
        <v>0</v>
      </c>
      <c r="H15" s="1">
        <f>'Monthly Data'!CC15</f>
        <v>14</v>
      </c>
      <c r="J15" s="18">
        <f>'Res Predicted Monthly'!$T$9</f>
        <v>24255450.877923299</v>
      </c>
      <c r="K15" s="18">
        <f ca="1">E15*'Res Predicted Monthly'!$T$10</f>
        <v>18304171.879712854</v>
      </c>
      <c r="L15" s="18">
        <f ca="1">F15*'Res Predicted Monthly'!$T$11</f>
        <v>0</v>
      </c>
      <c r="M15" s="18">
        <f>G15*'Res Predicted Monthly'!$T$12</f>
        <v>0</v>
      </c>
      <c r="N15" s="18">
        <f>H15*'Res Predicted Monthly'!$T$13</f>
        <v>893808.86767439265</v>
      </c>
      <c r="O15" s="268">
        <f t="shared" ca="1" si="0"/>
        <v>43453431.625310548</v>
      </c>
    </row>
    <row r="16" spans="1:15" x14ac:dyDescent="0.25">
      <c r="A16" s="3">
        <f>'Monthly Data'!A16</f>
        <v>42430</v>
      </c>
      <c r="B16" s="1">
        <f t="shared" si="1"/>
        <v>2016</v>
      </c>
      <c r="C16" s="1">
        <f t="shared" si="2"/>
        <v>3</v>
      </c>
      <c r="D16" s="268">
        <f>'Monthly Data'!F16</f>
        <v>38332383.641313039</v>
      </c>
      <c r="E16" s="278">
        <f t="shared" ca="1" si="3"/>
        <v>422.13298913043479</v>
      </c>
      <c r="F16" s="278">
        <f t="shared" ca="1" si="3"/>
        <v>0.51874999999999927</v>
      </c>
      <c r="G16" s="18">
        <f>'Monthly Data'!DG16</f>
        <v>0</v>
      </c>
      <c r="H16" s="1">
        <f>'Monthly Data'!CC16</f>
        <v>15</v>
      </c>
      <c r="J16" s="18">
        <f>'Res Predicted Monthly'!$T$9</f>
        <v>24255450.877923299</v>
      </c>
      <c r="K16" s="18">
        <f ca="1">E16*'Res Predicted Monthly'!$T$10</f>
        <v>15119301.279197056</v>
      </c>
      <c r="L16" s="18">
        <f ca="1">F16*'Res Predicted Monthly'!$T$11</f>
        <v>30393.885715931818</v>
      </c>
      <c r="M16" s="18">
        <f>G16*'Res Predicted Monthly'!$T$12</f>
        <v>0</v>
      </c>
      <c r="N16" s="18">
        <f>H16*'Res Predicted Monthly'!$T$13</f>
        <v>957652.35822256352</v>
      </c>
      <c r="O16" s="268">
        <f t="shared" ca="1" si="0"/>
        <v>40362798.401058853</v>
      </c>
    </row>
    <row r="17" spans="1:15" x14ac:dyDescent="0.25">
      <c r="A17" s="3">
        <f>'Monthly Data'!A17</f>
        <v>42461</v>
      </c>
      <c r="B17" s="1">
        <f t="shared" si="1"/>
        <v>2016</v>
      </c>
      <c r="C17" s="1">
        <f t="shared" si="2"/>
        <v>4</v>
      </c>
      <c r="D17" s="268">
        <f>'Monthly Data'!F17</f>
        <v>36524120.843347013</v>
      </c>
      <c r="E17" s="278">
        <f t="shared" ca="1" si="3"/>
        <v>234.57024621212122</v>
      </c>
      <c r="F17" s="278">
        <f t="shared" ca="1" si="3"/>
        <v>12.79125</v>
      </c>
      <c r="G17" s="18">
        <f>'Monthly Data'!DG17</f>
        <v>0</v>
      </c>
      <c r="H17" s="1">
        <f>'Monthly Data'!CC17</f>
        <v>16</v>
      </c>
      <c r="J17" s="18">
        <f>'Res Predicted Monthly'!$T$9</f>
        <v>24255450.877923299</v>
      </c>
      <c r="K17" s="18">
        <f ca="1">E17*'Res Predicted Monthly'!$T$10</f>
        <v>8401471.372616766</v>
      </c>
      <c r="L17" s="18">
        <f ca="1">F17*'Res Predicted Monthly'!$T$11</f>
        <v>749447.30730392947</v>
      </c>
      <c r="M17" s="18">
        <f>G17*'Res Predicted Monthly'!$T$12</f>
        <v>0</v>
      </c>
      <c r="N17" s="18">
        <f>H17*'Res Predicted Monthly'!$T$13</f>
        <v>1021495.8487707344</v>
      </c>
      <c r="O17" s="268">
        <f t="shared" ca="1" si="0"/>
        <v>34427865.406614728</v>
      </c>
    </row>
    <row r="18" spans="1:15" x14ac:dyDescent="0.25">
      <c r="A18" s="3">
        <f>'Monthly Data'!A18</f>
        <v>42491</v>
      </c>
      <c r="B18" s="1">
        <f t="shared" si="1"/>
        <v>2016</v>
      </c>
      <c r="C18" s="1">
        <f t="shared" si="2"/>
        <v>5</v>
      </c>
      <c r="D18" s="268">
        <f>'Monthly Data'!F18</f>
        <v>31953380.148771688</v>
      </c>
      <c r="E18" s="278">
        <f t="shared" ca="1" si="3"/>
        <v>64.294809115179262</v>
      </c>
      <c r="F18" s="278">
        <f t="shared" ca="1" si="3"/>
        <v>130.22445928308915</v>
      </c>
      <c r="G18" s="18">
        <f>'Monthly Data'!DG18</f>
        <v>0</v>
      </c>
      <c r="H18" s="1">
        <f>'Monthly Data'!CC18</f>
        <v>17</v>
      </c>
      <c r="J18" s="18">
        <f>'Res Predicted Monthly'!$T$9</f>
        <v>24255450.877923299</v>
      </c>
      <c r="K18" s="18">
        <f ca="1">E18*'Res Predicted Monthly'!$T$10</f>
        <v>2302811.2342115333</v>
      </c>
      <c r="L18" s="18">
        <f ca="1">F18*'Res Predicted Monthly'!$T$11</f>
        <v>7629932.2079406912</v>
      </c>
      <c r="M18" s="18">
        <f>G18*'Res Predicted Monthly'!$T$12</f>
        <v>0</v>
      </c>
      <c r="N18" s="18">
        <f>H18*'Res Predicted Monthly'!$T$13</f>
        <v>1085339.3393189053</v>
      </c>
      <c r="O18" s="268">
        <f t="shared" ca="1" si="0"/>
        <v>35273533.659394436</v>
      </c>
    </row>
    <row r="19" spans="1:15" x14ac:dyDescent="0.25">
      <c r="A19" s="3">
        <f>'Monthly Data'!A19</f>
        <v>42522</v>
      </c>
      <c r="B19" s="1">
        <f t="shared" si="1"/>
        <v>2016</v>
      </c>
      <c r="C19" s="1">
        <f t="shared" si="2"/>
        <v>6</v>
      </c>
      <c r="D19" s="268">
        <f>'Monthly Data'!F19</f>
        <v>38776341.079345882</v>
      </c>
      <c r="E19" s="278">
        <f t="shared" ca="1" si="3"/>
        <v>3.2341666666666669</v>
      </c>
      <c r="F19" s="278">
        <f t="shared" ca="1" si="3"/>
        <v>254.51826754405016</v>
      </c>
      <c r="G19" s="18">
        <f>'Monthly Data'!DG19</f>
        <v>0</v>
      </c>
      <c r="H19" s="1">
        <f>'Monthly Data'!CC19</f>
        <v>18</v>
      </c>
      <c r="J19" s="18">
        <f>'Res Predicted Monthly'!$T$9</f>
        <v>24255450.877923299</v>
      </c>
      <c r="K19" s="18">
        <f ca="1">E19*'Res Predicted Monthly'!$T$10</f>
        <v>115836.33944647886</v>
      </c>
      <c r="L19" s="18">
        <f ca="1">F19*'Res Predicted Monthly'!$T$11</f>
        <v>14912383.877302805</v>
      </c>
      <c r="M19" s="18">
        <f>G19*'Res Predicted Monthly'!$T$12</f>
        <v>0</v>
      </c>
      <c r="N19" s="18">
        <f>H19*'Res Predicted Monthly'!$T$13</f>
        <v>1149182.8298670761</v>
      </c>
      <c r="O19" s="268">
        <f t="shared" ca="1" si="0"/>
        <v>40432853.924539655</v>
      </c>
    </row>
    <row r="20" spans="1:15" x14ac:dyDescent="0.25">
      <c r="A20" s="3">
        <f>'Monthly Data'!A20</f>
        <v>42552</v>
      </c>
      <c r="B20" s="1">
        <f t="shared" si="1"/>
        <v>2016</v>
      </c>
      <c r="C20" s="1">
        <f t="shared" si="2"/>
        <v>7</v>
      </c>
      <c r="D20" s="268">
        <f>'Monthly Data'!F20</f>
        <v>47218565.56540361</v>
      </c>
      <c r="E20" s="278">
        <f t="shared" ca="1" si="3"/>
        <v>0</v>
      </c>
      <c r="F20" s="278">
        <f t="shared" ca="1" si="3"/>
        <v>359.94737858727854</v>
      </c>
      <c r="G20" s="18">
        <f>'Monthly Data'!DG20</f>
        <v>0</v>
      </c>
      <c r="H20" s="1">
        <f>'Monthly Data'!CC20</f>
        <v>19</v>
      </c>
      <c r="J20" s="18">
        <f>'Res Predicted Monthly'!$T$9</f>
        <v>24255450.877923299</v>
      </c>
      <c r="K20" s="18">
        <f ca="1">E20*'Res Predicted Monthly'!$T$10</f>
        <v>0</v>
      </c>
      <c r="L20" s="18">
        <f ca="1">F20*'Res Predicted Monthly'!$T$11</f>
        <v>21089541.182710368</v>
      </c>
      <c r="M20" s="18">
        <f>G20*'Res Predicted Monthly'!$T$12</f>
        <v>0</v>
      </c>
      <c r="N20" s="18">
        <f>H20*'Res Predicted Monthly'!$T$13</f>
        <v>1213026.320415247</v>
      </c>
      <c r="O20" s="268">
        <f t="shared" ca="1" si="0"/>
        <v>46558018.38104891</v>
      </c>
    </row>
    <row r="21" spans="1:15" x14ac:dyDescent="0.25">
      <c r="A21" s="3">
        <f>'Monthly Data'!A21</f>
        <v>42583</v>
      </c>
      <c r="B21" s="1">
        <f t="shared" si="1"/>
        <v>2016</v>
      </c>
      <c r="C21" s="1">
        <f t="shared" si="2"/>
        <v>8</v>
      </c>
      <c r="D21" s="268">
        <f>'Monthly Data'!F21</f>
        <v>52195914.613973007</v>
      </c>
      <c r="E21" s="278">
        <f t="shared" ca="1" si="3"/>
        <v>0</v>
      </c>
      <c r="F21" s="278">
        <f t="shared" ca="1" si="3"/>
        <v>334.96558794466404</v>
      </c>
      <c r="G21" s="18">
        <f>'Monthly Data'!DG21</f>
        <v>0</v>
      </c>
      <c r="H21" s="1">
        <f>'Monthly Data'!CC21</f>
        <v>20</v>
      </c>
      <c r="J21" s="18">
        <f>'Res Predicted Monthly'!$T$9</f>
        <v>24255450.877923299</v>
      </c>
      <c r="K21" s="18">
        <f ca="1">E21*'Res Predicted Monthly'!$T$10</f>
        <v>0</v>
      </c>
      <c r="L21" s="18">
        <f ca="1">F21*'Res Predicted Monthly'!$T$11</f>
        <v>19625842.503633816</v>
      </c>
      <c r="M21" s="18">
        <f>G21*'Res Predicted Monthly'!$T$12</f>
        <v>0</v>
      </c>
      <c r="N21" s="18">
        <f>H21*'Res Predicted Monthly'!$T$13</f>
        <v>1276869.8109634179</v>
      </c>
      <c r="O21" s="268">
        <f t="shared" ca="1" si="0"/>
        <v>45158163.192520529</v>
      </c>
    </row>
    <row r="22" spans="1:15" x14ac:dyDescent="0.25">
      <c r="A22" s="3">
        <f>'Monthly Data'!A22</f>
        <v>42614</v>
      </c>
      <c r="B22" s="1">
        <f t="shared" si="1"/>
        <v>2016</v>
      </c>
      <c r="C22" s="1">
        <f t="shared" si="2"/>
        <v>9</v>
      </c>
      <c r="D22" s="268">
        <f>'Monthly Data'!F22</f>
        <v>42103147.773135491</v>
      </c>
      <c r="E22" s="278">
        <f t="shared" ca="1" si="3"/>
        <v>10.413369565217392</v>
      </c>
      <c r="F22" s="278">
        <f t="shared" ca="1" si="3"/>
        <v>216.57430900621117</v>
      </c>
      <c r="G22" s="18">
        <f>'Monthly Data'!DG22</f>
        <v>0</v>
      </c>
      <c r="H22" s="1">
        <f>'Monthly Data'!CC22</f>
        <v>21</v>
      </c>
      <c r="J22" s="18">
        <f>'Res Predicted Monthly'!$T$9</f>
        <v>24255450.877923299</v>
      </c>
      <c r="K22" s="18">
        <f ca="1">E22*'Res Predicted Monthly'!$T$10</f>
        <v>372969.83614681382</v>
      </c>
      <c r="L22" s="18">
        <f ca="1">F22*'Res Predicted Monthly'!$T$11</f>
        <v>12689223.704947844</v>
      </c>
      <c r="M22" s="18">
        <f>G22*'Res Predicted Monthly'!$T$12</f>
        <v>0</v>
      </c>
      <c r="N22" s="18">
        <f>H22*'Res Predicted Monthly'!$T$13</f>
        <v>1340713.301511589</v>
      </c>
      <c r="O22" s="268">
        <f t="shared" ca="1" si="0"/>
        <v>38658357.720529541</v>
      </c>
    </row>
    <row r="23" spans="1:15" x14ac:dyDescent="0.25">
      <c r="A23" s="3">
        <f>'Monthly Data'!A23</f>
        <v>42644</v>
      </c>
      <c r="B23" s="1">
        <f t="shared" si="1"/>
        <v>2016</v>
      </c>
      <c r="C23" s="1">
        <f t="shared" si="2"/>
        <v>10</v>
      </c>
      <c r="D23" s="268">
        <f>'Monthly Data'!F23</f>
        <v>31899084.21183715</v>
      </c>
      <c r="E23" s="278">
        <f t="shared" ca="1" si="3"/>
        <v>130.19639492753623</v>
      </c>
      <c r="F23" s="278">
        <f t="shared" ca="1" si="3"/>
        <v>62.266666666666673</v>
      </c>
      <c r="G23" s="18">
        <f>'Monthly Data'!DG23</f>
        <v>0</v>
      </c>
      <c r="H23" s="1">
        <f>'Monthly Data'!CC23</f>
        <v>22</v>
      </c>
      <c r="J23" s="18">
        <f>'Res Predicted Monthly'!$T$9</f>
        <v>24255450.877923299</v>
      </c>
      <c r="K23" s="18">
        <f ca="1">E23*'Res Predicted Monthly'!$T$10</f>
        <v>4663171.4911210211</v>
      </c>
      <c r="L23" s="18">
        <f ca="1">F23*'Res Predicted Monthly'!$T$11</f>
        <v>3648242.796296271</v>
      </c>
      <c r="M23" s="18">
        <f>G23*'Res Predicted Monthly'!$T$12</f>
        <v>0</v>
      </c>
      <c r="N23" s="18">
        <f>H23*'Res Predicted Monthly'!$T$13</f>
        <v>1404556.7920597598</v>
      </c>
      <c r="O23" s="268">
        <f t="shared" ca="1" si="0"/>
        <v>33971421.957400352</v>
      </c>
    </row>
    <row r="24" spans="1:15" x14ac:dyDescent="0.25">
      <c r="A24" s="3">
        <f>'Monthly Data'!A24</f>
        <v>42675</v>
      </c>
      <c r="B24" s="1">
        <f t="shared" si="1"/>
        <v>2016</v>
      </c>
      <c r="C24" s="1">
        <f t="shared" si="2"/>
        <v>11</v>
      </c>
      <c r="D24" s="268">
        <f>'Monthly Data'!F24</f>
        <v>35135197.641628094</v>
      </c>
      <c r="E24" s="278">
        <f t="shared" ca="1" si="3"/>
        <v>307.43824722379077</v>
      </c>
      <c r="F24" s="278">
        <f t="shared" ca="1" si="3"/>
        <v>5.6391666666666662</v>
      </c>
      <c r="G24" s="18">
        <f>'Monthly Data'!DG24</f>
        <v>0</v>
      </c>
      <c r="H24" s="1">
        <f>'Monthly Data'!CC24</f>
        <v>23</v>
      </c>
      <c r="J24" s="18">
        <f>'Res Predicted Monthly'!$T$9</f>
        <v>24255450.877923299</v>
      </c>
      <c r="K24" s="18">
        <f ca="1">E24*'Res Predicted Monthly'!$T$10</f>
        <v>11011343.828161456</v>
      </c>
      <c r="L24" s="18">
        <f ca="1">F24*'Res Predicted Monthly'!$T$11</f>
        <v>330402.28857784881</v>
      </c>
      <c r="M24" s="18">
        <f>G24*'Res Predicted Monthly'!$T$12</f>
        <v>0</v>
      </c>
      <c r="N24" s="18">
        <f>H24*'Res Predicted Monthly'!$T$13</f>
        <v>1468400.2826079307</v>
      </c>
      <c r="O24" s="268">
        <f t="shared" ca="1" si="0"/>
        <v>37065597.277270533</v>
      </c>
    </row>
    <row r="25" spans="1:15" x14ac:dyDescent="0.25">
      <c r="A25" s="3">
        <f>'Monthly Data'!A25</f>
        <v>42705</v>
      </c>
      <c r="B25" s="1">
        <f t="shared" si="1"/>
        <v>2016</v>
      </c>
      <c r="C25" s="1">
        <f t="shared" si="2"/>
        <v>12</v>
      </c>
      <c r="D25" s="268">
        <f>'Monthly Data'!F25</f>
        <v>42452801.040332444</v>
      </c>
      <c r="E25" s="278">
        <f t="shared" ca="1" si="3"/>
        <v>453.92800724637681</v>
      </c>
      <c r="F25" s="278">
        <f t="shared" ca="1" si="3"/>
        <v>0.12791666666666668</v>
      </c>
      <c r="G25" s="18">
        <f>'Monthly Data'!DG25</f>
        <v>0</v>
      </c>
      <c r="H25" s="1">
        <f>'Monthly Data'!CC25</f>
        <v>24</v>
      </c>
      <c r="J25" s="18">
        <f>'Res Predicted Monthly'!$T$9</f>
        <v>24255450.877923299</v>
      </c>
      <c r="K25" s="18">
        <f ca="1">E25*'Res Predicted Monthly'!$T$10</f>
        <v>16258085.668123169</v>
      </c>
      <c r="L25" s="18">
        <f ca="1">F25*'Res Predicted Monthly'!$T$11</f>
        <v>7494.7172006354076</v>
      </c>
      <c r="M25" s="18">
        <f>G25*'Res Predicted Monthly'!$T$12</f>
        <v>0</v>
      </c>
      <c r="N25" s="18">
        <f>H25*'Res Predicted Monthly'!$T$13</f>
        <v>1532243.7731561016</v>
      </c>
      <c r="O25" s="268">
        <f t="shared" ca="1" si="0"/>
        <v>42053275.036403202</v>
      </c>
    </row>
    <row r="26" spans="1:15" x14ac:dyDescent="0.25">
      <c r="A26" s="3">
        <f>'Monthly Data'!A26</f>
        <v>42736</v>
      </c>
      <c r="B26" s="1">
        <f t="shared" si="1"/>
        <v>2017</v>
      </c>
      <c r="C26" s="1">
        <f t="shared" si="2"/>
        <v>1</v>
      </c>
      <c r="D26" s="268">
        <f>'Monthly Data'!F26</f>
        <v>46444289.199650407</v>
      </c>
      <c r="E26" s="278">
        <f t="shared" ca="1" si="3"/>
        <v>573.33418478260865</v>
      </c>
      <c r="F26" s="278">
        <f t="shared" ca="1" si="3"/>
        <v>0</v>
      </c>
      <c r="G26" s="18">
        <f>'Monthly Data'!DG26</f>
        <v>0</v>
      </c>
      <c r="H26" s="1">
        <f>'Monthly Data'!CC26</f>
        <v>25</v>
      </c>
      <c r="J26" s="18">
        <f>'Res Predicted Monthly'!$T$9</f>
        <v>24255450.877923299</v>
      </c>
      <c r="K26" s="18">
        <f ca="1">E26*'Res Predicted Monthly'!$T$10</f>
        <v>20534789.975186337</v>
      </c>
      <c r="L26" s="18">
        <f ca="1">F26*'Res Predicted Monthly'!$T$11</f>
        <v>0</v>
      </c>
      <c r="M26" s="18">
        <f>G26*'Res Predicted Monthly'!$T$12</f>
        <v>0</v>
      </c>
      <c r="N26" s="18">
        <f>H26*'Res Predicted Monthly'!$T$13</f>
        <v>1596087.2637042725</v>
      </c>
      <c r="O26" s="268">
        <f t="shared" ca="1" si="0"/>
        <v>46386328.116813906</v>
      </c>
    </row>
    <row r="27" spans="1:15" x14ac:dyDescent="0.25">
      <c r="A27" s="3">
        <f>'Monthly Data'!A27</f>
        <v>42767</v>
      </c>
      <c r="B27" s="1">
        <f t="shared" si="1"/>
        <v>2017</v>
      </c>
      <c r="C27" s="1">
        <f t="shared" si="2"/>
        <v>2</v>
      </c>
      <c r="D27" s="268">
        <f>'Monthly Data'!F27</f>
        <v>42786099.90316622</v>
      </c>
      <c r="E27" s="278">
        <f t="shared" ca="1" si="3"/>
        <v>511.05501811594206</v>
      </c>
      <c r="F27" s="278">
        <f t="shared" ca="1" si="3"/>
        <v>0</v>
      </c>
      <c r="G27" s="18">
        <f>'Monthly Data'!DG27</f>
        <v>0</v>
      </c>
      <c r="H27" s="1">
        <f>'Monthly Data'!CC27</f>
        <v>26</v>
      </c>
      <c r="J27" s="18">
        <f>'Res Predicted Monthly'!$T$9</f>
        <v>24255450.877923299</v>
      </c>
      <c r="K27" s="18">
        <f ca="1">E27*'Res Predicted Monthly'!$T$10</f>
        <v>18304171.879712854</v>
      </c>
      <c r="L27" s="18">
        <f ca="1">F27*'Res Predicted Monthly'!$T$11</f>
        <v>0</v>
      </c>
      <c r="M27" s="18">
        <f>G27*'Res Predicted Monthly'!$T$12</f>
        <v>0</v>
      </c>
      <c r="N27" s="18">
        <f>H27*'Res Predicted Monthly'!$T$13</f>
        <v>1659930.7542524433</v>
      </c>
      <c r="O27" s="268">
        <f t="shared" ca="1" si="0"/>
        <v>44219553.511888593</v>
      </c>
    </row>
    <row r="28" spans="1:15" x14ac:dyDescent="0.25">
      <c r="A28" s="3">
        <f>'Monthly Data'!A28</f>
        <v>42795</v>
      </c>
      <c r="B28" s="1">
        <f t="shared" si="1"/>
        <v>2017</v>
      </c>
      <c r="C28" s="1">
        <f t="shared" si="2"/>
        <v>3</v>
      </c>
      <c r="D28" s="268">
        <f>'Monthly Data'!F28</f>
        <v>40837973.445211791</v>
      </c>
      <c r="E28" s="278">
        <f t="shared" ca="1" si="3"/>
        <v>422.13298913043479</v>
      </c>
      <c r="F28" s="278">
        <f t="shared" ca="1" si="3"/>
        <v>0.51874999999999927</v>
      </c>
      <c r="G28" s="18">
        <f>'Monthly Data'!DG28</f>
        <v>0</v>
      </c>
      <c r="H28" s="1">
        <f>'Monthly Data'!CC28</f>
        <v>27</v>
      </c>
      <c r="J28" s="18">
        <f>'Res Predicted Monthly'!$T$9</f>
        <v>24255450.877923299</v>
      </c>
      <c r="K28" s="18">
        <f ca="1">E28*'Res Predicted Monthly'!$T$10</f>
        <v>15119301.279197056</v>
      </c>
      <c r="L28" s="18">
        <f ca="1">F28*'Res Predicted Monthly'!$T$11</f>
        <v>30393.885715931818</v>
      </c>
      <c r="M28" s="18">
        <f>G28*'Res Predicted Monthly'!$T$12</f>
        <v>0</v>
      </c>
      <c r="N28" s="18">
        <f>H28*'Res Predicted Monthly'!$T$13</f>
        <v>1723774.2448006142</v>
      </c>
      <c r="O28" s="268">
        <f t="shared" ca="1" si="0"/>
        <v>41128920.287636898</v>
      </c>
    </row>
    <row r="29" spans="1:15" x14ac:dyDescent="0.25">
      <c r="A29" s="3">
        <f>'Monthly Data'!A29</f>
        <v>42826</v>
      </c>
      <c r="B29" s="1">
        <f t="shared" si="1"/>
        <v>2017</v>
      </c>
      <c r="C29" s="1">
        <f t="shared" si="2"/>
        <v>4</v>
      </c>
      <c r="D29" s="268">
        <f>'Monthly Data'!F29</f>
        <v>36940740.360373333</v>
      </c>
      <c r="E29" s="278">
        <f t="shared" ca="1" si="3"/>
        <v>234.57024621212122</v>
      </c>
      <c r="F29" s="278">
        <f t="shared" ca="1" si="3"/>
        <v>12.79125</v>
      </c>
      <c r="G29" s="18">
        <f>'Monthly Data'!DG29</f>
        <v>0</v>
      </c>
      <c r="H29" s="1">
        <f>'Monthly Data'!CC29</f>
        <v>28</v>
      </c>
      <c r="J29" s="18">
        <f>'Res Predicted Monthly'!$T$9</f>
        <v>24255450.877923299</v>
      </c>
      <c r="K29" s="18">
        <f ca="1">E29*'Res Predicted Monthly'!$T$10</f>
        <v>8401471.372616766</v>
      </c>
      <c r="L29" s="18">
        <f ca="1">F29*'Res Predicted Monthly'!$T$11</f>
        <v>749447.30730392947</v>
      </c>
      <c r="M29" s="18">
        <f>G29*'Res Predicted Monthly'!$T$12</f>
        <v>0</v>
      </c>
      <c r="N29" s="18">
        <f>H29*'Res Predicted Monthly'!$T$13</f>
        <v>1787617.7353487853</v>
      </c>
      <c r="O29" s="268">
        <f t="shared" ca="1" si="0"/>
        <v>35193987.293192774</v>
      </c>
    </row>
    <row r="30" spans="1:15" x14ac:dyDescent="0.25">
      <c r="A30" s="3">
        <f>'Monthly Data'!A30</f>
        <v>42856</v>
      </c>
      <c r="B30" s="1">
        <f t="shared" si="1"/>
        <v>2017</v>
      </c>
      <c r="C30" s="1">
        <f t="shared" si="2"/>
        <v>5</v>
      </c>
      <c r="D30" s="268">
        <f>'Monthly Data'!F30</f>
        <v>33272849.356663078</v>
      </c>
      <c r="E30" s="278">
        <f t="shared" ca="1" si="3"/>
        <v>64.294809115179262</v>
      </c>
      <c r="F30" s="278">
        <f t="shared" ca="1" si="3"/>
        <v>130.22445928308915</v>
      </c>
      <c r="G30" s="18">
        <f>'Monthly Data'!DG30</f>
        <v>0</v>
      </c>
      <c r="H30" s="1">
        <f>'Monthly Data'!CC30</f>
        <v>29</v>
      </c>
      <c r="J30" s="18">
        <f>'Res Predicted Monthly'!$T$9</f>
        <v>24255450.877923299</v>
      </c>
      <c r="K30" s="18">
        <f ca="1">E30*'Res Predicted Monthly'!$T$10</f>
        <v>2302811.2342115333</v>
      </c>
      <c r="L30" s="18">
        <f ca="1">F30*'Res Predicted Monthly'!$T$11</f>
        <v>7629932.2079406912</v>
      </c>
      <c r="M30" s="18">
        <f>G30*'Res Predicted Monthly'!$T$12</f>
        <v>0</v>
      </c>
      <c r="N30" s="18">
        <f>H30*'Res Predicted Monthly'!$T$13</f>
        <v>1851461.2258969562</v>
      </c>
      <c r="O30" s="268">
        <f t="shared" ca="1" si="0"/>
        <v>36039655.545972481</v>
      </c>
    </row>
    <row r="31" spans="1:15" x14ac:dyDescent="0.25">
      <c r="A31" s="3">
        <f>'Monthly Data'!A31</f>
        <v>42887</v>
      </c>
      <c r="B31" s="1">
        <f t="shared" si="1"/>
        <v>2017</v>
      </c>
      <c r="C31" s="1">
        <f t="shared" si="2"/>
        <v>6</v>
      </c>
      <c r="D31" s="268">
        <f>'Monthly Data'!F31</f>
        <v>37271121.64391619</v>
      </c>
      <c r="E31" s="278">
        <f t="shared" ca="1" si="3"/>
        <v>3.2341666666666669</v>
      </c>
      <c r="F31" s="278">
        <f t="shared" ca="1" si="3"/>
        <v>254.51826754405016</v>
      </c>
      <c r="G31" s="18">
        <f>'Monthly Data'!DG31</f>
        <v>0</v>
      </c>
      <c r="H31" s="1">
        <f>'Monthly Data'!CC31</f>
        <v>30</v>
      </c>
      <c r="J31" s="18">
        <f>'Res Predicted Monthly'!$T$9</f>
        <v>24255450.877923299</v>
      </c>
      <c r="K31" s="18">
        <f ca="1">E31*'Res Predicted Monthly'!$T$10</f>
        <v>115836.33944647886</v>
      </c>
      <c r="L31" s="18">
        <f ca="1">F31*'Res Predicted Monthly'!$T$11</f>
        <v>14912383.877302805</v>
      </c>
      <c r="M31" s="18">
        <f>G31*'Res Predicted Monthly'!$T$12</f>
        <v>0</v>
      </c>
      <c r="N31" s="18">
        <f>H31*'Res Predicted Monthly'!$T$13</f>
        <v>1915304.716445127</v>
      </c>
      <c r="O31" s="268">
        <f t="shared" ca="1" si="0"/>
        <v>41198975.811117709</v>
      </c>
    </row>
    <row r="32" spans="1:15" x14ac:dyDescent="0.25">
      <c r="A32" s="3">
        <f>'Monthly Data'!A32</f>
        <v>42917</v>
      </c>
      <c r="B32" s="1">
        <f t="shared" si="1"/>
        <v>2017</v>
      </c>
      <c r="C32" s="1">
        <f t="shared" si="2"/>
        <v>7</v>
      </c>
      <c r="D32" s="268">
        <f>'Monthly Data'!F32</f>
        <v>43007005.802366681</v>
      </c>
      <c r="E32" s="278">
        <f t="shared" ca="1" si="3"/>
        <v>0</v>
      </c>
      <c r="F32" s="278">
        <f t="shared" ca="1" si="3"/>
        <v>359.94737858727854</v>
      </c>
      <c r="G32" s="18">
        <f>'Monthly Data'!DG32</f>
        <v>0</v>
      </c>
      <c r="H32" s="1">
        <f>'Monthly Data'!CC32</f>
        <v>31</v>
      </c>
      <c r="J32" s="18">
        <f>'Res Predicted Monthly'!$T$9</f>
        <v>24255450.877923299</v>
      </c>
      <c r="K32" s="18">
        <f ca="1">E32*'Res Predicted Monthly'!$T$10</f>
        <v>0</v>
      </c>
      <c r="L32" s="18">
        <f ca="1">F32*'Res Predicted Monthly'!$T$11</f>
        <v>21089541.182710368</v>
      </c>
      <c r="M32" s="18">
        <f>G32*'Res Predicted Monthly'!$T$12</f>
        <v>0</v>
      </c>
      <c r="N32" s="18">
        <f>H32*'Res Predicted Monthly'!$T$13</f>
        <v>1979148.2069932979</v>
      </c>
      <c r="O32" s="268">
        <f t="shared" ca="1" si="0"/>
        <v>47324140.267626964</v>
      </c>
    </row>
    <row r="33" spans="1:15" x14ac:dyDescent="0.25">
      <c r="A33" s="3">
        <f>'Monthly Data'!A33</f>
        <v>42948</v>
      </c>
      <c r="B33" s="1">
        <f t="shared" si="1"/>
        <v>2017</v>
      </c>
      <c r="C33" s="1">
        <f t="shared" si="2"/>
        <v>8</v>
      </c>
      <c r="D33" s="268">
        <f>'Monthly Data'!F33</f>
        <v>43246511.74715858</v>
      </c>
      <c r="E33" s="278">
        <f t="shared" ca="1" si="3"/>
        <v>0</v>
      </c>
      <c r="F33" s="278">
        <f t="shared" ca="1" si="3"/>
        <v>334.96558794466404</v>
      </c>
      <c r="G33" s="18">
        <f>'Monthly Data'!DG33</f>
        <v>0</v>
      </c>
      <c r="H33" s="1">
        <f>'Monthly Data'!CC33</f>
        <v>32</v>
      </c>
      <c r="J33" s="18">
        <f>'Res Predicted Monthly'!$T$9</f>
        <v>24255450.877923299</v>
      </c>
      <c r="K33" s="18">
        <f ca="1">E33*'Res Predicted Monthly'!$T$10</f>
        <v>0</v>
      </c>
      <c r="L33" s="18">
        <f ca="1">F33*'Res Predicted Monthly'!$T$11</f>
        <v>19625842.503633816</v>
      </c>
      <c r="M33" s="18">
        <f>G33*'Res Predicted Monthly'!$T$12</f>
        <v>0</v>
      </c>
      <c r="N33" s="18">
        <f>H33*'Res Predicted Monthly'!$T$13</f>
        <v>2042991.6975414688</v>
      </c>
      <c r="O33" s="268">
        <f t="shared" ca="1" si="0"/>
        <v>45924285.079098582</v>
      </c>
    </row>
    <row r="34" spans="1:15" x14ac:dyDescent="0.25">
      <c r="A34" s="3">
        <f>'Monthly Data'!A34</f>
        <v>42979</v>
      </c>
      <c r="B34" s="1">
        <f t="shared" si="1"/>
        <v>2017</v>
      </c>
      <c r="C34" s="1">
        <f t="shared" si="2"/>
        <v>9</v>
      </c>
      <c r="D34" s="268">
        <f>'Monthly Data'!F34</f>
        <v>40173512.443843894</v>
      </c>
      <c r="E34" s="278">
        <f t="shared" ref="E34:F53" ca="1" si="4">E22</f>
        <v>10.413369565217392</v>
      </c>
      <c r="F34" s="278">
        <f t="shared" ca="1" si="4"/>
        <v>216.57430900621117</v>
      </c>
      <c r="G34" s="18">
        <f>'Monthly Data'!DG34</f>
        <v>0</v>
      </c>
      <c r="H34" s="1">
        <f>'Monthly Data'!CC34</f>
        <v>33</v>
      </c>
      <c r="J34" s="18">
        <f>'Res Predicted Monthly'!$T$9</f>
        <v>24255450.877923299</v>
      </c>
      <c r="K34" s="18">
        <f ca="1">E34*'Res Predicted Monthly'!$T$10</f>
        <v>372969.83614681382</v>
      </c>
      <c r="L34" s="18">
        <f ca="1">F34*'Res Predicted Monthly'!$T$11</f>
        <v>12689223.704947844</v>
      </c>
      <c r="M34" s="18">
        <f>G34*'Res Predicted Monthly'!$T$12</f>
        <v>0</v>
      </c>
      <c r="N34" s="18">
        <f>H34*'Res Predicted Monthly'!$T$13</f>
        <v>2106835.1880896399</v>
      </c>
      <c r="O34" s="268">
        <f t="shared" ref="O34:O65" ca="1" si="5">SUM(J34:N34)</f>
        <v>39424479.607107595</v>
      </c>
    </row>
    <row r="35" spans="1:15" x14ac:dyDescent="0.25">
      <c r="A35" s="3">
        <f>'Monthly Data'!A35</f>
        <v>43009</v>
      </c>
      <c r="B35" s="1">
        <f t="shared" si="1"/>
        <v>2017</v>
      </c>
      <c r="C35" s="1">
        <f t="shared" si="2"/>
        <v>10</v>
      </c>
      <c r="D35" s="268">
        <f>'Monthly Data'!F35</f>
        <v>36831928.279389635</v>
      </c>
      <c r="E35" s="278">
        <f t="shared" ca="1" si="4"/>
        <v>130.19639492753623</v>
      </c>
      <c r="F35" s="278">
        <f t="shared" ca="1" si="4"/>
        <v>62.266666666666673</v>
      </c>
      <c r="G35" s="18">
        <f>'Monthly Data'!DG35</f>
        <v>0</v>
      </c>
      <c r="H35" s="1">
        <f>'Monthly Data'!CC35</f>
        <v>34</v>
      </c>
      <c r="J35" s="18">
        <f>'Res Predicted Monthly'!$T$9</f>
        <v>24255450.877923299</v>
      </c>
      <c r="K35" s="18">
        <f ca="1">E35*'Res Predicted Monthly'!$T$10</f>
        <v>4663171.4911210211</v>
      </c>
      <c r="L35" s="18">
        <f ca="1">F35*'Res Predicted Monthly'!$T$11</f>
        <v>3648242.796296271</v>
      </c>
      <c r="M35" s="18">
        <f>G35*'Res Predicted Monthly'!$T$12</f>
        <v>0</v>
      </c>
      <c r="N35" s="18">
        <f>H35*'Res Predicted Monthly'!$T$13</f>
        <v>2170678.6786378105</v>
      </c>
      <c r="O35" s="268">
        <f t="shared" ca="1" si="5"/>
        <v>34737543.843978405</v>
      </c>
    </row>
    <row r="36" spans="1:15" x14ac:dyDescent="0.25">
      <c r="A36" s="3">
        <f>'Monthly Data'!A36</f>
        <v>43040</v>
      </c>
      <c r="B36" s="1">
        <f t="shared" si="1"/>
        <v>2017</v>
      </c>
      <c r="C36" s="1">
        <f t="shared" si="2"/>
        <v>11</v>
      </c>
      <c r="D36" s="268">
        <f>'Monthly Data'!F36</f>
        <v>39177413.497449182</v>
      </c>
      <c r="E36" s="278">
        <f t="shared" ca="1" si="4"/>
        <v>307.43824722379077</v>
      </c>
      <c r="F36" s="278">
        <f t="shared" ca="1" si="4"/>
        <v>5.6391666666666662</v>
      </c>
      <c r="G36" s="18">
        <f>'Monthly Data'!DG36</f>
        <v>0</v>
      </c>
      <c r="H36" s="1">
        <f>'Monthly Data'!CC36</f>
        <v>35</v>
      </c>
      <c r="J36" s="18">
        <f>'Res Predicted Monthly'!$T$9</f>
        <v>24255450.877923299</v>
      </c>
      <c r="K36" s="18">
        <f ca="1">E36*'Res Predicted Monthly'!$T$10</f>
        <v>11011343.828161456</v>
      </c>
      <c r="L36" s="18">
        <f ca="1">F36*'Res Predicted Monthly'!$T$11</f>
        <v>330402.28857784881</v>
      </c>
      <c r="M36" s="18">
        <f>G36*'Res Predicted Monthly'!$T$12</f>
        <v>0</v>
      </c>
      <c r="N36" s="18">
        <f>H36*'Res Predicted Monthly'!$T$13</f>
        <v>2234522.1691859816</v>
      </c>
      <c r="O36" s="268">
        <f t="shared" ca="1" si="5"/>
        <v>37831719.163848586</v>
      </c>
    </row>
    <row r="37" spans="1:15" x14ac:dyDescent="0.25">
      <c r="A37" s="3">
        <f>'Monthly Data'!A37</f>
        <v>43070</v>
      </c>
      <c r="B37" s="1">
        <f t="shared" si="1"/>
        <v>2017</v>
      </c>
      <c r="C37" s="1">
        <f t="shared" si="2"/>
        <v>12</v>
      </c>
      <c r="D37" s="268">
        <f>'Monthly Data'!F37</f>
        <v>45743096.906611487</v>
      </c>
      <c r="E37" s="278">
        <f t="shared" ca="1" si="4"/>
        <v>453.92800724637681</v>
      </c>
      <c r="F37" s="278">
        <f t="shared" ca="1" si="4"/>
        <v>0.12791666666666668</v>
      </c>
      <c r="G37" s="18">
        <f>'Monthly Data'!DG37</f>
        <v>0</v>
      </c>
      <c r="H37" s="1">
        <f>'Monthly Data'!CC37</f>
        <v>36</v>
      </c>
      <c r="J37" s="18">
        <f>'Res Predicted Monthly'!$T$9</f>
        <v>24255450.877923299</v>
      </c>
      <c r="K37" s="18">
        <f ca="1">E37*'Res Predicted Monthly'!$T$10</f>
        <v>16258085.668123169</v>
      </c>
      <c r="L37" s="18">
        <f ca="1">F37*'Res Predicted Monthly'!$T$11</f>
        <v>7494.7172006354076</v>
      </c>
      <c r="M37" s="18">
        <f>G37*'Res Predicted Monthly'!$T$12</f>
        <v>0</v>
      </c>
      <c r="N37" s="18">
        <f>H37*'Res Predicted Monthly'!$T$13</f>
        <v>2298365.6597341523</v>
      </c>
      <c r="O37" s="268">
        <f t="shared" ca="1" si="5"/>
        <v>42819396.922981255</v>
      </c>
    </row>
    <row r="38" spans="1:15" x14ac:dyDescent="0.25">
      <c r="A38" s="3">
        <f>'Monthly Data'!A38</f>
        <v>43101</v>
      </c>
      <c r="B38" s="1">
        <f t="shared" si="1"/>
        <v>2018</v>
      </c>
      <c r="C38" s="1">
        <f t="shared" si="2"/>
        <v>1</v>
      </c>
      <c r="D38" s="268">
        <f>'Monthly Data'!F38</f>
        <v>49182543.969667621</v>
      </c>
      <c r="E38" s="278">
        <f t="shared" ca="1" si="4"/>
        <v>573.33418478260865</v>
      </c>
      <c r="F38" s="278">
        <f t="shared" ca="1" si="4"/>
        <v>0</v>
      </c>
      <c r="G38" s="18">
        <f>'Monthly Data'!DG38</f>
        <v>0</v>
      </c>
      <c r="H38" s="1">
        <f>'Monthly Data'!CC38</f>
        <v>37</v>
      </c>
      <c r="J38" s="18">
        <f>'Res Predicted Monthly'!$T$9</f>
        <v>24255450.877923299</v>
      </c>
      <c r="K38" s="18">
        <f ca="1">E38*'Res Predicted Monthly'!$T$10</f>
        <v>20534789.975186337</v>
      </c>
      <c r="L38" s="18">
        <f ca="1">F38*'Res Predicted Monthly'!$T$11</f>
        <v>0</v>
      </c>
      <c r="M38" s="18">
        <f>G38*'Res Predicted Monthly'!$T$12</f>
        <v>0</v>
      </c>
      <c r="N38" s="18">
        <f>H38*'Res Predicted Monthly'!$T$13</f>
        <v>2362209.1502823234</v>
      </c>
      <c r="O38" s="268">
        <f t="shared" ca="1" si="5"/>
        <v>47152450.003391959</v>
      </c>
    </row>
    <row r="39" spans="1:15" x14ac:dyDescent="0.25">
      <c r="A39" s="3">
        <f>'Monthly Data'!A39</f>
        <v>43132</v>
      </c>
      <c r="B39" s="1">
        <f t="shared" si="1"/>
        <v>2018</v>
      </c>
      <c r="C39" s="1">
        <f t="shared" si="2"/>
        <v>2</v>
      </c>
      <c r="D39" s="268">
        <f>'Monthly Data'!F39</f>
        <v>42254490.640547559</v>
      </c>
      <c r="E39" s="278">
        <f t="shared" ca="1" si="4"/>
        <v>511.05501811594206</v>
      </c>
      <c r="F39" s="278">
        <f t="shared" ca="1" si="4"/>
        <v>0</v>
      </c>
      <c r="G39" s="18">
        <f>'Monthly Data'!DG39</f>
        <v>0</v>
      </c>
      <c r="H39" s="1">
        <f>'Monthly Data'!CC39</f>
        <v>38</v>
      </c>
      <c r="J39" s="18">
        <f>'Res Predicted Monthly'!$T$9</f>
        <v>24255450.877923299</v>
      </c>
      <c r="K39" s="18">
        <f ca="1">E39*'Res Predicted Monthly'!$T$10</f>
        <v>18304171.879712854</v>
      </c>
      <c r="L39" s="18">
        <f ca="1">F39*'Res Predicted Monthly'!$T$11</f>
        <v>0</v>
      </c>
      <c r="M39" s="18">
        <f>G39*'Res Predicted Monthly'!$T$12</f>
        <v>0</v>
      </c>
      <c r="N39" s="18">
        <f>H39*'Res Predicted Monthly'!$T$13</f>
        <v>2426052.640830494</v>
      </c>
      <c r="O39" s="268">
        <f t="shared" ca="1" si="5"/>
        <v>44985675.398466647</v>
      </c>
    </row>
    <row r="40" spans="1:15" x14ac:dyDescent="0.25">
      <c r="A40" s="3">
        <f>'Monthly Data'!A40</f>
        <v>43160</v>
      </c>
      <c r="B40" s="1">
        <f t="shared" si="1"/>
        <v>2018</v>
      </c>
      <c r="C40" s="1">
        <f t="shared" si="2"/>
        <v>3</v>
      </c>
      <c r="D40" s="268">
        <f>'Monthly Data'!F40</f>
        <v>43432566.137043901</v>
      </c>
      <c r="E40" s="278">
        <f t="shared" ca="1" si="4"/>
        <v>422.13298913043479</v>
      </c>
      <c r="F40" s="278">
        <f t="shared" ca="1" si="4"/>
        <v>0.51874999999999927</v>
      </c>
      <c r="G40" s="18">
        <f>'Monthly Data'!DG40</f>
        <v>0</v>
      </c>
      <c r="H40" s="1">
        <f>'Monthly Data'!CC40</f>
        <v>39</v>
      </c>
      <c r="J40" s="18">
        <f>'Res Predicted Monthly'!$T$9</f>
        <v>24255450.877923299</v>
      </c>
      <c r="K40" s="18">
        <f ca="1">E40*'Res Predicted Monthly'!$T$10</f>
        <v>15119301.279197056</v>
      </c>
      <c r="L40" s="18">
        <f ca="1">F40*'Res Predicted Monthly'!$T$11</f>
        <v>30393.885715931818</v>
      </c>
      <c r="M40" s="18">
        <f>G40*'Res Predicted Monthly'!$T$12</f>
        <v>0</v>
      </c>
      <c r="N40" s="18">
        <f>H40*'Res Predicted Monthly'!$T$13</f>
        <v>2489896.1313786651</v>
      </c>
      <c r="O40" s="268">
        <f t="shared" ca="1" si="5"/>
        <v>41895042.174214952</v>
      </c>
    </row>
    <row r="41" spans="1:15" x14ac:dyDescent="0.25">
      <c r="A41" s="3">
        <f>'Monthly Data'!A41</f>
        <v>43191</v>
      </c>
      <c r="B41" s="1">
        <f t="shared" si="1"/>
        <v>2018</v>
      </c>
      <c r="C41" s="1">
        <f t="shared" si="2"/>
        <v>4</v>
      </c>
      <c r="D41" s="268">
        <f>'Monthly Data'!F41</f>
        <v>40741485.304550432</v>
      </c>
      <c r="E41" s="278">
        <f t="shared" ca="1" si="4"/>
        <v>234.57024621212122</v>
      </c>
      <c r="F41" s="278">
        <f t="shared" ca="1" si="4"/>
        <v>12.79125</v>
      </c>
      <c r="G41" s="18">
        <f>'Monthly Data'!DG41</f>
        <v>0</v>
      </c>
      <c r="H41" s="1">
        <f>'Monthly Data'!CC41</f>
        <v>40</v>
      </c>
      <c r="J41" s="18">
        <f>'Res Predicted Monthly'!$T$9</f>
        <v>24255450.877923299</v>
      </c>
      <c r="K41" s="18">
        <f ca="1">E41*'Res Predicted Monthly'!$T$10</f>
        <v>8401471.372616766</v>
      </c>
      <c r="L41" s="18">
        <f ca="1">F41*'Res Predicted Monthly'!$T$11</f>
        <v>749447.30730392947</v>
      </c>
      <c r="M41" s="18">
        <f>G41*'Res Predicted Monthly'!$T$12</f>
        <v>0</v>
      </c>
      <c r="N41" s="18">
        <f>H41*'Res Predicted Monthly'!$T$13</f>
        <v>2553739.6219268357</v>
      </c>
      <c r="O41" s="268">
        <f t="shared" ca="1" si="5"/>
        <v>35960109.179770827</v>
      </c>
    </row>
    <row r="42" spans="1:15" x14ac:dyDescent="0.25">
      <c r="A42" s="3">
        <f>'Monthly Data'!A42</f>
        <v>43221</v>
      </c>
      <c r="B42" s="1">
        <f t="shared" si="1"/>
        <v>2018</v>
      </c>
      <c r="C42" s="1">
        <f t="shared" si="2"/>
        <v>5</v>
      </c>
      <c r="D42" s="268">
        <f>'Monthly Data'!F42</f>
        <v>32656333.018106893</v>
      </c>
      <c r="E42" s="278">
        <f t="shared" ca="1" si="4"/>
        <v>64.294809115179262</v>
      </c>
      <c r="F42" s="278">
        <f t="shared" ca="1" si="4"/>
        <v>130.22445928308915</v>
      </c>
      <c r="G42" s="18">
        <f>'Monthly Data'!DG42</f>
        <v>0</v>
      </c>
      <c r="H42" s="1">
        <f>'Monthly Data'!CC42</f>
        <v>41</v>
      </c>
      <c r="J42" s="18">
        <f>'Res Predicted Monthly'!$T$9</f>
        <v>24255450.877923299</v>
      </c>
      <c r="K42" s="18">
        <f ca="1">E42*'Res Predicted Monthly'!$T$10</f>
        <v>2302811.2342115333</v>
      </c>
      <c r="L42" s="18">
        <f ca="1">F42*'Res Predicted Monthly'!$T$11</f>
        <v>7629932.2079406912</v>
      </c>
      <c r="M42" s="18">
        <f>G42*'Res Predicted Monthly'!$T$12</f>
        <v>0</v>
      </c>
      <c r="N42" s="18">
        <f>H42*'Res Predicted Monthly'!$T$13</f>
        <v>2617583.1124750068</v>
      </c>
      <c r="O42" s="268">
        <f t="shared" ca="1" si="5"/>
        <v>36805777.432550535</v>
      </c>
    </row>
    <row r="43" spans="1:15" x14ac:dyDescent="0.25">
      <c r="A43" s="3">
        <f>'Monthly Data'!A43</f>
        <v>43252</v>
      </c>
      <c r="B43" s="1">
        <f t="shared" si="1"/>
        <v>2018</v>
      </c>
      <c r="C43" s="1">
        <f t="shared" si="2"/>
        <v>6</v>
      </c>
      <c r="D43" s="268">
        <f>'Monthly Data'!F43</f>
        <v>39427584.09957619</v>
      </c>
      <c r="E43" s="278">
        <f t="shared" ca="1" si="4"/>
        <v>3.2341666666666669</v>
      </c>
      <c r="F43" s="278">
        <f t="shared" ca="1" si="4"/>
        <v>254.51826754405016</v>
      </c>
      <c r="G43" s="18">
        <f>'Monthly Data'!DG43</f>
        <v>0</v>
      </c>
      <c r="H43" s="1">
        <f>'Monthly Data'!CC43</f>
        <v>42</v>
      </c>
      <c r="J43" s="18">
        <f>'Res Predicted Monthly'!$T$9</f>
        <v>24255450.877923299</v>
      </c>
      <c r="K43" s="18">
        <f ca="1">E43*'Res Predicted Monthly'!$T$10</f>
        <v>115836.33944647886</v>
      </c>
      <c r="L43" s="18">
        <f ca="1">F43*'Res Predicted Monthly'!$T$11</f>
        <v>14912383.877302805</v>
      </c>
      <c r="M43" s="18">
        <f>G43*'Res Predicted Monthly'!$T$12</f>
        <v>0</v>
      </c>
      <c r="N43" s="18">
        <f>H43*'Res Predicted Monthly'!$T$13</f>
        <v>2681426.6030231779</v>
      </c>
      <c r="O43" s="268">
        <f t="shared" ca="1" si="5"/>
        <v>41965097.697695762</v>
      </c>
    </row>
    <row r="44" spans="1:15" x14ac:dyDescent="0.25">
      <c r="A44" s="3">
        <f>'Monthly Data'!A44</f>
        <v>43282</v>
      </c>
      <c r="B44" s="1">
        <f t="shared" si="1"/>
        <v>2018</v>
      </c>
      <c r="C44" s="1">
        <f t="shared" si="2"/>
        <v>7</v>
      </c>
      <c r="D44" s="268">
        <f>'Monthly Data'!F44</f>
        <v>48882916.889358468</v>
      </c>
      <c r="E44" s="278">
        <f t="shared" ca="1" si="4"/>
        <v>0</v>
      </c>
      <c r="F44" s="278">
        <f t="shared" ca="1" si="4"/>
        <v>359.94737858727854</v>
      </c>
      <c r="G44" s="18">
        <f>'Monthly Data'!DG44</f>
        <v>0</v>
      </c>
      <c r="H44" s="1">
        <f>'Monthly Data'!CC44</f>
        <v>43</v>
      </c>
      <c r="J44" s="18">
        <f>'Res Predicted Monthly'!$T$9</f>
        <v>24255450.877923299</v>
      </c>
      <c r="K44" s="18">
        <f ca="1">E44*'Res Predicted Monthly'!$T$10</f>
        <v>0</v>
      </c>
      <c r="L44" s="18">
        <f ca="1">F44*'Res Predicted Monthly'!$T$11</f>
        <v>21089541.182710368</v>
      </c>
      <c r="M44" s="18">
        <f>G44*'Res Predicted Monthly'!$T$12</f>
        <v>0</v>
      </c>
      <c r="N44" s="18">
        <f>H44*'Res Predicted Monthly'!$T$13</f>
        <v>2745270.0935713486</v>
      </c>
      <c r="O44" s="268">
        <f t="shared" ca="1" si="5"/>
        <v>48090262.154205017</v>
      </c>
    </row>
    <row r="45" spans="1:15" x14ac:dyDescent="0.25">
      <c r="A45" s="3">
        <f>'Monthly Data'!A45</f>
        <v>43313</v>
      </c>
      <c r="B45" s="1">
        <f t="shared" si="1"/>
        <v>2018</v>
      </c>
      <c r="C45" s="1">
        <f t="shared" si="2"/>
        <v>8</v>
      </c>
      <c r="D45" s="268">
        <f>'Monthly Data'!F45</f>
        <v>51351752.177842215</v>
      </c>
      <c r="E45" s="278">
        <f t="shared" ca="1" si="4"/>
        <v>0</v>
      </c>
      <c r="F45" s="278">
        <f t="shared" ca="1" si="4"/>
        <v>334.96558794466404</v>
      </c>
      <c r="G45" s="18">
        <f>'Monthly Data'!DG45</f>
        <v>0</v>
      </c>
      <c r="H45" s="1">
        <f>'Monthly Data'!CC45</f>
        <v>44</v>
      </c>
      <c r="J45" s="18">
        <f>'Res Predicted Monthly'!$T$9</f>
        <v>24255450.877923299</v>
      </c>
      <c r="K45" s="18">
        <f ca="1">E45*'Res Predicted Monthly'!$T$10</f>
        <v>0</v>
      </c>
      <c r="L45" s="18">
        <f ca="1">F45*'Res Predicted Monthly'!$T$11</f>
        <v>19625842.503633816</v>
      </c>
      <c r="M45" s="18">
        <f>G45*'Res Predicted Monthly'!$T$12</f>
        <v>0</v>
      </c>
      <c r="N45" s="18">
        <f>H45*'Res Predicted Monthly'!$T$13</f>
        <v>2809113.5841195197</v>
      </c>
      <c r="O45" s="268">
        <f t="shared" ca="1" si="5"/>
        <v>46690406.965676636</v>
      </c>
    </row>
    <row r="46" spans="1:15" x14ac:dyDescent="0.25">
      <c r="A46" s="3">
        <f>'Monthly Data'!A46</f>
        <v>43344</v>
      </c>
      <c r="B46" s="1">
        <f t="shared" si="1"/>
        <v>2018</v>
      </c>
      <c r="C46" s="1">
        <f t="shared" si="2"/>
        <v>9</v>
      </c>
      <c r="D46" s="268">
        <f>'Monthly Data'!F46</f>
        <v>45094790.035028785</v>
      </c>
      <c r="E46" s="278">
        <f t="shared" ca="1" si="4"/>
        <v>10.413369565217392</v>
      </c>
      <c r="F46" s="278">
        <f t="shared" ca="1" si="4"/>
        <v>216.57430900621117</v>
      </c>
      <c r="G46" s="18">
        <f>'Monthly Data'!DG46</f>
        <v>0</v>
      </c>
      <c r="H46" s="1">
        <f>'Monthly Data'!CC46</f>
        <v>45</v>
      </c>
      <c r="J46" s="18">
        <f>'Res Predicted Monthly'!$T$9</f>
        <v>24255450.877923299</v>
      </c>
      <c r="K46" s="18">
        <f ca="1">E46*'Res Predicted Monthly'!$T$10</f>
        <v>372969.83614681382</v>
      </c>
      <c r="L46" s="18">
        <f ca="1">F46*'Res Predicted Monthly'!$T$11</f>
        <v>12689223.704947844</v>
      </c>
      <c r="M46" s="18">
        <f>G46*'Res Predicted Monthly'!$T$12</f>
        <v>0</v>
      </c>
      <c r="N46" s="18">
        <f>H46*'Res Predicted Monthly'!$T$13</f>
        <v>2872957.0746676903</v>
      </c>
      <c r="O46" s="268">
        <f t="shared" ca="1" si="5"/>
        <v>40190601.493685648</v>
      </c>
    </row>
    <row r="47" spans="1:15" x14ac:dyDescent="0.25">
      <c r="A47" s="3">
        <f>'Monthly Data'!A47</f>
        <v>43374</v>
      </c>
      <c r="B47" s="1">
        <f t="shared" si="1"/>
        <v>2018</v>
      </c>
      <c r="C47" s="1">
        <f t="shared" si="2"/>
        <v>10</v>
      </c>
      <c r="D47" s="268">
        <f>'Monthly Data'!F47</f>
        <v>34872575.812981203</v>
      </c>
      <c r="E47" s="278">
        <f t="shared" ca="1" si="4"/>
        <v>130.19639492753623</v>
      </c>
      <c r="F47" s="278">
        <f t="shared" ca="1" si="4"/>
        <v>62.266666666666673</v>
      </c>
      <c r="G47" s="18">
        <f>'Monthly Data'!DG47</f>
        <v>0</v>
      </c>
      <c r="H47" s="1">
        <f>'Monthly Data'!CC47</f>
        <v>46</v>
      </c>
      <c r="J47" s="18">
        <f>'Res Predicted Monthly'!$T$9</f>
        <v>24255450.877923299</v>
      </c>
      <c r="K47" s="18">
        <f ca="1">E47*'Res Predicted Monthly'!$T$10</f>
        <v>4663171.4911210211</v>
      </c>
      <c r="L47" s="18">
        <f ca="1">F47*'Res Predicted Monthly'!$T$11</f>
        <v>3648242.796296271</v>
      </c>
      <c r="M47" s="18">
        <f>G47*'Res Predicted Monthly'!$T$12</f>
        <v>0</v>
      </c>
      <c r="N47" s="18">
        <f>H47*'Res Predicted Monthly'!$T$13</f>
        <v>2936800.5652158614</v>
      </c>
      <c r="O47" s="268">
        <f t="shared" ca="1" si="5"/>
        <v>35503665.730556451</v>
      </c>
    </row>
    <row r="48" spans="1:15" x14ac:dyDescent="0.25">
      <c r="A48" s="3">
        <f>'Monthly Data'!A48</f>
        <v>43405</v>
      </c>
      <c r="B48" s="1">
        <f t="shared" si="1"/>
        <v>2018</v>
      </c>
      <c r="C48" s="1">
        <f t="shared" si="2"/>
        <v>11</v>
      </c>
      <c r="D48" s="268">
        <f>'Monthly Data'!F48</f>
        <v>39696145.233856961</v>
      </c>
      <c r="E48" s="278">
        <f t="shared" ca="1" si="4"/>
        <v>307.43824722379077</v>
      </c>
      <c r="F48" s="278">
        <f t="shared" ca="1" si="4"/>
        <v>5.6391666666666662</v>
      </c>
      <c r="G48" s="18">
        <f>'Monthly Data'!DG48</f>
        <v>0</v>
      </c>
      <c r="H48" s="1">
        <f>'Monthly Data'!CC48</f>
        <v>47</v>
      </c>
      <c r="J48" s="18">
        <f>'Res Predicted Monthly'!$T$9</f>
        <v>24255450.877923299</v>
      </c>
      <c r="K48" s="18">
        <f ca="1">E48*'Res Predicted Monthly'!$T$10</f>
        <v>11011343.828161456</v>
      </c>
      <c r="L48" s="18">
        <f ca="1">F48*'Res Predicted Monthly'!$T$11</f>
        <v>330402.28857784881</v>
      </c>
      <c r="M48" s="18">
        <f>G48*'Res Predicted Monthly'!$T$12</f>
        <v>0</v>
      </c>
      <c r="N48" s="18">
        <f>H48*'Res Predicted Monthly'!$T$13</f>
        <v>3000644.0557640321</v>
      </c>
      <c r="O48" s="268">
        <f t="shared" ca="1" si="5"/>
        <v>38597841.05042664</v>
      </c>
    </row>
    <row r="49" spans="1:15" x14ac:dyDescent="0.25">
      <c r="A49" s="3">
        <f>'Monthly Data'!A49</f>
        <v>43435</v>
      </c>
      <c r="B49" s="1">
        <f t="shared" si="1"/>
        <v>2018</v>
      </c>
      <c r="C49" s="1">
        <f t="shared" si="2"/>
        <v>12</v>
      </c>
      <c r="D49" s="268">
        <f>'Monthly Data'!F49</f>
        <v>43470353.451681152</v>
      </c>
      <c r="E49" s="278">
        <f t="shared" ca="1" si="4"/>
        <v>453.92800724637681</v>
      </c>
      <c r="F49" s="278">
        <f t="shared" ca="1" si="4"/>
        <v>0.12791666666666668</v>
      </c>
      <c r="G49" s="18">
        <f>'Monthly Data'!DG49</f>
        <v>0</v>
      </c>
      <c r="H49" s="1">
        <f>'Monthly Data'!CC49</f>
        <v>48</v>
      </c>
      <c r="J49" s="18">
        <f>'Res Predicted Monthly'!$T$9</f>
        <v>24255450.877923299</v>
      </c>
      <c r="K49" s="18">
        <f ca="1">E49*'Res Predicted Monthly'!$T$10</f>
        <v>16258085.668123169</v>
      </c>
      <c r="L49" s="18">
        <f ca="1">F49*'Res Predicted Monthly'!$T$11</f>
        <v>7494.7172006354076</v>
      </c>
      <c r="M49" s="18">
        <f>G49*'Res Predicted Monthly'!$T$12</f>
        <v>0</v>
      </c>
      <c r="N49" s="18">
        <f>H49*'Res Predicted Monthly'!$T$13</f>
        <v>3064487.5463122032</v>
      </c>
      <c r="O49" s="268">
        <f t="shared" ca="1" si="5"/>
        <v>43585518.809559308</v>
      </c>
    </row>
    <row r="50" spans="1:15" x14ac:dyDescent="0.25">
      <c r="A50" s="3">
        <f>'Monthly Data'!A50</f>
        <v>43466</v>
      </c>
      <c r="B50" s="1">
        <f t="shared" si="1"/>
        <v>2019</v>
      </c>
      <c r="C50" s="1">
        <f t="shared" si="2"/>
        <v>1</v>
      </c>
      <c r="D50" s="268">
        <f>'Monthly Data'!F50</f>
        <v>49786545.597074255</v>
      </c>
      <c r="E50" s="278">
        <f t="shared" ca="1" si="4"/>
        <v>573.33418478260865</v>
      </c>
      <c r="F50" s="278">
        <f t="shared" ca="1" si="4"/>
        <v>0</v>
      </c>
      <c r="G50" s="18">
        <f>'Monthly Data'!DG50</f>
        <v>0</v>
      </c>
      <c r="H50" s="1">
        <f>'Monthly Data'!CC50</f>
        <v>49</v>
      </c>
      <c r="J50" s="18">
        <f>'Res Predicted Monthly'!$T$9</f>
        <v>24255450.877923299</v>
      </c>
      <c r="K50" s="18">
        <f ca="1">E50*'Res Predicted Monthly'!$T$10</f>
        <v>20534789.975186337</v>
      </c>
      <c r="L50" s="18">
        <f ca="1">F50*'Res Predicted Monthly'!$T$11</f>
        <v>0</v>
      </c>
      <c r="M50" s="18">
        <f>G50*'Res Predicted Monthly'!$T$12</f>
        <v>0</v>
      </c>
      <c r="N50" s="18">
        <f>H50*'Res Predicted Monthly'!$T$13</f>
        <v>3128331.0368603743</v>
      </c>
      <c r="O50" s="268">
        <f t="shared" ca="1" si="5"/>
        <v>47918571.889970012</v>
      </c>
    </row>
    <row r="51" spans="1:15" x14ac:dyDescent="0.25">
      <c r="A51" s="3">
        <f>'Monthly Data'!A51</f>
        <v>43497</v>
      </c>
      <c r="B51" s="1">
        <f t="shared" si="1"/>
        <v>2019</v>
      </c>
      <c r="C51" s="1">
        <f t="shared" si="2"/>
        <v>2</v>
      </c>
      <c r="D51" s="268">
        <f>'Monthly Data'!F51</f>
        <v>46962938.100034416</v>
      </c>
      <c r="E51" s="278">
        <f t="shared" ca="1" si="4"/>
        <v>511.05501811594206</v>
      </c>
      <c r="F51" s="278">
        <f t="shared" ca="1" si="4"/>
        <v>0</v>
      </c>
      <c r="G51" s="18">
        <f>'Monthly Data'!DG51</f>
        <v>0</v>
      </c>
      <c r="H51" s="1">
        <f>'Monthly Data'!CC51</f>
        <v>50</v>
      </c>
      <c r="J51" s="18">
        <f>'Res Predicted Monthly'!$T$9</f>
        <v>24255450.877923299</v>
      </c>
      <c r="K51" s="18">
        <f ca="1">E51*'Res Predicted Monthly'!$T$10</f>
        <v>18304171.879712854</v>
      </c>
      <c r="L51" s="18">
        <f ca="1">F51*'Res Predicted Monthly'!$T$11</f>
        <v>0</v>
      </c>
      <c r="M51" s="18">
        <f>G51*'Res Predicted Monthly'!$T$12</f>
        <v>0</v>
      </c>
      <c r="N51" s="18">
        <f>H51*'Res Predicted Monthly'!$T$13</f>
        <v>3192174.5274085449</v>
      </c>
      <c r="O51" s="268">
        <f t="shared" ca="1" si="5"/>
        <v>45751797.2850447</v>
      </c>
    </row>
    <row r="52" spans="1:15" x14ac:dyDescent="0.25">
      <c r="A52" s="3">
        <f>'Monthly Data'!A52</f>
        <v>43525</v>
      </c>
      <c r="B52" s="1">
        <f t="shared" si="1"/>
        <v>2019</v>
      </c>
      <c r="C52" s="1">
        <f t="shared" si="2"/>
        <v>3</v>
      </c>
      <c r="D52" s="268">
        <f>'Monthly Data'!F52</f>
        <v>40529259.756652385</v>
      </c>
      <c r="E52" s="278">
        <f t="shared" ca="1" si="4"/>
        <v>422.13298913043479</v>
      </c>
      <c r="F52" s="278">
        <f t="shared" ca="1" si="4"/>
        <v>0.51874999999999927</v>
      </c>
      <c r="G52" s="18">
        <f>'Monthly Data'!DG52</f>
        <v>0</v>
      </c>
      <c r="H52" s="1">
        <f>'Monthly Data'!CC52</f>
        <v>51</v>
      </c>
      <c r="J52" s="18">
        <f>'Res Predicted Monthly'!$T$9</f>
        <v>24255450.877923299</v>
      </c>
      <c r="K52" s="18">
        <f ca="1">E52*'Res Predicted Monthly'!$T$10</f>
        <v>15119301.279197056</v>
      </c>
      <c r="L52" s="18">
        <f ca="1">F52*'Res Predicted Monthly'!$T$11</f>
        <v>30393.885715931818</v>
      </c>
      <c r="M52" s="18">
        <f>G52*'Res Predicted Monthly'!$T$12</f>
        <v>0</v>
      </c>
      <c r="N52" s="18">
        <f>H52*'Res Predicted Monthly'!$T$13</f>
        <v>3256018.017956716</v>
      </c>
      <c r="O52" s="268">
        <f t="shared" ca="1" si="5"/>
        <v>42661164.060793005</v>
      </c>
    </row>
    <row r="53" spans="1:15" x14ac:dyDescent="0.25">
      <c r="A53" s="3">
        <f>'Monthly Data'!A53</f>
        <v>43556</v>
      </c>
      <c r="B53" s="1">
        <f t="shared" si="1"/>
        <v>2019</v>
      </c>
      <c r="C53" s="1">
        <f t="shared" si="2"/>
        <v>4</v>
      </c>
      <c r="D53" s="268">
        <f>'Monthly Data'!F53</f>
        <v>38390411.159753427</v>
      </c>
      <c r="E53" s="278">
        <f t="shared" ca="1" si="4"/>
        <v>234.57024621212122</v>
      </c>
      <c r="F53" s="278">
        <f t="shared" ca="1" si="4"/>
        <v>12.79125</v>
      </c>
      <c r="G53" s="18">
        <f>'Monthly Data'!DG53</f>
        <v>0</v>
      </c>
      <c r="H53" s="1">
        <f>'Monthly Data'!CC53</f>
        <v>52</v>
      </c>
      <c r="J53" s="18">
        <f>'Res Predicted Monthly'!$T$9</f>
        <v>24255450.877923299</v>
      </c>
      <c r="K53" s="18">
        <f ca="1">E53*'Res Predicted Monthly'!$T$10</f>
        <v>8401471.372616766</v>
      </c>
      <c r="L53" s="18">
        <f ca="1">F53*'Res Predicted Monthly'!$T$11</f>
        <v>749447.30730392947</v>
      </c>
      <c r="M53" s="18">
        <f>G53*'Res Predicted Monthly'!$T$12</f>
        <v>0</v>
      </c>
      <c r="N53" s="18">
        <f>H53*'Res Predicted Monthly'!$T$13</f>
        <v>3319861.5085048866</v>
      </c>
      <c r="O53" s="268">
        <f t="shared" ca="1" si="5"/>
        <v>36726231.066348881</v>
      </c>
    </row>
    <row r="54" spans="1:15" x14ac:dyDescent="0.25">
      <c r="A54" s="3">
        <f>'Monthly Data'!A54</f>
        <v>43586</v>
      </c>
      <c r="B54" s="1">
        <f t="shared" si="1"/>
        <v>2019</v>
      </c>
      <c r="C54" s="1">
        <f t="shared" si="2"/>
        <v>5</v>
      </c>
      <c r="D54" s="268">
        <f>'Monthly Data'!F54</f>
        <v>34434462.367302448</v>
      </c>
      <c r="E54" s="278">
        <f t="shared" ref="E54:F73" ca="1" si="6">E42</f>
        <v>64.294809115179262</v>
      </c>
      <c r="F54" s="278">
        <f t="shared" ca="1" si="6"/>
        <v>130.22445928308915</v>
      </c>
      <c r="G54" s="18">
        <f>'Monthly Data'!DG54</f>
        <v>0</v>
      </c>
      <c r="H54" s="1">
        <f>'Monthly Data'!CC54</f>
        <v>53</v>
      </c>
      <c r="J54" s="18">
        <f>'Res Predicted Monthly'!$T$9</f>
        <v>24255450.877923299</v>
      </c>
      <c r="K54" s="18">
        <f ca="1">E54*'Res Predicted Monthly'!$T$10</f>
        <v>2302811.2342115333</v>
      </c>
      <c r="L54" s="18">
        <f ca="1">F54*'Res Predicted Monthly'!$T$11</f>
        <v>7629932.2079406912</v>
      </c>
      <c r="M54" s="18">
        <f>G54*'Res Predicted Monthly'!$T$12</f>
        <v>0</v>
      </c>
      <c r="N54" s="18">
        <f>H54*'Res Predicted Monthly'!$T$13</f>
        <v>3383704.9990530577</v>
      </c>
      <c r="O54" s="268">
        <f t="shared" ca="1" si="5"/>
        <v>37571899.319128588</v>
      </c>
    </row>
    <row r="55" spans="1:15" x14ac:dyDescent="0.25">
      <c r="A55" s="3">
        <f>'Monthly Data'!A55</f>
        <v>43617</v>
      </c>
      <c r="B55" s="1">
        <f t="shared" si="1"/>
        <v>2019</v>
      </c>
      <c r="C55" s="1">
        <f t="shared" si="2"/>
        <v>6</v>
      </c>
      <c r="D55" s="268">
        <f>'Monthly Data'!F55</f>
        <v>36650162.657272302</v>
      </c>
      <c r="E55" s="278">
        <f t="shared" ca="1" si="6"/>
        <v>3.2341666666666669</v>
      </c>
      <c r="F55" s="278">
        <f t="shared" ca="1" si="6"/>
        <v>254.51826754405016</v>
      </c>
      <c r="G55" s="18">
        <f>'Monthly Data'!DG55</f>
        <v>0</v>
      </c>
      <c r="H55" s="1">
        <f>'Monthly Data'!CC55</f>
        <v>54</v>
      </c>
      <c r="J55" s="18">
        <f>'Res Predicted Monthly'!$T$9</f>
        <v>24255450.877923299</v>
      </c>
      <c r="K55" s="18">
        <f ca="1">E55*'Res Predicted Monthly'!$T$10</f>
        <v>115836.33944647886</v>
      </c>
      <c r="L55" s="18">
        <f ca="1">F55*'Res Predicted Monthly'!$T$11</f>
        <v>14912383.877302805</v>
      </c>
      <c r="M55" s="18">
        <f>G55*'Res Predicted Monthly'!$T$12</f>
        <v>0</v>
      </c>
      <c r="N55" s="18">
        <f>H55*'Res Predicted Monthly'!$T$13</f>
        <v>3447548.4896012284</v>
      </c>
      <c r="O55" s="268">
        <f t="shared" ca="1" si="5"/>
        <v>42731219.584273815</v>
      </c>
    </row>
    <row r="56" spans="1:15" x14ac:dyDescent="0.25">
      <c r="A56" s="3">
        <f>'Monthly Data'!A56</f>
        <v>43647</v>
      </c>
      <c r="B56" s="1">
        <f t="shared" si="1"/>
        <v>2019</v>
      </c>
      <c r="C56" s="1">
        <f t="shared" si="2"/>
        <v>7</v>
      </c>
      <c r="D56" s="268">
        <f>'Monthly Data'!F56</f>
        <v>51398792.330054857</v>
      </c>
      <c r="E56" s="278">
        <f t="shared" ca="1" si="6"/>
        <v>0</v>
      </c>
      <c r="F56" s="278">
        <f t="shared" ca="1" si="6"/>
        <v>359.94737858727854</v>
      </c>
      <c r="G56" s="18">
        <f>'Monthly Data'!DG56</f>
        <v>0</v>
      </c>
      <c r="H56" s="1">
        <f>'Monthly Data'!CC56</f>
        <v>55</v>
      </c>
      <c r="J56" s="18">
        <f>'Res Predicted Monthly'!$T$9</f>
        <v>24255450.877923299</v>
      </c>
      <c r="K56" s="18">
        <f ca="1">E56*'Res Predicted Monthly'!$T$10</f>
        <v>0</v>
      </c>
      <c r="L56" s="18">
        <f ca="1">F56*'Res Predicted Monthly'!$T$11</f>
        <v>21089541.182710368</v>
      </c>
      <c r="M56" s="18">
        <f>G56*'Res Predicted Monthly'!$T$12</f>
        <v>0</v>
      </c>
      <c r="N56" s="18">
        <f>H56*'Res Predicted Monthly'!$T$13</f>
        <v>3511391.9801493995</v>
      </c>
      <c r="O56" s="268">
        <f t="shared" ca="1" si="5"/>
        <v>48856384.040783063</v>
      </c>
    </row>
    <row r="57" spans="1:15" x14ac:dyDescent="0.25">
      <c r="A57" s="3">
        <f>'Monthly Data'!A57</f>
        <v>43678</v>
      </c>
      <c r="B57" s="1">
        <f t="shared" si="1"/>
        <v>2019</v>
      </c>
      <c r="C57" s="1">
        <f t="shared" si="2"/>
        <v>8</v>
      </c>
      <c r="D57" s="268">
        <f>'Monthly Data'!F57</f>
        <v>50405166.652542427</v>
      </c>
      <c r="E57" s="278">
        <f t="shared" ca="1" si="6"/>
        <v>0</v>
      </c>
      <c r="F57" s="278">
        <f t="shared" ca="1" si="6"/>
        <v>334.96558794466404</v>
      </c>
      <c r="G57" s="18">
        <f>'Monthly Data'!DG57</f>
        <v>0</v>
      </c>
      <c r="H57" s="1">
        <f>'Monthly Data'!CC57</f>
        <v>56</v>
      </c>
      <c r="J57" s="18">
        <f>'Res Predicted Monthly'!$T$9</f>
        <v>24255450.877923299</v>
      </c>
      <c r="K57" s="18">
        <f ca="1">E57*'Res Predicted Monthly'!$T$10</f>
        <v>0</v>
      </c>
      <c r="L57" s="18">
        <f ca="1">F57*'Res Predicted Monthly'!$T$11</f>
        <v>19625842.503633816</v>
      </c>
      <c r="M57" s="18">
        <f>G57*'Res Predicted Monthly'!$T$12</f>
        <v>0</v>
      </c>
      <c r="N57" s="18">
        <f>H57*'Res Predicted Monthly'!$T$13</f>
        <v>3575235.4706975706</v>
      </c>
      <c r="O57" s="268">
        <f t="shared" ca="1" si="5"/>
        <v>47456528.852254689</v>
      </c>
    </row>
    <row r="58" spans="1:15" x14ac:dyDescent="0.25">
      <c r="A58" s="3">
        <f>'Monthly Data'!A58</f>
        <v>43709</v>
      </c>
      <c r="B58" s="1">
        <f t="shared" si="1"/>
        <v>2019</v>
      </c>
      <c r="C58" s="1">
        <f t="shared" si="2"/>
        <v>9</v>
      </c>
      <c r="D58" s="268">
        <f>'Monthly Data'!F58</f>
        <v>40715477.639350682</v>
      </c>
      <c r="E58" s="278">
        <f t="shared" ca="1" si="6"/>
        <v>10.413369565217392</v>
      </c>
      <c r="F58" s="278">
        <f t="shared" ca="1" si="6"/>
        <v>216.57430900621117</v>
      </c>
      <c r="G58" s="18">
        <f>'Monthly Data'!DG58</f>
        <v>0</v>
      </c>
      <c r="H58" s="1">
        <f>'Monthly Data'!CC58</f>
        <v>57</v>
      </c>
      <c r="J58" s="18">
        <f>'Res Predicted Monthly'!$T$9</f>
        <v>24255450.877923299</v>
      </c>
      <c r="K58" s="18">
        <f ca="1">E58*'Res Predicted Monthly'!$T$10</f>
        <v>372969.83614681382</v>
      </c>
      <c r="L58" s="18">
        <f ca="1">F58*'Res Predicted Monthly'!$T$11</f>
        <v>12689223.704947844</v>
      </c>
      <c r="M58" s="18">
        <f>G58*'Res Predicted Monthly'!$T$12</f>
        <v>0</v>
      </c>
      <c r="N58" s="18">
        <f>H58*'Res Predicted Monthly'!$T$13</f>
        <v>3639078.9612457412</v>
      </c>
      <c r="O58" s="268">
        <f t="shared" ca="1" si="5"/>
        <v>40956723.380263694</v>
      </c>
    </row>
    <row r="59" spans="1:15" x14ac:dyDescent="0.25">
      <c r="A59" s="3">
        <f>'Monthly Data'!A59</f>
        <v>43739</v>
      </c>
      <c r="B59" s="1">
        <f t="shared" si="1"/>
        <v>2019</v>
      </c>
      <c r="C59" s="1">
        <f t="shared" si="2"/>
        <v>10</v>
      </c>
      <c r="D59" s="268">
        <f>'Monthly Data'!F59</f>
        <v>35245091.017522082</v>
      </c>
      <c r="E59" s="278">
        <f t="shared" ca="1" si="6"/>
        <v>130.19639492753623</v>
      </c>
      <c r="F59" s="278">
        <f t="shared" ca="1" si="6"/>
        <v>62.266666666666673</v>
      </c>
      <c r="G59" s="18">
        <f>'Monthly Data'!DG59</f>
        <v>0</v>
      </c>
      <c r="H59" s="1">
        <f>'Monthly Data'!CC59</f>
        <v>58</v>
      </c>
      <c r="J59" s="18">
        <f>'Res Predicted Monthly'!$T$9</f>
        <v>24255450.877923299</v>
      </c>
      <c r="K59" s="18">
        <f ca="1">E59*'Res Predicted Monthly'!$T$10</f>
        <v>4663171.4911210211</v>
      </c>
      <c r="L59" s="18">
        <f ca="1">F59*'Res Predicted Monthly'!$T$11</f>
        <v>3648242.796296271</v>
      </c>
      <c r="M59" s="18">
        <f>G59*'Res Predicted Monthly'!$T$12</f>
        <v>0</v>
      </c>
      <c r="N59" s="18">
        <f>H59*'Res Predicted Monthly'!$T$13</f>
        <v>3702922.4517939123</v>
      </c>
      <c r="O59" s="268">
        <f t="shared" ca="1" si="5"/>
        <v>36269787.617134504</v>
      </c>
    </row>
    <row r="60" spans="1:15" x14ac:dyDescent="0.25">
      <c r="A60" s="3">
        <f>'Monthly Data'!A60</f>
        <v>43770</v>
      </c>
      <c r="B60" s="1">
        <f t="shared" si="1"/>
        <v>2019</v>
      </c>
      <c r="C60" s="1">
        <f t="shared" si="2"/>
        <v>11</v>
      </c>
      <c r="D60" s="268">
        <f>'Monthly Data'!F60</f>
        <v>40900798.175965577</v>
      </c>
      <c r="E60" s="278">
        <f t="shared" ca="1" si="6"/>
        <v>307.43824722379077</v>
      </c>
      <c r="F60" s="278">
        <f t="shared" ca="1" si="6"/>
        <v>5.6391666666666662</v>
      </c>
      <c r="G60" s="18">
        <f>'Monthly Data'!DG60</f>
        <v>0</v>
      </c>
      <c r="H60" s="1">
        <f>'Monthly Data'!CC60</f>
        <v>59</v>
      </c>
      <c r="J60" s="18">
        <f>'Res Predicted Monthly'!$T$9</f>
        <v>24255450.877923299</v>
      </c>
      <c r="K60" s="18">
        <f ca="1">E60*'Res Predicted Monthly'!$T$10</f>
        <v>11011343.828161456</v>
      </c>
      <c r="L60" s="18">
        <f ca="1">F60*'Res Predicted Monthly'!$T$11</f>
        <v>330402.28857784881</v>
      </c>
      <c r="M60" s="18">
        <f>G60*'Res Predicted Monthly'!$T$12</f>
        <v>0</v>
      </c>
      <c r="N60" s="18">
        <f>H60*'Res Predicted Monthly'!$T$13</f>
        <v>3766765.942342083</v>
      </c>
      <c r="O60" s="268">
        <f t="shared" ca="1" si="5"/>
        <v>39363962.937004685</v>
      </c>
    </row>
    <row r="61" spans="1:15" x14ac:dyDescent="0.25">
      <c r="A61" s="3">
        <f>'Monthly Data'!A61</f>
        <v>43800</v>
      </c>
      <c r="B61" s="1">
        <f t="shared" si="1"/>
        <v>2019</v>
      </c>
      <c r="C61" s="1">
        <f t="shared" si="2"/>
        <v>12</v>
      </c>
      <c r="D61" s="268">
        <f>'Monthly Data'!F61</f>
        <v>46344241.546475172</v>
      </c>
      <c r="E61" s="278">
        <f t="shared" ca="1" si="6"/>
        <v>453.92800724637681</v>
      </c>
      <c r="F61" s="278">
        <f t="shared" ca="1" si="6"/>
        <v>0.12791666666666668</v>
      </c>
      <c r="G61" s="18">
        <f>'Monthly Data'!DG61</f>
        <v>0</v>
      </c>
      <c r="H61" s="1">
        <f>'Monthly Data'!CC61</f>
        <v>60</v>
      </c>
      <c r="J61" s="18">
        <f>'Res Predicted Monthly'!$T$9</f>
        <v>24255450.877923299</v>
      </c>
      <c r="K61" s="18">
        <f ca="1">E61*'Res Predicted Monthly'!$T$10</f>
        <v>16258085.668123169</v>
      </c>
      <c r="L61" s="18">
        <f ca="1">F61*'Res Predicted Monthly'!$T$11</f>
        <v>7494.7172006354076</v>
      </c>
      <c r="M61" s="18">
        <f>G61*'Res Predicted Monthly'!$T$12</f>
        <v>0</v>
      </c>
      <c r="N61" s="18">
        <f>H61*'Res Predicted Monthly'!$T$13</f>
        <v>3830609.4328902541</v>
      </c>
      <c r="O61" s="268">
        <f t="shared" ca="1" si="5"/>
        <v>44351640.696137354</v>
      </c>
    </row>
    <row r="62" spans="1:15" x14ac:dyDescent="0.25">
      <c r="A62" s="3">
        <f>'Monthly Data'!A62</f>
        <v>43831</v>
      </c>
      <c r="B62" s="1">
        <f t="shared" ref="B62:B109" si="7">YEAR(A62)</f>
        <v>2020</v>
      </c>
      <c r="C62" s="1">
        <f t="shared" ref="C62:C109" si="8">MONTH(A62)</f>
        <v>1</v>
      </c>
      <c r="D62" s="268">
        <f>'Monthly Data'!F62</f>
        <v>48338968.594280884</v>
      </c>
      <c r="E62" s="278">
        <f t="shared" ca="1" si="6"/>
        <v>573.33418478260865</v>
      </c>
      <c r="F62" s="278">
        <f t="shared" ca="1" si="6"/>
        <v>0</v>
      </c>
      <c r="G62" s="18">
        <f>'Monthly Data'!DG62</f>
        <v>0</v>
      </c>
      <c r="H62" s="1">
        <f>'Monthly Data'!CC62</f>
        <v>61</v>
      </c>
      <c r="J62" s="18">
        <f>'Res Predicted Monthly'!$T$9</f>
        <v>24255450.877923299</v>
      </c>
      <c r="K62" s="18">
        <f ca="1">E62*'Res Predicted Monthly'!$T$10</f>
        <v>20534789.975186337</v>
      </c>
      <c r="L62" s="18">
        <f ca="1">F62*'Res Predicted Monthly'!$T$11</f>
        <v>0</v>
      </c>
      <c r="M62" s="18">
        <f>G62*'Res Predicted Monthly'!$T$12</f>
        <v>0</v>
      </c>
      <c r="N62" s="18">
        <f>H62*'Res Predicted Monthly'!$T$13</f>
        <v>3894452.9234384247</v>
      </c>
      <c r="O62" s="268">
        <f t="shared" ca="1" si="5"/>
        <v>48684693.776548058</v>
      </c>
    </row>
    <row r="63" spans="1:15" x14ac:dyDescent="0.25">
      <c r="A63" s="3">
        <f>'Monthly Data'!A63</f>
        <v>43862</v>
      </c>
      <c r="B63" s="1">
        <f t="shared" si="7"/>
        <v>2020</v>
      </c>
      <c r="C63" s="1">
        <f t="shared" si="8"/>
        <v>2</v>
      </c>
      <c r="D63" s="268">
        <f>'Monthly Data'!F63</f>
        <v>45824867.163535185</v>
      </c>
      <c r="E63" s="278">
        <f t="shared" ca="1" si="6"/>
        <v>511.05501811594206</v>
      </c>
      <c r="F63" s="278">
        <f t="shared" ca="1" si="6"/>
        <v>0</v>
      </c>
      <c r="G63" s="18">
        <f>'Monthly Data'!DG63</f>
        <v>0</v>
      </c>
      <c r="H63" s="1">
        <f>'Monthly Data'!CC63</f>
        <v>62</v>
      </c>
      <c r="J63" s="18">
        <f>'Res Predicted Monthly'!$T$9</f>
        <v>24255450.877923299</v>
      </c>
      <c r="K63" s="18">
        <f ca="1">E63*'Res Predicted Monthly'!$T$10</f>
        <v>18304171.879712854</v>
      </c>
      <c r="L63" s="18">
        <f ca="1">F63*'Res Predicted Monthly'!$T$11</f>
        <v>0</v>
      </c>
      <c r="M63" s="18">
        <f>G63*'Res Predicted Monthly'!$T$12</f>
        <v>0</v>
      </c>
      <c r="N63" s="18">
        <f>H63*'Res Predicted Monthly'!$T$13</f>
        <v>3958296.4139865958</v>
      </c>
      <c r="O63" s="268">
        <f t="shared" ca="1" si="5"/>
        <v>46517919.171622746</v>
      </c>
    </row>
    <row r="64" spans="1:15"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18">
        <f>'Monthly Data'!DG64</f>
        <v>0</v>
      </c>
      <c r="H64" s="1">
        <f>'Monthly Data'!CC64</f>
        <v>63</v>
      </c>
      <c r="J64" s="18">
        <f>'Res Predicted Monthly'!$T$9</f>
        <v>24255450.877923299</v>
      </c>
      <c r="K64" s="18">
        <f ca="1">E64*'Res Predicted Monthly'!$T$10</f>
        <v>15119301.279197056</v>
      </c>
      <c r="L64" s="18">
        <f ca="1">F64*'Res Predicted Monthly'!$T$11</f>
        <v>30393.885715931818</v>
      </c>
      <c r="M64" s="18">
        <f>G64*'Res Predicted Monthly'!$T$12</f>
        <v>0</v>
      </c>
      <c r="N64" s="18">
        <f>H64*'Res Predicted Monthly'!$T$13</f>
        <v>4022139.9045347665</v>
      </c>
      <c r="O64" s="268">
        <f t="shared" ca="1" si="5"/>
        <v>43427285.947371051</v>
      </c>
    </row>
    <row r="65" spans="1:15" x14ac:dyDescent="0.25">
      <c r="A65" s="3">
        <f>'Monthly Data'!A65</f>
        <v>43922</v>
      </c>
      <c r="B65" s="1">
        <f t="shared" si="7"/>
        <v>2020</v>
      </c>
      <c r="C65" s="1">
        <f t="shared" si="8"/>
        <v>4</v>
      </c>
      <c r="D65" s="268">
        <f>'Monthly Data'!F65</f>
        <v>41695243.05434832</v>
      </c>
      <c r="E65" s="278">
        <f t="shared" ca="1" si="6"/>
        <v>234.57024621212122</v>
      </c>
      <c r="F65" s="278">
        <f t="shared" ca="1" si="6"/>
        <v>12.79125</v>
      </c>
      <c r="G65" s="18">
        <f>'Monthly Data'!DG65</f>
        <v>0</v>
      </c>
      <c r="H65" s="1">
        <f>'Monthly Data'!CC65</f>
        <v>64</v>
      </c>
      <c r="J65" s="18">
        <f>'Res Predicted Monthly'!$T$9</f>
        <v>24255450.877923299</v>
      </c>
      <c r="K65" s="18">
        <f ca="1">E65*'Res Predicted Monthly'!$T$10</f>
        <v>8401471.372616766</v>
      </c>
      <c r="L65" s="18">
        <f ca="1">F65*'Res Predicted Monthly'!$T$11</f>
        <v>749447.30730392947</v>
      </c>
      <c r="M65" s="18">
        <f>G65*'Res Predicted Monthly'!$T$12</f>
        <v>0</v>
      </c>
      <c r="N65" s="18">
        <f>H65*'Res Predicted Monthly'!$T$13</f>
        <v>4085983.3950829376</v>
      </c>
      <c r="O65" s="268">
        <f t="shared" ca="1" si="5"/>
        <v>37492352.952926926</v>
      </c>
    </row>
    <row r="66" spans="1:15"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18">
        <f>'Monthly Data'!DG66</f>
        <v>77.750595238095229</v>
      </c>
      <c r="H66" s="1">
        <f>'Monthly Data'!CC66</f>
        <v>65</v>
      </c>
      <c r="J66" s="18">
        <f>'Res Predicted Monthly'!$T$9</f>
        <v>24255450.877923299</v>
      </c>
      <c r="K66" s="18">
        <f ca="1">E66*'Res Predicted Monthly'!$T$10</f>
        <v>2302811.2342115333</v>
      </c>
      <c r="L66" s="18">
        <f ca="1">F66*'Res Predicted Monthly'!$T$11</f>
        <v>7629932.2079406912</v>
      </c>
      <c r="M66" s="18">
        <f>G66*'Res Predicted Monthly'!$T$12</f>
        <v>1178610.6897739109</v>
      </c>
      <c r="N66" s="18">
        <f>H66*'Res Predicted Monthly'!$T$13</f>
        <v>4149826.8856311087</v>
      </c>
      <c r="O66" s="268">
        <f t="shared" ref="O66:O97" ca="1" si="9">SUM(J66:N66)</f>
        <v>39516631.895480543</v>
      </c>
    </row>
    <row r="67" spans="1:15"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18">
        <f>'Monthly Data'!DG67</f>
        <v>222.53623188405788</v>
      </c>
      <c r="H67" s="1">
        <f>'Monthly Data'!CC67</f>
        <v>66</v>
      </c>
      <c r="J67" s="18">
        <f>'Res Predicted Monthly'!$T$9</f>
        <v>24255450.877923299</v>
      </c>
      <c r="K67" s="18">
        <f ca="1">E67*'Res Predicted Monthly'!$T$10</f>
        <v>115836.33944647886</v>
      </c>
      <c r="L67" s="18">
        <f ca="1">F67*'Res Predicted Monthly'!$T$11</f>
        <v>14912383.877302805</v>
      </c>
      <c r="M67" s="18">
        <f>G67*'Res Predicted Monthly'!$T$12</f>
        <v>3373396.4474145421</v>
      </c>
      <c r="N67" s="18">
        <f>H67*'Res Predicted Monthly'!$T$13</f>
        <v>4213670.3761792798</v>
      </c>
      <c r="O67" s="268">
        <f t="shared" ca="1" si="9"/>
        <v>46870737.918266401</v>
      </c>
    </row>
    <row r="68" spans="1:15" x14ac:dyDescent="0.25">
      <c r="A68" s="3">
        <f>'Monthly Data'!A68</f>
        <v>44013</v>
      </c>
      <c r="B68" s="1">
        <f t="shared" si="7"/>
        <v>2020</v>
      </c>
      <c r="C68" s="1">
        <f t="shared" si="8"/>
        <v>7</v>
      </c>
      <c r="D68" s="268">
        <f>'Monthly Data'!F68</f>
        <v>60194460.576176599</v>
      </c>
      <c r="E68" s="278">
        <f t="shared" ca="1" si="6"/>
        <v>0</v>
      </c>
      <c r="F68" s="278">
        <f t="shared" ca="1" si="6"/>
        <v>359.94737858727854</v>
      </c>
      <c r="G68" s="18">
        <f>'Monthly Data'!DG68</f>
        <v>370.88750000000005</v>
      </c>
      <c r="H68" s="1">
        <f>'Monthly Data'!CC68</f>
        <v>67</v>
      </c>
      <c r="J68" s="18">
        <f>'Res Predicted Monthly'!$T$9</f>
        <v>24255450.877923299</v>
      </c>
      <c r="K68" s="18">
        <f ca="1">E68*'Res Predicted Monthly'!$T$10</f>
        <v>0</v>
      </c>
      <c r="L68" s="18">
        <f ca="1">F68*'Res Predicted Monthly'!$T$11</f>
        <v>21089541.182710368</v>
      </c>
      <c r="M68" s="18">
        <f>G68*'Res Predicted Monthly'!$T$12</f>
        <v>5622233.1271534907</v>
      </c>
      <c r="N68" s="18">
        <f>H68*'Res Predicted Monthly'!$T$13</f>
        <v>4277513.8667274499</v>
      </c>
      <c r="O68" s="268">
        <f t="shared" ca="1" si="9"/>
        <v>55244739.054514609</v>
      </c>
    </row>
    <row r="69" spans="1:15" x14ac:dyDescent="0.25">
      <c r="A69" s="3">
        <f>'Monthly Data'!A69</f>
        <v>44044</v>
      </c>
      <c r="B69" s="1">
        <f t="shared" si="7"/>
        <v>2020</v>
      </c>
      <c r="C69" s="1">
        <f t="shared" si="8"/>
        <v>8</v>
      </c>
      <c r="D69" s="268">
        <f>'Monthly Data'!F69</f>
        <v>55662667.072527848</v>
      </c>
      <c r="E69" s="278">
        <f t="shared" ca="1" si="6"/>
        <v>0</v>
      </c>
      <c r="F69" s="278">
        <f t="shared" ca="1" si="6"/>
        <v>334.96558794466404</v>
      </c>
      <c r="G69" s="18">
        <f>'Monthly Data'!DG69</f>
        <v>278.93106060606061</v>
      </c>
      <c r="H69" s="1">
        <f>'Monthly Data'!CC69</f>
        <v>68</v>
      </c>
      <c r="J69" s="18">
        <f>'Res Predicted Monthly'!$T$9</f>
        <v>24255450.877923299</v>
      </c>
      <c r="K69" s="18">
        <f ca="1">E69*'Res Predicted Monthly'!$T$10</f>
        <v>0</v>
      </c>
      <c r="L69" s="18">
        <f ca="1">F69*'Res Predicted Monthly'!$T$11</f>
        <v>19625842.503633816</v>
      </c>
      <c r="M69" s="18">
        <f>G69*'Res Predicted Monthly'!$T$12</f>
        <v>4228277.9795260066</v>
      </c>
      <c r="N69" s="18">
        <f>H69*'Res Predicted Monthly'!$T$13</f>
        <v>4341357.357275621</v>
      </c>
      <c r="O69" s="268">
        <f t="shared" ca="1" si="9"/>
        <v>52450928.71835874</v>
      </c>
    </row>
    <row r="70" spans="1:15"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18">
        <f>'Monthly Data'!DG70</f>
        <v>120.81213768115938</v>
      </c>
      <c r="H70" s="1">
        <f>'Monthly Data'!CC70</f>
        <v>69</v>
      </c>
      <c r="J70" s="18">
        <f>'Res Predicted Monthly'!$T$9</f>
        <v>24255450.877923299</v>
      </c>
      <c r="K70" s="18">
        <f ca="1">E70*'Res Predicted Monthly'!$T$10</f>
        <v>372969.83614681382</v>
      </c>
      <c r="L70" s="18">
        <f ca="1">F70*'Res Predicted Monthly'!$T$11</f>
        <v>12689223.704947844</v>
      </c>
      <c r="M70" s="18">
        <f>G70*'Res Predicted Monthly'!$T$12</f>
        <v>1831374.7501149075</v>
      </c>
      <c r="N70" s="18">
        <f>H70*'Res Predicted Monthly'!$T$13</f>
        <v>4405200.8478237921</v>
      </c>
      <c r="O70" s="268">
        <f t="shared" ca="1" si="9"/>
        <v>43554220.016956657</v>
      </c>
    </row>
    <row r="71" spans="1:15"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18">
        <f>'Monthly Data'!DG71</f>
        <v>10.262500000000003</v>
      </c>
      <c r="H71" s="1">
        <f>'Monthly Data'!CC71</f>
        <v>70</v>
      </c>
      <c r="J71" s="18">
        <f>'Res Predicted Monthly'!$T$9</f>
        <v>24255450.877923299</v>
      </c>
      <c r="K71" s="18">
        <f ca="1">E71*'Res Predicted Monthly'!$T$10</f>
        <v>4663171.4911210211</v>
      </c>
      <c r="L71" s="18">
        <f ca="1">F71*'Res Predicted Monthly'!$T$11</f>
        <v>3648242.796296271</v>
      </c>
      <c r="M71" s="18">
        <f>G71*'Res Predicted Monthly'!$T$12</f>
        <v>155567.84056462595</v>
      </c>
      <c r="N71" s="18">
        <f>H71*'Res Predicted Monthly'!$T$13</f>
        <v>4469044.3383719632</v>
      </c>
      <c r="O71" s="268">
        <f t="shared" ca="1" si="9"/>
        <v>37191477.344277181</v>
      </c>
    </row>
    <row r="72" spans="1:15"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18">
        <f>'Monthly Data'!DG72</f>
        <v>1.8291666666666622</v>
      </c>
      <c r="H72" s="1">
        <f>'Monthly Data'!CC72</f>
        <v>71</v>
      </c>
      <c r="J72" s="18">
        <f>'Res Predicted Monthly'!$T$9</f>
        <v>24255450.877923299</v>
      </c>
      <c r="K72" s="18">
        <f ca="1">E72*'Res Predicted Monthly'!$T$10</f>
        <v>11011343.828161456</v>
      </c>
      <c r="L72" s="18">
        <f ca="1">F72*'Res Predicted Monthly'!$T$11</f>
        <v>330402.28857784881</v>
      </c>
      <c r="M72" s="18">
        <f>G72*'Res Predicted Monthly'!$T$12</f>
        <v>27728.088513142757</v>
      </c>
      <c r="N72" s="18">
        <f>H72*'Res Predicted Monthly'!$T$13</f>
        <v>4532887.8289201334</v>
      </c>
      <c r="O72" s="268">
        <f t="shared" ca="1" si="9"/>
        <v>40157812.912095882</v>
      </c>
    </row>
    <row r="73" spans="1:15"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18">
        <f>'Monthly Data'!DG73</f>
        <v>0</v>
      </c>
      <c r="H73" s="1">
        <f>'Monthly Data'!CC73</f>
        <v>72</v>
      </c>
      <c r="J73" s="18">
        <f>'Res Predicted Monthly'!$T$9</f>
        <v>24255450.877923299</v>
      </c>
      <c r="K73" s="18">
        <f ca="1">E73*'Res Predicted Monthly'!$T$10</f>
        <v>16258085.668123169</v>
      </c>
      <c r="L73" s="18">
        <f ca="1">F73*'Res Predicted Monthly'!$T$11</f>
        <v>7494.7172006354076</v>
      </c>
      <c r="M73" s="18">
        <f>G73*'Res Predicted Monthly'!$T$12</f>
        <v>0</v>
      </c>
      <c r="N73" s="18">
        <f>H73*'Res Predicted Monthly'!$T$13</f>
        <v>4596731.3194683045</v>
      </c>
      <c r="O73" s="268">
        <f t="shared" ca="1" si="9"/>
        <v>45117762.582715407</v>
      </c>
    </row>
    <row r="74" spans="1:15"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18">
        <f>'Monthly Data'!DG74</f>
        <v>0</v>
      </c>
      <c r="H74" s="1">
        <f>'Monthly Data'!CC74</f>
        <v>73</v>
      </c>
      <c r="J74" s="18">
        <f>'Res Predicted Monthly'!$T$9</f>
        <v>24255450.877923299</v>
      </c>
      <c r="K74" s="18">
        <f ca="1">E74*'Res Predicted Monthly'!$T$10</f>
        <v>20534789.975186337</v>
      </c>
      <c r="L74" s="18">
        <f ca="1">F74*'Res Predicted Monthly'!$T$11</f>
        <v>0</v>
      </c>
      <c r="M74" s="18">
        <f>G74*'Res Predicted Monthly'!$T$12</f>
        <v>0</v>
      </c>
      <c r="N74" s="18">
        <f>H74*'Res Predicted Monthly'!$T$13</f>
        <v>4660574.8100164756</v>
      </c>
      <c r="O74" s="268">
        <f t="shared" ca="1" si="9"/>
        <v>49450815.663126111</v>
      </c>
    </row>
    <row r="75" spans="1:15" x14ac:dyDescent="0.25">
      <c r="A75" s="3">
        <f>'Monthly Data'!A75</f>
        <v>44228</v>
      </c>
      <c r="B75" s="1">
        <f t="shared" si="7"/>
        <v>2021</v>
      </c>
      <c r="C75" s="1">
        <f t="shared" si="8"/>
        <v>2</v>
      </c>
      <c r="D75" s="268">
        <f>'Monthly Data'!F75</f>
        <v>50363307.607176967</v>
      </c>
      <c r="E75" s="278">
        <f t="shared" ca="1" si="10"/>
        <v>511.05501811594206</v>
      </c>
      <c r="F75" s="278">
        <f t="shared" ca="1" si="10"/>
        <v>0</v>
      </c>
      <c r="G75" s="18">
        <f>'Monthly Data'!DG75</f>
        <v>0</v>
      </c>
      <c r="H75" s="1">
        <f>'Monthly Data'!CC75</f>
        <v>74</v>
      </c>
      <c r="J75" s="18">
        <f>'Res Predicted Monthly'!$T$9</f>
        <v>24255450.877923299</v>
      </c>
      <c r="K75" s="18">
        <f ca="1">E75*'Res Predicted Monthly'!$T$10</f>
        <v>18304171.879712854</v>
      </c>
      <c r="L75" s="18">
        <f ca="1">F75*'Res Predicted Monthly'!$T$11</f>
        <v>0</v>
      </c>
      <c r="M75" s="18">
        <f>G75*'Res Predicted Monthly'!$T$12</f>
        <v>0</v>
      </c>
      <c r="N75" s="18">
        <f>H75*'Res Predicted Monthly'!$T$13</f>
        <v>4724418.3005646467</v>
      </c>
      <c r="O75" s="268">
        <f t="shared" ca="1" si="9"/>
        <v>47284041.058200799</v>
      </c>
    </row>
    <row r="76" spans="1:15"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18">
        <f>'Monthly Data'!DG76</f>
        <v>0.22187499999999671</v>
      </c>
      <c r="H76" s="1">
        <f>'Monthly Data'!CC76</f>
        <v>75</v>
      </c>
      <c r="J76" s="18">
        <f>'Res Predicted Monthly'!$T$9</f>
        <v>24255450.877923299</v>
      </c>
      <c r="K76" s="18">
        <f ca="1">E76*'Res Predicted Monthly'!$T$10</f>
        <v>15119301.279197056</v>
      </c>
      <c r="L76" s="18">
        <f ca="1">F76*'Res Predicted Monthly'!$T$11</f>
        <v>30393.885715931818</v>
      </c>
      <c r="M76" s="18">
        <f>G76*'Res Predicted Monthly'!$T$12</f>
        <v>3363.3729232911924</v>
      </c>
      <c r="N76" s="18">
        <f>H76*'Res Predicted Monthly'!$T$13</f>
        <v>4788261.7911128178</v>
      </c>
      <c r="O76" s="268">
        <f t="shared" ca="1" si="9"/>
        <v>44196771.206872396</v>
      </c>
    </row>
    <row r="77" spans="1:15" x14ac:dyDescent="0.25">
      <c r="A77" s="3">
        <f>'Monthly Data'!A77</f>
        <v>44287</v>
      </c>
      <c r="B77" s="1">
        <f t="shared" si="7"/>
        <v>2021</v>
      </c>
      <c r="C77" s="1">
        <f t="shared" si="8"/>
        <v>4</v>
      </c>
      <c r="D77" s="268">
        <f>'Monthly Data'!F77</f>
        <v>39269226.956045598</v>
      </c>
      <c r="E77" s="278">
        <f t="shared" ca="1" si="10"/>
        <v>234.57024621212122</v>
      </c>
      <c r="F77" s="278">
        <f t="shared" ca="1" si="10"/>
        <v>12.79125</v>
      </c>
      <c r="G77" s="18">
        <f>'Monthly Data'!DG77</f>
        <v>8.2906249999999986</v>
      </c>
      <c r="H77" s="1">
        <f>'Monthly Data'!CC77</f>
        <v>76</v>
      </c>
      <c r="J77" s="18">
        <f>'Res Predicted Monthly'!$T$9</f>
        <v>24255450.877923299</v>
      </c>
      <c r="K77" s="18">
        <f ca="1">E77*'Res Predicted Monthly'!$T$10</f>
        <v>8401471.372616766</v>
      </c>
      <c r="L77" s="18">
        <f ca="1">F77*'Res Predicted Monthly'!$T$11</f>
        <v>749447.30730392947</v>
      </c>
      <c r="M77" s="18">
        <f>G77*'Res Predicted Monthly'!$T$12</f>
        <v>125676.45585199527</v>
      </c>
      <c r="N77" s="18">
        <f>H77*'Res Predicted Monthly'!$T$13</f>
        <v>4852105.281660988</v>
      </c>
      <c r="O77" s="268">
        <f t="shared" ca="1" si="9"/>
        <v>38384151.295356974</v>
      </c>
    </row>
    <row r="78" spans="1:15"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18">
        <f>'Monthly Data'!DG78</f>
        <v>62.442708333333314</v>
      </c>
      <c r="H78" s="1">
        <f>'Monthly Data'!CC78</f>
        <v>77</v>
      </c>
      <c r="J78" s="18">
        <f>'Res Predicted Monthly'!$T$9</f>
        <v>24255450.877923299</v>
      </c>
      <c r="K78" s="18">
        <f ca="1">E78*'Res Predicted Monthly'!$T$10</f>
        <v>2302811.2342115333</v>
      </c>
      <c r="L78" s="18">
        <f ca="1">F78*'Res Predicted Monthly'!$T$11</f>
        <v>7629932.2079406912</v>
      </c>
      <c r="M78" s="18">
        <f>G78*'Res Predicted Monthly'!$T$12</f>
        <v>946560.51589996926</v>
      </c>
      <c r="N78" s="18">
        <f>H78*'Res Predicted Monthly'!$T$13</f>
        <v>4915948.7722091591</v>
      </c>
      <c r="O78" s="268">
        <f t="shared" ca="1" si="9"/>
        <v>40050703.608184658</v>
      </c>
    </row>
    <row r="79" spans="1:15"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18">
        <f>'Monthly Data'!DG79</f>
        <v>181.25625000000002</v>
      </c>
      <c r="H79" s="1">
        <f>'Monthly Data'!CC79</f>
        <v>78</v>
      </c>
      <c r="J79" s="18">
        <f>'Res Predicted Monthly'!$T$9</f>
        <v>24255450.877923299</v>
      </c>
      <c r="K79" s="18">
        <f ca="1">E79*'Res Predicted Monthly'!$T$10</f>
        <v>115836.33944647886</v>
      </c>
      <c r="L79" s="18">
        <f ca="1">F79*'Res Predicted Monthly'!$T$11</f>
        <v>14912383.877302805</v>
      </c>
      <c r="M79" s="18">
        <f>G79*'Res Predicted Monthly'!$T$12</f>
        <v>2747638.8210808262</v>
      </c>
      <c r="N79" s="18">
        <f>H79*'Res Predicted Monthly'!$T$13</f>
        <v>4979792.2627573302</v>
      </c>
      <c r="O79" s="268">
        <f t="shared" ca="1" si="9"/>
        <v>47011102.17851074</v>
      </c>
    </row>
    <row r="80" spans="1:15" x14ac:dyDescent="0.25">
      <c r="A80" s="3">
        <f>'Monthly Data'!A80</f>
        <v>44378</v>
      </c>
      <c r="B80" s="1">
        <f t="shared" si="7"/>
        <v>2021</v>
      </c>
      <c r="C80" s="1">
        <f t="shared" si="8"/>
        <v>7</v>
      </c>
      <c r="D80" s="268">
        <f>'Monthly Data'!F80</f>
        <v>49489787.815358631</v>
      </c>
      <c r="E80" s="278">
        <f t="shared" ca="1" si="10"/>
        <v>0</v>
      </c>
      <c r="F80" s="278">
        <f t="shared" ca="1" si="10"/>
        <v>359.94737858727854</v>
      </c>
      <c r="G80" s="18">
        <f>'Monthly Data'!DG80</f>
        <v>191.15624999999994</v>
      </c>
      <c r="H80" s="1">
        <f>'Monthly Data'!CC80</f>
        <v>79</v>
      </c>
      <c r="J80" s="18">
        <f>'Res Predicted Monthly'!$T$9</f>
        <v>24255450.877923299</v>
      </c>
      <c r="K80" s="18">
        <f ca="1">E80*'Res Predicted Monthly'!$T$10</f>
        <v>0</v>
      </c>
      <c r="L80" s="18">
        <f ca="1">F80*'Res Predicted Monthly'!$T$11</f>
        <v>21089541.182710368</v>
      </c>
      <c r="M80" s="18">
        <f>G80*'Res Predicted Monthly'!$T$12</f>
        <v>2897711.5734890876</v>
      </c>
      <c r="N80" s="18">
        <f>H80*'Res Predicted Monthly'!$T$13</f>
        <v>5043635.7533055013</v>
      </c>
      <c r="O80" s="268">
        <f t="shared" ca="1" si="9"/>
        <v>53286339.387428254</v>
      </c>
    </row>
    <row r="81" spans="1:15" x14ac:dyDescent="0.25">
      <c r="A81" s="3">
        <f>'Monthly Data'!A81</f>
        <v>44409</v>
      </c>
      <c r="B81" s="1">
        <f t="shared" si="7"/>
        <v>2021</v>
      </c>
      <c r="C81" s="1">
        <f t="shared" si="8"/>
        <v>8</v>
      </c>
      <c r="D81" s="268">
        <f>'Monthly Data'!F81</f>
        <v>55294718.577662736</v>
      </c>
      <c r="E81" s="278">
        <f t="shared" ca="1" si="10"/>
        <v>0</v>
      </c>
      <c r="F81" s="278">
        <f t="shared" ca="1" si="10"/>
        <v>334.96558794466404</v>
      </c>
      <c r="G81" s="18">
        <f>'Monthly Data'!DG81</f>
        <v>246.04687499999991</v>
      </c>
      <c r="H81" s="1">
        <f>'Monthly Data'!CC81</f>
        <v>80</v>
      </c>
      <c r="J81" s="18">
        <f>'Res Predicted Monthly'!$T$9</f>
        <v>24255450.877923299</v>
      </c>
      <c r="K81" s="18">
        <f ca="1">E81*'Res Predicted Monthly'!$T$10</f>
        <v>0</v>
      </c>
      <c r="L81" s="18">
        <f ca="1">F81*'Res Predicted Monthly'!$T$11</f>
        <v>19625842.503633816</v>
      </c>
      <c r="M81" s="18">
        <f>G81*'Res Predicted Monthly'!$T$12</f>
        <v>3729791.0861314912</v>
      </c>
      <c r="N81" s="18">
        <f>H81*'Res Predicted Monthly'!$T$13</f>
        <v>5107479.2438536715</v>
      </c>
      <c r="O81" s="268">
        <f t="shared" ca="1" si="9"/>
        <v>52718563.711542279</v>
      </c>
    </row>
    <row r="82" spans="1:15"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18">
        <f>'Monthly Data'!DG82</f>
        <v>112.16874999999996</v>
      </c>
      <c r="H82" s="1">
        <f>'Monthly Data'!CC82</f>
        <v>81</v>
      </c>
      <c r="J82" s="18">
        <f>'Res Predicted Monthly'!$T$9</f>
        <v>24255450.877923299</v>
      </c>
      <c r="K82" s="18">
        <f ca="1">E82*'Res Predicted Monthly'!$T$10</f>
        <v>372969.83614681382</v>
      </c>
      <c r="L82" s="18">
        <f ca="1">F82*'Res Predicted Monthly'!$T$11</f>
        <v>12689223.704947844</v>
      </c>
      <c r="M82" s="18">
        <f>G82*'Res Predicted Monthly'!$T$12</f>
        <v>1700350.8127974058</v>
      </c>
      <c r="N82" s="18">
        <f>H82*'Res Predicted Monthly'!$T$13</f>
        <v>5171322.7344018426</v>
      </c>
      <c r="O82" s="268">
        <f t="shared" ca="1" si="9"/>
        <v>44189317.966217205</v>
      </c>
    </row>
    <row r="83" spans="1:15"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18">
        <f>'Monthly Data'!DG83</f>
        <v>58.484375000000014</v>
      </c>
      <c r="H83" s="1">
        <f>'Monthly Data'!CC83</f>
        <v>82</v>
      </c>
      <c r="J83" s="18">
        <f>'Res Predicted Monthly'!$T$9</f>
        <v>24255450.877923299</v>
      </c>
      <c r="K83" s="18">
        <f ca="1">E83*'Res Predicted Monthly'!$T$10</f>
        <v>4663171.4911210211</v>
      </c>
      <c r="L83" s="18">
        <f ca="1">F83*'Res Predicted Monthly'!$T$11</f>
        <v>3648242.796296271</v>
      </c>
      <c r="M83" s="18">
        <f>G83*'Res Predicted Monthly'!$T$12</f>
        <v>886556.67970979738</v>
      </c>
      <c r="N83" s="18">
        <f>H83*'Res Predicted Monthly'!$T$13</f>
        <v>5235166.2249500137</v>
      </c>
      <c r="O83" s="268">
        <f t="shared" ca="1" si="9"/>
        <v>38688588.070000403</v>
      </c>
    </row>
    <row r="84" spans="1:15"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18">
        <f>'Monthly Data'!DG84</f>
        <v>0</v>
      </c>
      <c r="H84" s="1">
        <f>'Monthly Data'!CC84</f>
        <v>83</v>
      </c>
      <c r="J84" s="18">
        <f>'Res Predicted Monthly'!$T$9</f>
        <v>24255450.877923299</v>
      </c>
      <c r="K84" s="18">
        <f ca="1">E84*'Res Predicted Monthly'!$T$10</f>
        <v>11011343.828161456</v>
      </c>
      <c r="L84" s="18">
        <f ca="1">F84*'Res Predicted Monthly'!$T$11</f>
        <v>330402.28857784881</v>
      </c>
      <c r="M84" s="18">
        <f>G84*'Res Predicted Monthly'!$T$12</f>
        <v>0</v>
      </c>
      <c r="N84" s="18">
        <f>H84*'Res Predicted Monthly'!$T$13</f>
        <v>5299009.7154981848</v>
      </c>
      <c r="O84" s="268">
        <f t="shared" ca="1" si="9"/>
        <v>40896206.710160792</v>
      </c>
    </row>
    <row r="85" spans="1:15"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18">
        <f>'Monthly Data'!DG85</f>
        <v>0</v>
      </c>
      <c r="H85" s="1">
        <f>'Monthly Data'!CC85</f>
        <v>84</v>
      </c>
      <c r="J85" s="18">
        <f>'Res Predicted Monthly'!$T$9</f>
        <v>24255450.877923299</v>
      </c>
      <c r="K85" s="18">
        <f ca="1">E85*'Res Predicted Monthly'!$T$10</f>
        <v>16258085.668123169</v>
      </c>
      <c r="L85" s="18">
        <f ca="1">F85*'Res Predicted Monthly'!$T$11</f>
        <v>7494.7172006354076</v>
      </c>
      <c r="M85" s="18">
        <f>G85*'Res Predicted Monthly'!$T$12</f>
        <v>0</v>
      </c>
      <c r="N85" s="18">
        <f>H85*'Res Predicted Monthly'!$T$13</f>
        <v>5362853.2060463559</v>
      </c>
      <c r="O85" s="268">
        <f t="shared" ca="1" si="9"/>
        <v>45883884.46929346</v>
      </c>
    </row>
    <row r="86" spans="1:15" x14ac:dyDescent="0.25">
      <c r="A86" s="3">
        <f>'Monthly Data'!A86</f>
        <v>44562</v>
      </c>
      <c r="B86" s="1">
        <f t="shared" si="7"/>
        <v>2022</v>
      </c>
      <c r="C86" s="1">
        <f t="shared" si="8"/>
        <v>1</v>
      </c>
      <c r="D86" s="268">
        <f>'Monthly Data'!F86</f>
        <v>51393545.028530009</v>
      </c>
      <c r="E86" s="278">
        <f t="shared" ca="1" si="10"/>
        <v>573.33418478260865</v>
      </c>
      <c r="F86" s="278">
        <f t="shared" ca="1" si="10"/>
        <v>0</v>
      </c>
      <c r="G86" s="18">
        <f>'Monthly Data'!DG86</f>
        <v>0</v>
      </c>
      <c r="H86" s="1">
        <f>'Monthly Data'!CC86</f>
        <v>85</v>
      </c>
      <c r="J86" s="18">
        <f>'Res Predicted Monthly'!$T$9</f>
        <v>24255450.877923299</v>
      </c>
      <c r="K86" s="18">
        <f ca="1">E86*'Res Predicted Monthly'!$T$10</f>
        <v>20534789.975186337</v>
      </c>
      <c r="L86" s="18">
        <f ca="1">F86*'Res Predicted Monthly'!$T$11</f>
        <v>0</v>
      </c>
      <c r="M86" s="18">
        <f>G86*'Res Predicted Monthly'!$T$12</f>
        <v>0</v>
      </c>
      <c r="N86" s="18">
        <f>H86*'Res Predicted Monthly'!$T$13</f>
        <v>5426696.6965945261</v>
      </c>
      <c r="O86" s="268">
        <f t="shared" ca="1" si="9"/>
        <v>50216937.549704164</v>
      </c>
    </row>
    <row r="87" spans="1:15" x14ac:dyDescent="0.25">
      <c r="A87" s="3">
        <f>'Monthly Data'!A87</f>
        <v>44593</v>
      </c>
      <c r="B87" s="1">
        <f t="shared" si="7"/>
        <v>2022</v>
      </c>
      <c r="C87" s="1">
        <f t="shared" si="8"/>
        <v>2</v>
      </c>
      <c r="D87" s="268">
        <f>'Monthly Data'!F87</f>
        <v>45927123.35305661</v>
      </c>
      <c r="E87" s="278">
        <f t="shared" ca="1" si="10"/>
        <v>511.05501811594206</v>
      </c>
      <c r="F87" s="278">
        <f t="shared" ca="1" si="10"/>
        <v>0</v>
      </c>
      <c r="G87" s="18">
        <f>'Monthly Data'!DG87</f>
        <v>0</v>
      </c>
      <c r="H87" s="1">
        <f>'Monthly Data'!CC87</f>
        <v>86</v>
      </c>
      <c r="J87" s="18">
        <f>'Res Predicted Monthly'!$T$9</f>
        <v>24255450.877923299</v>
      </c>
      <c r="K87" s="18">
        <f ca="1">E87*'Res Predicted Monthly'!$T$10</f>
        <v>18304171.879712854</v>
      </c>
      <c r="L87" s="18">
        <f ca="1">F87*'Res Predicted Monthly'!$T$11</f>
        <v>0</v>
      </c>
      <c r="M87" s="18">
        <f>G87*'Res Predicted Monthly'!$T$12</f>
        <v>0</v>
      </c>
      <c r="N87" s="18">
        <f>H87*'Res Predicted Monthly'!$T$13</f>
        <v>5490540.1871426972</v>
      </c>
      <c r="O87" s="268">
        <f t="shared" ca="1" si="9"/>
        <v>48050162.944778852</v>
      </c>
    </row>
    <row r="88" spans="1:15"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18">
        <f>'Monthly Data'!DG88</f>
        <v>0</v>
      </c>
      <c r="H88" s="1">
        <f>'Monthly Data'!CC88</f>
        <v>87</v>
      </c>
      <c r="J88" s="18">
        <f>'Res Predicted Monthly'!$T$9</f>
        <v>24255450.877923299</v>
      </c>
      <c r="K88" s="18">
        <f ca="1">E88*'Res Predicted Monthly'!$T$10</f>
        <v>15119301.279197056</v>
      </c>
      <c r="L88" s="18">
        <f ca="1">F88*'Res Predicted Monthly'!$T$11</f>
        <v>30393.885715931818</v>
      </c>
      <c r="M88" s="18">
        <f>G88*'Res Predicted Monthly'!$T$12</f>
        <v>0</v>
      </c>
      <c r="N88" s="18">
        <f>H88*'Res Predicted Monthly'!$T$13</f>
        <v>5554383.6776908683</v>
      </c>
      <c r="O88" s="268">
        <f t="shared" ca="1" si="9"/>
        <v>44959529.720527157</v>
      </c>
    </row>
    <row r="89" spans="1:15" x14ac:dyDescent="0.25">
      <c r="A89" s="3">
        <f>'Monthly Data'!A89</f>
        <v>44652</v>
      </c>
      <c r="B89" s="1">
        <f t="shared" si="7"/>
        <v>2022</v>
      </c>
      <c r="C89" s="1">
        <f t="shared" si="8"/>
        <v>4</v>
      </c>
      <c r="D89" s="268">
        <f>'Monthly Data'!F89</f>
        <v>41008175.440445341</v>
      </c>
      <c r="E89" s="278">
        <f t="shared" ca="1" si="10"/>
        <v>234.57024621212122</v>
      </c>
      <c r="F89" s="278">
        <f t="shared" ca="1" si="10"/>
        <v>12.79125</v>
      </c>
      <c r="G89" s="18">
        <f>'Monthly Data'!DG89</f>
        <v>1.1270833333333314</v>
      </c>
      <c r="H89" s="1">
        <f>'Monthly Data'!CC89</f>
        <v>88</v>
      </c>
      <c r="J89" s="18">
        <f>'Res Predicted Monthly'!$T$9</f>
        <v>24255450.877923299</v>
      </c>
      <c r="K89" s="18">
        <f ca="1">E89*'Res Predicted Monthly'!$T$10</f>
        <v>8401471.372616766</v>
      </c>
      <c r="L89" s="18">
        <f ca="1">F89*'Res Predicted Monthly'!$T$11</f>
        <v>749447.30730392947</v>
      </c>
      <c r="M89" s="18">
        <f>G89*'Res Predicted Monthly'!$T$12</f>
        <v>17085.302830991164</v>
      </c>
      <c r="N89" s="18">
        <f>H89*'Res Predicted Monthly'!$T$13</f>
        <v>5618227.1682390394</v>
      </c>
      <c r="O89" s="268">
        <f t="shared" ca="1" si="9"/>
        <v>39041682.028914019</v>
      </c>
    </row>
    <row r="90" spans="1:15"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18">
        <f>'Monthly Data'!DG90</f>
        <v>54.718749999999986</v>
      </c>
      <c r="H90" s="1">
        <f>'Monthly Data'!CC90</f>
        <v>89</v>
      </c>
      <c r="J90" s="18">
        <f>'Res Predicted Monthly'!$T$9</f>
        <v>24255450.877923299</v>
      </c>
      <c r="K90" s="18">
        <f ca="1">E90*'Res Predicted Monthly'!$T$10</f>
        <v>2302811.2342115333</v>
      </c>
      <c r="L90" s="18">
        <f ca="1">F90*'Res Predicted Monthly'!$T$11</f>
        <v>7629932.2079406912</v>
      </c>
      <c r="M90" s="18">
        <f>G90*'Res Predicted Monthly'!$T$12</f>
        <v>829474.0829130935</v>
      </c>
      <c r="N90" s="18">
        <f>H90*'Res Predicted Monthly'!$T$13</f>
        <v>5682070.6587872105</v>
      </c>
      <c r="O90" s="268">
        <f t="shared" ca="1" si="9"/>
        <v>40699739.061775833</v>
      </c>
    </row>
    <row r="91" spans="1:15"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18">
        <f>'Monthly Data'!DG91</f>
        <v>90.461252081252042</v>
      </c>
      <c r="H91" s="1">
        <f>'Monthly Data'!CC91</f>
        <v>90</v>
      </c>
      <c r="J91" s="18">
        <f>'Res Predicted Monthly'!$T$9</f>
        <v>24255450.877923299</v>
      </c>
      <c r="K91" s="18">
        <f ca="1">E91*'Res Predicted Monthly'!$T$10</f>
        <v>115836.33944647886</v>
      </c>
      <c r="L91" s="18">
        <f ca="1">F91*'Res Predicted Monthly'!$T$11</f>
        <v>14912383.877302805</v>
      </c>
      <c r="M91" s="18">
        <f>G91*'Res Predicted Monthly'!$T$12</f>
        <v>1371289.8066799173</v>
      </c>
      <c r="N91" s="18">
        <f>H91*'Res Predicted Monthly'!$T$13</f>
        <v>5745914.1493353806</v>
      </c>
      <c r="O91" s="268">
        <f t="shared" ca="1" si="9"/>
        <v>46400875.050687879</v>
      </c>
    </row>
    <row r="92" spans="1:15" x14ac:dyDescent="0.25">
      <c r="A92" s="3">
        <f>'Monthly Data'!A92</f>
        <v>44743</v>
      </c>
      <c r="B92" s="1">
        <f t="shared" si="7"/>
        <v>2022</v>
      </c>
      <c r="C92" s="1">
        <f t="shared" si="8"/>
        <v>7</v>
      </c>
      <c r="D92" s="268">
        <f>'Monthly Data'!F92</f>
        <v>50133432.015538678</v>
      </c>
      <c r="E92" s="278">
        <f t="shared" ca="1" si="10"/>
        <v>0</v>
      </c>
      <c r="F92" s="278">
        <f t="shared" ca="1" si="10"/>
        <v>359.94737858727854</v>
      </c>
      <c r="G92" s="18">
        <f>'Monthly Data'!DG92</f>
        <v>141.9271691456903</v>
      </c>
      <c r="H92" s="1">
        <f>'Monthly Data'!CC92</f>
        <v>91</v>
      </c>
      <c r="J92" s="18">
        <f>'Res Predicted Monthly'!$T$9</f>
        <v>24255450.877923299</v>
      </c>
      <c r="K92" s="18">
        <f ca="1">E92*'Res Predicted Monthly'!$T$10</f>
        <v>0</v>
      </c>
      <c r="L92" s="18">
        <f ca="1">F92*'Res Predicted Monthly'!$T$11</f>
        <v>21089541.182710368</v>
      </c>
      <c r="M92" s="18">
        <f>G92*'Res Predicted Monthly'!$T$12</f>
        <v>2151454.6378996777</v>
      </c>
      <c r="N92" s="18">
        <f>H92*'Res Predicted Monthly'!$T$13</f>
        <v>5809757.6398835517</v>
      </c>
      <c r="O92" s="268">
        <f t="shared" ca="1" si="9"/>
        <v>53306204.338416889</v>
      </c>
    </row>
    <row r="93" spans="1:15" x14ac:dyDescent="0.25">
      <c r="A93" s="3">
        <f>'Monthly Data'!A93</f>
        <v>44774</v>
      </c>
      <c r="B93" s="1">
        <f t="shared" si="7"/>
        <v>2022</v>
      </c>
      <c r="C93" s="1">
        <f t="shared" si="8"/>
        <v>8</v>
      </c>
      <c r="D93" s="268">
        <f>'Monthly Data'!F93</f>
        <v>54578895.420204103</v>
      </c>
      <c r="E93" s="278">
        <f t="shared" ca="1" si="10"/>
        <v>0</v>
      </c>
      <c r="F93" s="278">
        <f t="shared" ca="1" si="10"/>
        <v>334.96558794466404</v>
      </c>
      <c r="G93" s="18">
        <f>'Monthly Data'!DG93</f>
        <v>145.14166666666668</v>
      </c>
      <c r="H93" s="1">
        <f>'Monthly Data'!CC93</f>
        <v>92</v>
      </c>
      <c r="J93" s="18">
        <f>'Res Predicted Monthly'!$T$9</f>
        <v>24255450.877923299</v>
      </c>
      <c r="K93" s="18">
        <f ca="1">E93*'Res Predicted Monthly'!$T$10</f>
        <v>0</v>
      </c>
      <c r="L93" s="18">
        <f ca="1">F93*'Res Predicted Monthly'!$T$11</f>
        <v>19625842.503633816</v>
      </c>
      <c r="M93" s="18">
        <f>G93*'Res Predicted Monthly'!$T$12</f>
        <v>2200182.7682615425</v>
      </c>
      <c r="N93" s="18">
        <f>H93*'Res Predicted Monthly'!$T$13</f>
        <v>5873601.1304317228</v>
      </c>
      <c r="O93" s="268">
        <f t="shared" ca="1" si="9"/>
        <v>51955077.280250385</v>
      </c>
    </row>
    <row r="94" spans="1:15"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18">
        <f>'Monthly Data'!DG94</f>
        <v>69.895833333333314</v>
      </c>
      <c r="H94" s="1">
        <f>'Monthly Data'!CC94</f>
        <v>93</v>
      </c>
      <c r="J94" s="18">
        <f>'Res Predicted Monthly'!$T$9</f>
        <v>24255450.877923299</v>
      </c>
      <c r="K94" s="18">
        <f ca="1">E94*'Res Predicted Monthly'!$T$10</f>
        <v>372969.83614681382</v>
      </c>
      <c r="L94" s="18">
        <f ca="1">F94*'Res Predicted Monthly'!$T$11</f>
        <v>12689223.704947844</v>
      </c>
      <c r="M94" s="18">
        <f>G94*'Res Predicted Monthly'!$T$12</f>
        <v>1059541.4232527807</v>
      </c>
      <c r="N94" s="18">
        <f>H94*'Res Predicted Monthly'!$T$13</f>
        <v>5937444.620979894</v>
      </c>
      <c r="O94" s="268">
        <f t="shared" ca="1" si="9"/>
        <v>44314630.463250637</v>
      </c>
    </row>
    <row r="95" spans="1:15"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18">
        <f>'Monthly Data'!DG95</f>
        <v>5.8020833333333339</v>
      </c>
      <c r="H95" s="1">
        <f>'Monthly Data'!CC95</f>
        <v>94</v>
      </c>
      <c r="J95" s="18">
        <f>'Res Predicted Monthly'!$T$9</f>
        <v>24255450.877923299</v>
      </c>
      <c r="K95" s="18">
        <f ca="1">E95*'Res Predicted Monthly'!$T$10</f>
        <v>4663171.4911210211</v>
      </c>
      <c r="L95" s="18">
        <f ca="1">F95*'Res Predicted Monthly'!$T$11</f>
        <v>3648242.796296271</v>
      </c>
      <c r="M95" s="18">
        <f>G95*'Res Predicted Monthly'!$T$12</f>
        <v>87952.991468226392</v>
      </c>
      <c r="N95" s="18">
        <f>H95*'Res Predicted Monthly'!$T$13</f>
        <v>6001288.1115280641</v>
      </c>
      <c r="O95" s="268">
        <f t="shared" ca="1" si="9"/>
        <v>38656106.268336877</v>
      </c>
    </row>
    <row r="96" spans="1:15"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18">
        <f>'Monthly Data'!DG96</f>
        <v>3.2895833333333337</v>
      </c>
      <c r="H96" s="1">
        <f>'Monthly Data'!CC96</f>
        <v>95</v>
      </c>
      <c r="J96" s="18">
        <f>'Res Predicted Monthly'!$T$9</f>
        <v>24255450.877923299</v>
      </c>
      <c r="K96" s="18">
        <f ca="1">E96*'Res Predicted Monthly'!$T$10</f>
        <v>11011343.828161456</v>
      </c>
      <c r="L96" s="18">
        <f ca="1">F96*'Res Predicted Monthly'!$T$11</f>
        <v>330402.28857784881</v>
      </c>
      <c r="M96" s="18">
        <f>G96*'Res Predicted Monthly'!$T$12</f>
        <v>49866.345970674854</v>
      </c>
      <c r="N96" s="18">
        <f>H96*'Res Predicted Monthly'!$T$13</f>
        <v>6065131.6020762352</v>
      </c>
      <c r="O96" s="268">
        <f t="shared" ca="1" si="9"/>
        <v>41712194.942709513</v>
      </c>
    </row>
    <row r="97" spans="1:15"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18">
        <f>'Monthly Data'!DG97</f>
        <v>0</v>
      </c>
      <c r="H97" s="1">
        <f>'Monthly Data'!CC97</f>
        <v>96</v>
      </c>
      <c r="J97" s="18">
        <f>'Res Predicted Monthly'!$T$9</f>
        <v>24255450.877923299</v>
      </c>
      <c r="K97" s="18">
        <f ca="1">E97*'Res Predicted Monthly'!$T$10</f>
        <v>16258085.668123169</v>
      </c>
      <c r="L97" s="18">
        <f ca="1">F97*'Res Predicted Monthly'!$T$11</f>
        <v>7494.7172006354076</v>
      </c>
      <c r="M97" s="18">
        <f>G97*'Res Predicted Monthly'!$T$12</f>
        <v>0</v>
      </c>
      <c r="N97" s="18">
        <f>H97*'Res Predicted Monthly'!$T$13</f>
        <v>6128975.0926244063</v>
      </c>
      <c r="O97" s="268">
        <f t="shared" ca="1" si="9"/>
        <v>46650006.355871506</v>
      </c>
    </row>
    <row r="98" spans="1:15" x14ac:dyDescent="0.25">
      <c r="A98" s="3">
        <f>'Monthly Data'!A98</f>
        <v>44927</v>
      </c>
      <c r="B98" s="1">
        <f t="shared" si="7"/>
        <v>2023</v>
      </c>
      <c r="C98" s="1">
        <f t="shared" si="8"/>
        <v>1</v>
      </c>
      <c r="D98" s="268">
        <f>'Monthly Data'!F98</f>
        <v>49810652.246749312</v>
      </c>
      <c r="E98" s="278">
        <f t="shared" ca="1" si="11"/>
        <v>573.33418478260865</v>
      </c>
      <c r="F98" s="278">
        <f t="shared" ca="1" si="11"/>
        <v>0</v>
      </c>
      <c r="G98" s="18">
        <f>'Monthly Data'!DG98</f>
        <v>0</v>
      </c>
      <c r="H98" s="1">
        <f>'Monthly Data'!CC98</f>
        <v>97</v>
      </c>
      <c r="J98" s="18">
        <f>'Res Predicted Monthly'!$T$9</f>
        <v>24255450.877923299</v>
      </c>
      <c r="K98" s="18">
        <f ca="1">E98*'Res Predicted Monthly'!$T$10</f>
        <v>20534789.975186337</v>
      </c>
      <c r="L98" s="18">
        <f ca="1">F98*'Res Predicted Monthly'!$T$11</f>
        <v>0</v>
      </c>
      <c r="M98" s="18">
        <f>G98*'Res Predicted Monthly'!$T$12</f>
        <v>0</v>
      </c>
      <c r="N98" s="18">
        <f>H98*'Res Predicted Monthly'!$T$13</f>
        <v>6192818.5831725774</v>
      </c>
      <c r="O98" s="268">
        <f t="shared" ref="O98:O129" ca="1" si="12">SUM(J98:N98)</f>
        <v>50983059.43628221</v>
      </c>
    </row>
    <row r="99" spans="1:15" x14ac:dyDescent="0.25">
      <c r="A99" s="3">
        <f>'Monthly Data'!A99</f>
        <v>44958</v>
      </c>
      <c r="B99" s="1">
        <f t="shared" si="7"/>
        <v>2023</v>
      </c>
      <c r="C99" s="1">
        <f t="shared" si="8"/>
        <v>2</v>
      </c>
      <c r="D99" s="268">
        <f>'Monthly Data'!F99</f>
        <v>48142162.27973219</v>
      </c>
      <c r="E99" s="278">
        <f t="shared" ca="1" si="11"/>
        <v>511.05501811594206</v>
      </c>
      <c r="F99" s="278">
        <f t="shared" ca="1" si="11"/>
        <v>0</v>
      </c>
      <c r="G99" s="18">
        <f>'Monthly Data'!DG99</f>
        <v>0</v>
      </c>
      <c r="H99" s="1">
        <f>'Monthly Data'!CC99</f>
        <v>98</v>
      </c>
      <c r="J99" s="18">
        <f>'Res Predicted Monthly'!$T$9</f>
        <v>24255450.877923299</v>
      </c>
      <c r="K99" s="18">
        <f ca="1">E99*'Res Predicted Monthly'!$T$10</f>
        <v>18304171.879712854</v>
      </c>
      <c r="L99" s="18">
        <f ca="1">F99*'Res Predicted Monthly'!$T$11</f>
        <v>0</v>
      </c>
      <c r="M99" s="18">
        <f>G99*'Res Predicted Monthly'!$T$12</f>
        <v>0</v>
      </c>
      <c r="N99" s="18">
        <f>H99*'Res Predicted Monthly'!$T$13</f>
        <v>6256662.0737207485</v>
      </c>
      <c r="O99" s="268">
        <f t="shared" ca="1" si="12"/>
        <v>48816284.831356898</v>
      </c>
    </row>
    <row r="100" spans="1:15"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18">
        <f>'Monthly Data'!DG100</f>
        <v>0</v>
      </c>
      <c r="H100" s="1">
        <f>'Monthly Data'!CC100</f>
        <v>99</v>
      </c>
      <c r="J100" s="18">
        <f>'Res Predicted Monthly'!$T$9</f>
        <v>24255450.877923299</v>
      </c>
      <c r="K100" s="18">
        <f ca="1">E100*'Res Predicted Monthly'!$T$10</f>
        <v>15119301.279197056</v>
      </c>
      <c r="L100" s="18">
        <f ca="1">F100*'Res Predicted Monthly'!$T$11</f>
        <v>30393.885715931818</v>
      </c>
      <c r="M100" s="18">
        <f>G100*'Res Predicted Monthly'!$T$12</f>
        <v>0</v>
      </c>
      <c r="N100" s="18">
        <f>H100*'Res Predicted Monthly'!$T$13</f>
        <v>6320505.5642689187</v>
      </c>
      <c r="O100" s="268">
        <f t="shared" ca="1" si="12"/>
        <v>45725651.607105203</v>
      </c>
    </row>
    <row r="101" spans="1:15"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18">
        <f>'Monthly Data'!DG101</f>
        <v>5.6791666666666689</v>
      </c>
      <c r="H101" s="1">
        <f>'Monthly Data'!CC101</f>
        <v>100</v>
      </c>
      <c r="J101" s="18">
        <f>'Res Predicted Monthly'!$T$9</f>
        <v>24255450.877923299</v>
      </c>
      <c r="K101" s="18">
        <f ca="1">E101*'Res Predicted Monthly'!$T$10</f>
        <v>8401471.372616766</v>
      </c>
      <c r="L101" s="18">
        <f ca="1">F101*'Res Predicted Monthly'!$T$11</f>
        <v>749447.30730392947</v>
      </c>
      <c r="M101" s="18">
        <f>G101*'Res Predicted Monthly'!$T$12</f>
        <v>86089.714449689491</v>
      </c>
      <c r="N101" s="18">
        <f>H101*'Res Predicted Monthly'!$T$13</f>
        <v>6384349.0548170898</v>
      </c>
      <c r="O101" s="268">
        <f t="shared" ca="1" si="12"/>
        <v>39876808.327110767</v>
      </c>
    </row>
    <row r="102" spans="1:15"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18">
        <f>'Monthly Data'!DG102</f>
        <v>17.012499999999996</v>
      </c>
      <c r="H102" s="1">
        <f>'Monthly Data'!CC102</f>
        <v>101</v>
      </c>
      <c r="J102" s="18">
        <f>'Res Predicted Monthly'!$T$9</f>
        <v>24255450.877923299</v>
      </c>
      <c r="K102" s="18">
        <f ca="1">E102*'Res Predicted Monthly'!$T$10</f>
        <v>2302811.2342115333</v>
      </c>
      <c r="L102" s="18">
        <f ca="1">F102*'Res Predicted Monthly'!$T$11</f>
        <v>7629932.2079406912</v>
      </c>
      <c r="M102" s="18">
        <f>G102*'Res Predicted Monthly'!$T$12</f>
        <v>257890.17175207773</v>
      </c>
      <c r="N102" s="18">
        <f>H102*'Res Predicted Monthly'!$T$13</f>
        <v>6448192.5453652609</v>
      </c>
      <c r="O102" s="268">
        <f t="shared" ca="1" si="12"/>
        <v>40894277.037192866</v>
      </c>
    </row>
    <row r="103" spans="1:15"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18">
        <f>'Monthly Data'!DG103</f>
        <v>51.385416666666671</v>
      </c>
      <c r="H103" s="1">
        <f>'Monthly Data'!CC103</f>
        <v>102</v>
      </c>
      <c r="J103" s="18">
        <f>'Res Predicted Monthly'!$T$9</f>
        <v>24255450.877923299</v>
      </c>
      <c r="K103" s="18">
        <f ca="1">E103*'Res Predicted Monthly'!$T$10</f>
        <v>115836.33944647886</v>
      </c>
      <c r="L103" s="18">
        <f ca="1">F103*'Res Predicted Monthly'!$T$11</f>
        <v>14912383.877302805</v>
      </c>
      <c r="M103" s="18">
        <f>G103*'Res Predicted Monthly'!$T$12</f>
        <v>778944.53664768545</v>
      </c>
      <c r="N103" s="18">
        <f>H103*'Res Predicted Monthly'!$T$13</f>
        <v>6512036.035913432</v>
      </c>
      <c r="O103" s="268">
        <f t="shared" ca="1" si="12"/>
        <v>46574651.667233698</v>
      </c>
    </row>
    <row r="104" spans="1:15" x14ac:dyDescent="0.25">
      <c r="A104" s="3">
        <f>'Monthly Data'!A104</f>
        <v>45108</v>
      </c>
      <c r="B104" s="1">
        <f t="shared" si="7"/>
        <v>2023</v>
      </c>
      <c r="C104" s="1">
        <f t="shared" si="8"/>
        <v>7</v>
      </c>
      <c r="D104" s="268">
        <f>'Monthly Data'!F104</f>
        <v>53189542.788322985</v>
      </c>
      <c r="E104" s="278">
        <f t="shared" ca="1" si="11"/>
        <v>0</v>
      </c>
      <c r="F104" s="278">
        <f t="shared" ca="1" si="11"/>
        <v>359.94737858727854</v>
      </c>
      <c r="G104" s="18">
        <f>'Monthly Data'!DG104</f>
        <v>71.445833333333354</v>
      </c>
      <c r="H104" s="1">
        <f>'Monthly Data'!CC104</f>
        <v>103</v>
      </c>
      <c r="J104" s="18">
        <f>'Res Predicted Monthly'!$T$9</f>
        <v>24255450.877923299</v>
      </c>
      <c r="K104" s="18">
        <f ca="1">E104*'Res Predicted Monthly'!$T$10</f>
        <v>0</v>
      </c>
      <c r="L104" s="18">
        <f ca="1">F104*'Res Predicted Monthly'!$T$11</f>
        <v>21089541.182710368</v>
      </c>
      <c r="M104" s="18">
        <f>G104*'Res Predicted Monthly'!$T$12</f>
        <v>1083037.6622661962</v>
      </c>
      <c r="N104" s="18">
        <f>H104*'Res Predicted Monthly'!$T$13</f>
        <v>6575879.5264616022</v>
      </c>
      <c r="O104" s="268">
        <f t="shared" ca="1" si="12"/>
        <v>53003909.249361463</v>
      </c>
    </row>
    <row r="105" spans="1:15" x14ac:dyDescent="0.25">
      <c r="A105" s="3">
        <f>'Monthly Data'!A105</f>
        <v>45139</v>
      </c>
      <c r="B105" s="1">
        <f t="shared" si="7"/>
        <v>2023</v>
      </c>
      <c r="C105" s="1">
        <f t="shared" si="8"/>
        <v>8</v>
      </c>
      <c r="D105" s="268">
        <f>'Monthly Data'!F105</f>
        <v>52400162.702367157</v>
      </c>
      <c r="E105" s="278">
        <f t="shared" ca="1" si="11"/>
        <v>0</v>
      </c>
      <c r="F105" s="278">
        <f t="shared" ca="1" si="11"/>
        <v>334.96558794466404</v>
      </c>
      <c r="G105" s="18">
        <f>'Monthly Data'!DG105</f>
        <v>56.951222826086969</v>
      </c>
      <c r="H105" s="1">
        <f>'Monthly Data'!CC105</f>
        <v>104</v>
      </c>
      <c r="J105" s="18">
        <f>'Res Predicted Monthly'!$T$9</f>
        <v>24255450.877923299</v>
      </c>
      <c r="K105" s="18">
        <f ca="1">E105*'Res Predicted Monthly'!$T$10</f>
        <v>0</v>
      </c>
      <c r="L105" s="18">
        <f ca="1">F105*'Res Predicted Monthly'!$T$11</f>
        <v>19625842.503633816</v>
      </c>
      <c r="M105" s="18">
        <f>G105*'Res Predicted Monthly'!$T$12</f>
        <v>863315.83459870226</v>
      </c>
      <c r="N105" s="18">
        <f>H105*'Res Predicted Monthly'!$T$13</f>
        <v>6639723.0170097733</v>
      </c>
      <c r="O105" s="268">
        <f t="shared" ca="1" si="12"/>
        <v>51384332.233165592</v>
      </c>
    </row>
    <row r="106" spans="1:15"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18">
        <f>'Monthly Data'!DG106</f>
        <v>40.747916666666654</v>
      </c>
      <c r="H106" s="1">
        <f>'Monthly Data'!CC106</f>
        <v>105</v>
      </c>
      <c r="J106" s="18">
        <f>'Res Predicted Monthly'!$T$9</f>
        <v>24255450.877923299</v>
      </c>
      <c r="K106" s="18">
        <f ca="1">E106*'Res Predicted Monthly'!$T$10</f>
        <v>372969.83614681382</v>
      </c>
      <c r="L106" s="18">
        <f ca="1">F106*'Res Predicted Monthly'!$T$11</f>
        <v>12689223.704947844</v>
      </c>
      <c r="M106" s="18">
        <f>G106*'Res Predicted Monthly'!$T$12</f>
        <v>617692.12212820083</v>
      </c>
      <c r="N106" s="18">
        <f>H106*'Res Predicted Monthly'!$T$13</f>
        <v>6703566.5075579444</v>
      </c>
      <c r="O106" s="268">
        <f t="shared" ca="1" si="12"/>
        <v>44638903.048704103</v>
      </c>
    </row>
    <row r="107" spans="1:15"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18">
        <f>'Monthly Data'!DG107</f>
        <v>13.65625</v>
      </c>
      <c r="H107" s="1">
        <f>'Monthly Data'!CC107</f>
        <v>106</v>
      </c>
      <c r="J107" s="18">
        <f>'Res Predicted Monthly'!$T$9</f>
        <v>24255450.877923299</v>
      </c>
      <c r="K107" s="18">
        <f ca="1">E107*'Res Predicted Monthly'!$T$10</f>
        <v>4663171.4911210211</v>
      </c>
      <c r="L107" s="18">
        <f ca="1">F107*'Res Predicted Monthly'!$T$11</f>
        <v>3648242.796296271</v>
      </c>
      <c r="M107" s="18">
        <f>G107*'Res Predicted Monthly'!$T$12</f>
        <v>207013.23485609476</v>
      </c>
      <c r="N107" s="18">
        <f>H107*'Res Predicted Monthly'!$T$13</f>
        <v>6767409.9981061155</v>
      </c>
      <c r="O107" s="268">
        <f t="shared" ca="1" si="12"/>
        <v>39541288.398302801</v>
      </c>
    </row>
    <row r="108" spans="1:15"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18">
        <f>'Monthly Data'!DG108</f>
        <v>0</v>
      </c>
      <c r="H108" s="1">
        <f>'Monthly Data'!CC108</f>
        <v>107</v>
      </c>
      <c r="J108" s="18">
        <f>'Res Predicted Monthly'!$T$9</f>
        <v>24255450.877923299</v>
      </c>
      <c r="K108" s="18">
        <f ca="1">E108*'Res Predicted Monthly'!$T$10</f>
        <v>11011343.828161456</v>
      </c>
      <c r="L108" s="18">
        <f ca="1">F108*'Res Predicted Monthly'!$T$11</f>
        <v>330402.28857784881</v>
      </c>
      <c r="M108" s="18">
        <f>G108*'Res Predicted Monthly'!$T$12</f>
        <v>0</v>
      </c>
      <c r="N108" s="18">
        <f>H108*'Res Predicted Monthly'!$T$13</f>
        <v>6831253.4886542866</v>
      </c>
      <c r="O108" s="268">
        <f t="shared" ca="1" si="12"/>
        <v>42428450.483316891</v>
      </c>
    </row>
    <row r="109" spans="1:15"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18">
        <f>'Monthly Data'!DG109</f>
        <v>0</v>
      </c>
      <c r="H109" s="1">
        <f>'Monthly Data'!CC109</f>
        <v>108</v>
      </c>
      <c r="J109" s="18">
        <f>'Res Predicted Monthly'!$T$9</f>
        <v>24255450.877923299</v>
      </c>
      <c r="K109" s="18">
        <f ca="1">E109*'Res Predicted Monthly'!$T$10</f>
        <v>16258085.668123169</v>
      </c>
      <c r="L109" s="18">
        <f ca="1">F109*'Res Predicted Monthly'!$T$11</f>
        <v>7494.7172006354076</v>
      </c>
      <c r="M109" s="18">
        <f>G109*'Res Predicted Monthly'!$T$12</f>
        <v>0</v>
      </c>
      <c r="N109" s="18">
        <f>H109*'Res Predicted Monthly'!$T$13</f>
        <v>6895096.9792024568</v>
      </c>
      <c r="O109" s="268">
        <f t="shared" ca="1" si="12"/>
        <v>47416128.242449559</v>
      </c>
    </row>
    <row r="110" spans="1:15" x14ac:dyDescent="0.25">
      <c r="A110" s="3">
        <f>'Monthly Data'!A110</f>
        <v>45292</v>
      </c>
      <c r="B110" s="1">
        <f t="shared" ref="B110:B115" si="13">YEAR(A110)</f>
        <v>2024</v>
      </c>
      <c r="C110" s="1">
        <f t="shared" ref="C110:C115" si="14">MONTH(A110)</f>
        <v>1</v>
      </c>
      <c r="D110" s="268">
        <f>'Monthly Data'!F110</f>
        <v>49462744.048726559</v>
      </c>
      <c r="E110" s="278">
        <f t="shared" ca="1" si="11"/>
        <v>573.33418478260865</v>
      </c>
      <c r="F110" s="278">
        <f t="shared" ca="1" si="11"/>
        <v>0</v>
      </c>
      <c r="G110" s="18">
        <f>'Monthly Data'!DG110</f>
        <v>0</v>
      </c>
      <c r="H110" s="1">
        <f>'Monthly Data'!CC110</f>
        <v>109</v>
      </c>
      <c r="J110" s="18">
        <f>'Res Predicted Monthly'!$T$9</f>
        <v>24255450.877923299</v>
      </c>
      <c r="K110" s="18">
        <f ca="1">E110*'Res Predicted Monthly'!$T$10</f>
        <v>20534789.975186337</v>
      </c>
      <c r="L110" s="18">
        <f ca="1">F110*'Res Predicted Monthly'!$T$11</f>
        <v>0</v>
      </c>
      <c r="M110" s="18">
        <f>G110*'Res Predicted Monthly'!$T$12</f>
        <v>0</v>
      </c>
      <c r="N110" s="18">
        <f>H110*'Res Predicted Monthly'!$T$13</f>
        <v>6958940.4697506279</v>
      </c>
      <c r="O110" s="268">
        <f t="shared" ca="1" si="12"/>
        <v>51749181.322860263</v>
      </c>
    </row>
    <row r="111" spans="1:15" x14ac:dyDescent="0.25">
      <c r="A111" s="3">
        <f>'Monthly Data'!A111</f>
        <v>45323</v>
      </c>
      <c r="B111" s="1">
        <f t="shared" si="13"/>
        <v>2024</v>
      </c>
      <c r="C111" s="1">
        <f t="shared" si="14"/>
        <v>2</v>
      </c>
      <c r="D111" s="268">
        <f>'Monthly Data'!F111</f>
        <v>43224005.779384121</v>
      </c>
      <c r="E111" s="278">
        <f t="shared" ca="1" si="11"/>
        <v>511.05501811594206</v>
      </c>
      <c r="F111" s="278">
        <f t="shared" ca="1" si="11"/>
        <v>0</v>
      </c>
      <c r="G111" s="18">
        <f>'Monthly Data'!DG111</f>
        <v>0</v>
      </c>
      <c r="H111" s="1">
        <f>'Monthly Data'!CC111</f>
        <v>110</v>
      </c>
      <c r="J111" s="18">
        <f>'Res Predicted Monthly'!$T$9</f>
        <v>24255450.877923299</v>
      </c>
      <c r="K111" s="18">
        <f ca="1">E111*'Res Predicted Monthly'!$T$10</f>
        <v>18304171.879712854</v>
      </c>
      <c r="L111" s="18">
        <f ca="1">F111*'Res Predicted Monthly'!$T$11</f>
        <v>0</v>
      </c>
      <c r="M111" s="18">
        <f>G111*'Res Predicted Monthly'!$T$12</f>
        <v>0</v>
      </c>
      <c r="N111" s="18">
        <f>H111*'Res Predicted Monthly'!$T$13</f>
        <v>7022783.960298799</v>
      </c>
      <c r="O111" s="268">
        <f t="shared" ca="1" si="12"/>
        <v>49582406.717934951</v>
      </c>
    </row>
    <row r="112" spans="1:15" x14ac:dyDescent="0.25">
      <c r="A112" s="3">
        <f>'Monthly Data'!A112</f>
        <v>45352</v>
      </c>
      <c r="B112" s="1">
        <f t="shared" si="13"/>
        <v>2024</v>
      </c>
      <c r="C112" s="1">
        <f t="shared" si="14"/>
        <v>3</v>
      </c>
      <c r="D112" s="268">
        <f>'Monthly Data'!F112</f>
        <v>44976905.780688122</v>
      </c>
      <c r="E112" s="278">
        <f t="shared" ca="1" si="11"/>
        <v>422.13298913043479</v>
      </c>
      <c r="F112" s="278">
        <f t="shared" ca="1" si="11"/>
        <v>0.51874999999999927</v>
      </c>
      <c r="G112" s="18">
        <f>'Monthly Data'!DG112</f>
        <v>0</v>
      </c>
      <c r="H112" s="1">
        <f>'Monthly Data'!CC112</f>
        <v>111</v>
      </c>
      <c r="J112" s="18">
        <f>'Res Predicted Monthly'!$T$9</f>
        <v>24255450.877923299</v>
      </c>
      <c r="K112" s="18">
        <f ca="1">E112*'Res Predicted Monthly'!$T$10</f>
        <v>15119301.279197056</v>
      </c>
      <c r="L112" s="18">
        <f ca="1">F112*'Res Predicted Monthly'!$T$11</f>
        <v>30393.885715931818</v>
      </c>
      <c r="M112" s="18">
        <f>G112*'Res Predicted Monthly'!$T$12</f>
        <v>0</v>
      </c>
      <c r="N112" s="18">
        <f>H112*'Res Predicted Monthly'!$T$13</f>
        <v>7086627.4508469701</v>
      </c>
      <c r="O112" s="268">
        <f t="shared" ca="1" si="12"/>
        <v>46491773.493683256</v>
      </c>
    </row>
    <row r="113" spans="1:15" x14ac:dyDescent="0.25">
      <c r="A113" s="3">
        <f>'Monthly Data'!A113</f>
        <v>45383</v>
      </c>
      <c r="B113" s="1">
        <f t="shared" si="13"/>
        <v>2024</v>
      </c>
      <c r="C113" s="1">
        <f t="shared" si="14"/>
        <v>4</v>
      </c>
      <c r="D113" s="268">
        <f>'Monthly Data'!F113</f>
        <v>40981445.237707838</v>
      </c>
      <c r="E113" s="278">
        <f t="shared" ca="1" si="11"/>
        <v>234.57024621212122</v>
      </c>
      <c r="F113" s="278">
        <f t="shared" ca="1" si="11"/>
        <v>12.79125</v>
      </c>
      <c r="G113" s="18">
        <f>'Monthly Data'!DG113</f>
        <v>0.59583333333333366</v>
      </c>
      <c r="H113" s="1">
        <f>'Monthly Data'!CC113</f>
        <v>112</v>
      </c>
      <c r="J113" s="18">
        <f>'Res Predicted Monthly'!$T$9</f>
        <v>24255450.877923299</v>
      </c>
      <c r="K113" s="18">
        <f ca="1">E113*'Res Predicted Monthly'!$T$10</f>
        <v>8401471.372616766</v>
      </c>
      <c r="L113" s="18">
        <f ca="1">F113*'Res Predicted Monthly'!$T$11</f>
        <v>749447.30730392947</v>
      </c>
      <c r="M113" s="18">
        <f>G113*'Res Predicted Monthly'!$T$12</f>
        <v>9032.156394941745</v>
      </c>
      <c r="N113" s="18">
        <f>H113*'Res Predicted Monthly'!$T$13</f>
        <v>7150470.9413951412</v>
      </c>
      <c r="O113" s="268">
        <f t="shared" ca="1" si="12"/>
        <v>40565872.655634075</v>
      </c>
    </row>
    <row r="114" spans="1:15" x14ac:dyDescent="0.25">
      <c r="A114" s="3">
        <f>'Monthly Data'!A114</f>
        <v>45413</v>
      </c>
      <c r="B114" s="1">
        <f t="shared" si="13"/>
        <v>2024</v>
      </c>
      <c r="C114" s="1">
        <f t="shared" si="14"/>
        <v>5</v>
      </c>
      <c r="D114" s="268">
        <f>'Monthly Data'!F114</f>
        <v>40999479.224246085</v>
      </c>
      <c r="E114" s="278">
        <f t="shared" ref="E114:F133" ca="1" si="15">E102</f>
        <v>64.294809115179262</v>
      </c>
      <c r="F114" s="278">
        <f t="shared" ca="1" si="15"/>
        <v>130.22445928308915</v>
      </c>
      <c r="G114" s="18">
        <f>'Monthly Data'!DG114</f>
        <v>27.512500000000003</v>
      </c>
      <c r="H114" s="1">
        <f>'Monthly Data'!CC114</f>
        <v>113</v>
      </c>
      <c r="J114" s="18">
        <f>'Res Predicted Monthly'!$T$9</f>
        <v>24255450.877923299</v>
      </c>
      <c r="K114" s="18">
        <f ca="1">E114*'Res Predicted Monthly'!$T$10</f>
        <v>2302811.2342115333</v>
      </c>
      <c r="L114" s="18">
        <f ca="1">F114*'Res Predicted Monthly'!$T$11</f>
        <v>7629932.2079406912</v>
      </c>
      <c r="M114" s="18">
        <f>G114*'Res Predicted Monthly'!$T$12</f>
        <v>417058.24248811411</v>
      </c>
      <c r="N114" s="18">
        <f>H114*'Res Predicted Monthly'!$T$13</f>
        <v>7214314.4319433114</v>
      </c>
      <c r="O114" s="268">
        <f t="shared" ca="1" si="12"/>
        <v>41819566.994506955</v>
      </c>
    </row>
    <row r="115" spans="1:15" x14ac:dyDescent="0.25">
      <c r="A115" s="3">
        <f>'Monthly Data'!A115</f>
        <v>45444</v>
      </c>
      <c r="B115" s="1">
        <f t="shared" si="13"/>
        <v>2024</v>
      </c>
      <c r="C115" s="1">
        <f t="shared" si="14"/>
        <v>6</v>
      </c>
      <c r="D115" s="268">
        <f>'Monthly Data'!F115</f>
        <v>45946444.049043909</v>
      </c>
      <c r="E115" s="278">
        <f t="shared" ca="1" si="15"/>
        <v>3.2341666666666669</v>
      </c>
      <c r="F115" s="278">
        <f t="shared" ca="1" si="15"/>
        <v>254.51826754405016</v>
      </c>
      <c r="G115" s="18">
        <f>'Monthly Data'!DG115</f>
        <v>51.038541666666667</v>
      </c>
      <c r="H115" s="1">
        <f>'Monthly Data'!CC115</f>
        <v>114</v>
      </c>
      <c r="J115" s="18">
        <f>'Res Predicted Monthly'!$T$9</f>
        <v>24255450.877923299</v>
      </c>
      <c r="K115" s="18">
        <f ca="1">E115*'Res Predicted Monthly'!$T$10</f>
        <v>115836.33944647886</v>
      </c>
      <c r="L115" s="18">
        <f ca="1">F115*'Res Predicted Monthly'!$T$11</f>
        <v>14912383.877302805</v>
      </c>
      <c r="M115" s="18">
        <f>G115*'Res Predicted Monthly'!$T$12</f>
        <v>773686.3057394413</v>
      </c>
      <c r="N115" s="18">
        <f>H115*'Res Predicted Monthly'!$T$13</f>
        <v>7278157.9224914825</v>
      </c>
      <c r="O115" s="268">
        <f t="shared" ca="1" si="12"/>
        <v>47335515.322903506</v>
      </c>
    </row>
    <row r="116" spans="1:15" x14ac:dyDescent="0.25">
      <c r="A116" s="3">
        <f>EOMONTH(A115,0)+1</f>
        <v>45474</v>
      </c>
      <c r="B116" s="1">
        <f>YEAR(A116)</f>
        <v>2024</v>
      </c>
      <c r="C116" s="1">
        <f>MONTH(A116)</f>
        <v>7</v>
      </c>
      <c r="D116" s="268">
        <f>'Monthly Data'!F116</f>
        <v>55632987.866458856</v>
      </c>
      <c r="E116" s="278">
        <f t="shared" ca="1" si="15"/>
        <v>0</v>
      </c>
      <c r="F116" s="278">
        <f t="shared" ca="1" si="15"/>
        <v>359.94737858727854</v>
      </c>
      <c r="G116" s="18">
        <f>'Monthly Data'!DG116</f>
        <v>75.785416666666663</v>
      </c>
      <c r="H116" s="1">
        <f>'Monthly Data'!CC116</f>
        <v>115</v>
      </c>
      <c r="J116" s="18">
        <f>'Res Predicted Monthly'!$T$9</f>
        <v>24255450.877923299</v>
      </c>
      <c r="K116" s="18">
        <f ca="1">E116*'Res Predicted Monthly'!$T$10</f>
        <v>0</v>
      </c>
      <c r="L116" s="18">
        <f ca="1">F116*'Res Predicted Monthly'!$T$11</f>
        <v>21089541.182710368</v>
      </c>
      <c r="M116" s="18">
        <f>G116*'Res Predicted Monthly'!$T$12</f>
        <v>1148820.8153104743</v>
      </c>
      <c r="N116" s="18">
        <f>H116*'Res Predicted Monthly'!$T$13</f>
        <v>7342001.4130396536</v>
      </c>
      <c r="O116" s="268">
        <f t="shared" ca="1" si="12"/>
        <v>53835814.288983792</v>
      </c>
    </row>
    <row r="117" spans="1:15" x14ac:dyDescent="0.25">
      <c r="A117" s="3">
        <f t="shared" ref="A117:A145" si="16">EOMONTH(A116,0)+1</f>
        <v>45505</v>
      </c>
      <c r="B117" s="1">
        <f>YEAR(A117)</f>
        <v>2024</v>
      </c>
      <c r="C117" s="1">
        <f>MONTH(A117)</f>
        <v>8</v>
      </c>
      <c r="D117" s="268">
        <f>'Monthly Data'!F117</f>
        <v>55407027.68387381</v>
      </c>
      <c r="E117" s="278">
        <f t="shared" ca="1" si="15"/>
        <v>0</v>
      </c>
      <c r="F117" s="278">
        <f t="shared" ca="1" si="15"/>
        <v>334.96558794466404</v>
      </c>
      <c r="G117" s="18">
        <f>'Monthly Data'!DG117</f>
        <v>65.716666666666669</v>
      </c>
      <c r="H117" s="1">
        <f>'Monthly Data'!CC117</f>
        <v>116</v>
      </c>
      <c r="J117" s="18">
        <f>'Res Predicted Monthly'!$T$9</f>
        <v>24255450.877923299</v>
      </c>
      <c r="K117" s="18">
        <f ca="1">E117*'Res Predicted Monthly'!$T$10</f>
        <v>0</v>
      </c>
      <c r="L117" s="18">
        <f ca="1">F117*'Res Predicted Monthly'!$T$11</f>
        <v>19625842.503633816</v>
      </c>
      <c r="M117" s="18">
        <f>G117*'Res Predicted Monthly'!$T$12</f>
        <v>996190.0046225253</v>
      </c>
      <c r="N117" s="18">
        <f>H117*'Res Predicted Monthly'!$T$13</f>
        <v>7405844.9035878247</v>
      </c>
      <c r="O117" s="268">
        <f t="shared" ca="1" si="12"/>
        <v>52283328.289767466</v>
      </c>
    </row>
    <row r="118" spans="1:15" x14ac:dyDescent="0.25">
      <c r="A118" s="3">
        <f t="shared" si="16"/>
        <v>45536</v>
      </c>
      <c r="B118" s="1">
        <f>YEAR(A118)</f>
        <v>2024</v>
      </c>
      <c r="C118" s="1">
        <f>MONTH(A118)</f>
        <v>9</v>
      </c>
      <c r="D118" s="268">
        <f>'Monthly Data'!F118</f>
        <v>47324482.501288757</v>
      </c>
      <c r="E118" s="278">
        <f t="shared" ca="1" si="15"/>
        <v>10.413369565217392</v>
      </c>
      <c r="F118" s="278">
        <f t="shared" ca="1" si="15"/>
        <v>216.57430900621117</v>
      </c>
      <c r="G118" s="18">
        <f>'Monthly Data'!DG118</f>
        <v>42.824999999999996</v>
      </c>
      <c r="H118" s="1">
        <f>'Monthly Data'!CC118</f>
        <v>117</v>
      </c>
      <c r="J118" s="18">
        <f>'Res Predicted Monthly'!$T$9</f>
        <v>24255450.877923299</v>
      </c>
      <c r="K118" s="18">
        <f ca="1">E118*'Res Predicted Monthly'!$T$10</f>
        <v>372969.83614681382</v>
      </c>
      <c r="L118" s="18">
        <f ca="1">F118*'Res Predicted Monthly'!$T$11</f>
        <v>12689223.704947844</v>
      </c>
      <c r="M118" s="18">
        <f>G118*'Res Predicted Monthly'!$T$12</f>
        <v>649178.34564483352</v>
      </c>
      <c r="N118" s="18">
        <f>H118*'Res Predicted Monthly'!$T$13</f>
        <v>7469688.3941359948</v>
      </c>
      <c r="O118" s="268">
        <f t="shared" ca="1" si="12"/>
        <v>45436511.158798784</v>
      </c>
    </row>
    <row r="119" spans="1:15" x14ac:dyDescent="0.25">
      <c r="A119" s="3">
        <f t="shared" si="16"/>
        <v>45566</v>
      </c>
      <c r="B119" s="1">
        <f>YEAR(A119)</f>
        <v>2024</v>
      </c>
      <c r="C119" s="1">
        <f>MONTH(A119)</f>
        <v>10</v>
      </c>
      <c r="D119" s="268">
        <f>'Monthly Data'!F119</f>
        <v>39896304.318703704</v>
      </c>
      <c r="E119" s="278">
        <f t="shared" ca="1" si="15"/>
        <v>130.19639492753623</v>
      </c>
      <c r="F119" s="278">
        <f t="shared" ca="1" si="15"/>
        <v>62.266666666666673</v>
      </c>
      <c r="G119" s="18">
        <f>'Monthly Data'!DG119</f>
        <v>7.7760416666666696</v>
      </c>
      <c r="H119" s="1">
        <f>'Monthly Data'!CC119</f>
        <v>118</v>
      </c>
      <c r="J119" s="18">
        <f>'Res Predicted Monthly'!$T$9</f>
        <v>24255450.877923299</v>
      </c>
      <c r="K119" s="18">
        <f ca="1">E119*'Res Predicted Monthly'!$T$10</f>
        <v>4663171.4911210211</v>
      </c>
      <c r="L119" s="18">
        <f ca="1">F119*'Res Predicted Monthly'!$T$11</f>
        <v>3648242.796296271</v>
      </c>
      <c r="M119" s="18">
        <f>G119*'Res Predicted Monthly'!$T$12</f>
        <v>117875.95714727293</v>
      </c>
      <c r="N119" s="18">
        <f>H119*'Res Predicted Monthly'!$T$13</f>
        <v>7533531.8846841659</v>
      </c>
      <c r="O119" s="268">
        <f t="shared" ca="1" si="12"/>
        <v>40218273.007172033</v>
      </c>
    </row>
    <row r="120" spans="1:15" x14ac:dyDescent="0.25">
      <c r="A120" s="3">
        <f t="shared" si="16"/>
        <v>45597</v>
      </c>
      <c r="B120" s="1">
        <f t="shared" ref="B120:B145" si="17">YEAR(A120)</f>
        <v>2024</v>
      </c>
      <c r="C120" s="1">
        <f t="shared" ref="C120:C145" si="18">MONTH(A120)</f>
        <v>11</v>
      </c>
      <c r="D120" s="268">
        <f>'Monthly Data'!F120</f>
        <v>40946320.13611865</v>
      </c>
      <c r="E120" s="278">
        <f t="shared" ca="1" si="15"/>
        <v>307.43824722379077</v>
      </c>
      <c r="F120" s="278">
        <f t="shared" ca="1" si="15"/>
        <v>5.6391666666666662</v>
      </c>
      <c r="G120" s="18">
        <f>'Monthly Data'!DG120</f>
        <v>2.3760416666666657</v>
      </c>
      <c r="H120" s="1">
        <f>'Monthly Data'!CC120</f>
        <v>119</v>
      </c>
      <c r="J120" s="18">
        <f>'Res Predicted Monthly'!$T$9</f>
        <v>24255450.877923299</v>
      </c>
      <c r="K120" s="18">
        <f ca="1">E120*'Res Predicted Monthly'!$T$10</f>
        <v>11011343.828161456</v>
      </c>
      <c r="L120" s="18">
        <f ca="1">F120*'Res Predicted Monthly'!$T$11</f>
        <v>330402.28857784881</v>
      </c>
      <c r="M120" s="18">
        <f>G120*'Res Predicted Monthly'!$T$12</f>
        <v>36018.092197311365</v>
      </c>
      <c r="N120" s="18">
        <f>H120*'Res Predicted Monthly'!$T$13</f>
        <v>7597375.375232337</v>
      </c>
      <c r="O120" s="268">
        <f t="shared" ca="1" si="12"/>
        <v>43230590.462092258</v>
      </c>
    </row>
    <row r="121" spans="1:15" x14ac:dyDescent="0.25">
      <c r="A121" s="3">
        <f t="shared" si="16"/>
        <v>45627</v>
      </c>
      <c r="B121" s="1">
        <f t="shared" si="17"/>
        <v>2024</v>
      </c>
      <c r="C121" s="1">
        <f t="shared" si="18"/>
        <v>12</v>
      </c>
      <c r="D121" s="268">
        <f>'Monthly Data'!F121</f>
        <v>47984220.953533597</v>
      </c>
      <c r="E121" s="278">
        <f t="shared" ca="1" si="15"/>
        <v>453.92800724637681</v>
      </c>
      <c r="F121" s="278">
        <f t="shared" ca="1" si="15"/>
        <v>0.12791666666666668</v>
      </c>
      <c r="G121" s="18">
        <f>'Monthly Data'!DG121</f>
        <v>0</v>
      </c>
      <c r="H121" s="1">
        <f>'Monthly Data'!CC121</f>
        <v>120</v>
      </c>
      <c r="J121" s="18">
        <f>'Res Predicted Monthly'!$T$9</f>
        <v>24255450.877923299</v>
      </c>
      <c r="K121" s="18">
        <f ca="1">E121*'Res Predicted Monthly'!$T$10</f>
        <v>16258085.668123169</v>
      </c>
      <c r="L121" s="18">
        <f ca="1">F121*'Res Predicted Monthly'!$T$11</f>
        <v>7494.7172006354076</v>
      </c>
      <c r="M121" s="18">
        <f>G121*'Res Predicted Monthly'!$T$12</f>
        <v>0</v>
      </c>
      <c r="N121" s="18">
        <f>H121*'Res Predicted Monthly'!$T$13</f>
        <v>7661218.8657805081</v>
      </c>
      <c r="O121" s="268">
        <f t="shared" ca="1" si="12"/>
        <v>48182250.129027613</v>
      </c>
    </row>
    <row r="122" spans="1:15" x14ac:dyDescent="0.25">
      <c r="A122" s="3">
        <f t="shared" si="16"/>
        <v>45658</v>
      </c>
      <c r="B122" s="1">
        <f t="shared" si="17"/>
        <v>2025</v>
      </c>
      <c r="C122" s="1">
        <f t="shared" si="18"/>
        <v>1</v>
      </c>
      <c r="E122" s="289">
        <f t="shared" ca="1" si="15"/>
        <v>573.33418478260865</v>
      </c>
      <c r="F122" s="289">
        <f t="shared" ca="1" si="15"/>
        <v>0</v>
      </c>
      <c r="G122" s="314">
        <f ca="1">F122*0.25</f>
        <v>0</v>
      </c>
      <c r="H122" s="289">
        <f>H121+1</f>
        <v>121</v>
      </c>
      <c r="J122" s="18">
        <f>'Res Predicted Monthly'!$T$9</f>
        <v>24255450.877923299</v>
      </c>
      <c r="K122" s="18">
        <f ca="1">E122*'Res Predicted Monthly'!$T$10</f>
        <v>20534789.975186337</v>
      </c>
      <c r="L122" s="18">
        <f ca="1">F122*'Res Predicted Monthly'!$T$11</f>
        <v>0</v>
      </c>
      <c r="M122" s="18">
        <f ca="1">G122*'Res Predicted Monthly'!$T$12</f>
        <v>0</v>
      </c>
      <c r="N122" s="18">
        <f>H122*'Res Predicted Monthly'!$T$13</f>
        <v>7725062.3563286792</v>
      </c>
      <c r="O122" s="268">
        <f t="shared" ca="1" si="12"/>
        <v>52515303.209438317</v>
      </c>
    </row>
    <row r="123" spans="1:15" x14ac:dyDescent="0.25">
      <c r="A123" s="3">
        <f t="shared" si="16"/>
        <v>45689</v>
      </c>
      <c r="B123" s="1">
        <f t="shared" si="17"/>
        <v>2025</v>
      </c>
      <c r="C123" s="1">
        <f t="shared" si="18"/>
        <v>2</v>
      </c>
      <c r="E123" s="289">
        <f t="shared" ca="1" si="15"/>
        <v>511.05501811594206</v>
      </c>
      <c r="F123" s="289">
        <f t="shared" ca="1" si="15"/>
        <v>0</v>
      </c>
      <c r="G123" s="314">
        <f t="shared" ref="G123:G145" ca="1" si="19">F123*0.25</f>
        <v>0</v>
      </c>
      <c r="H123" s="289">
        <f t="shared" ref="H123:H145" si="20">H122+1</f>
        <v>122</v>
      </c>
      <c r="J123" s="18">
        <f>'Res Predicted Monthly'!$T$9</f>
        <v>24255450.877923299</v>
      </c>
      <c r="K123" s="18">
        <f ca="1">E123*'Res Predicted Monthly'!$T$10</f>
        <v>18304171.879712854</v>
      </c>
      <c r="L123" s="18">
        <f ca="1">F123*'Res Predicted Monthly'!$T$11</f>
        <v>0</v>
      </c>
      <c r="M123" s="18">
        <f ca="1">G123*'Res Predicted Monthly'!$T$12</f>
        <v>0</v>
      </c>
      <c r="N123" s="18">
        <f>H123*'Res Predicted Monthly'!$T$13</f>
        <v>7788905.8468768494</v>
      </c>
      <c r="O123" s="268">
        <f t="shared" ca="1" si="12"/>
        <v>50348528.604513004</v>
      </c>
    </row>
    <row r="124" spans="1:15" x14ac:dyDescent="0.25">
      <c r="A124" s="3">
        <f t="shared" si="16"/>
        <v>45717</v>
      </c>
      <c r="B124" s="1">
        <f t="shared" si="17"/>
        <v>2025</v>
      </c>
      <c r="C124" s="1">
        <f t="shared" si="18"/>
        <v>3</v>
      </c>
      <c r="E124" s="289">
        <f t="shared" ca="1" si="15"/>
        <v>422.13298913043479</v>
      </c>
      <c r="F124" s="289">
        <f t="shared" ca="1" si="15"/>
        <v>0.51874999999999927</v>
      </c>
      <c r="G124" s="314">
        <f t="shared" ca="1" si="19"/>
        <v>0.12968749999999982</v>
      </c>
      <c r="H124" s="289">
        <f t="shared" si="20"/>
        <v>123</v>
      </c>
      <c r="J124" s="18">
        <f>'Res Predicted Monthly'!$T$9</f>
        <v>24255450.877923299</v>
      </c>
      <c r="K124" s="18">
        <f ca="1">E124*'Res Predicted Monthly'!$T$10</f>
        <v>15119301.279197056</v>
      </c>
      <c r="L124" s="18">
        <f ca="1">F124*'Res Predicted Monthly'!$T$11</f>
        <v>30393.885715931818</v>
      </c>
      <c r="M124" s="18">
        <f ca="1">G124*'Res Predicted Monthly'!$T$12</f>
        <v>1965.9151593885404</v>
      </c>
      <c r="N124" s="18">
        <f>H124*'Res Predicted Monthly'!$T$13</f>
        <v>7852749.3374250205</v>
      </c>
      <c r="O124" s="268">
        <f t="shared" ca="1" si="12"/>
        <v>47259861.295420699</v>
      </c>
    </row>
    <row r="125" spans="1:15" x14ac:dyDescent="0.25">
      <c r="A125" s="3">
        <f t="shared" si="16"/>
        <v>45748</v>
      </c>
      <c r="B125" s="1">
        <f t="shared" si="17"/>
        <v>2025</v>
      </c>
      <c r="C125" s="1">
        <f t="shared" si="18"/>
        <v>4</v>
      </c>
      <c r="E125" s="289">
        <f t="shared" ca="1" si="15"/>
        <v>234.57024621212122</v>
      </c>
      <c r="F125" s="289">
        <f t="shared" ca="1" si="15"/>
        <v>12.79125</v>
      </c>
      <c r="G125" s="314">
        <f t="shared" ca="1" si="19"/>
        <v>3.1978124999999999</v>
      </c>
      <c r="H125" s="289">
        <f t="shared" si="20"/>
        <v>124</v>
      </c>
      <c r="J125" s="18">
        <f>'Res Predicted Monthly'!$T$9</f>
        <v>24255450.877923299</v>
      </c>
      <c r="K125" s="18">
        <f ca="1">E125*'Res Predicted Monthly'!$T$10</f>
        <v>8401471.372616766</v>
      </c>
      <c r="L125" s="18">
        <f ca="1">F125*'Res Predicted Monthly'!$T$11</f>
        <v>749447.30730392947</v>
      </c>
      <c r="M125" s="18">
        <f ca="1">G125*'Res Predicted Monthly'!$T$12</f>
        <v>48475.204400055329</v>
      </c>
      <c r="N125" s="18">
        <f>H125*'Res Predicted Monthly'!$T$13</f>
        <v>7916592.8279731916</v>
      </c>
      <c r="O125" s="268">
        <f t="shared" ca="1" si="12"/>
        <v>41371437.59021724</v>
      </c>
    </row>
    <row r="126" spans="1:15" x14ac:dyDescent="0.25">
      <c r="A126" s="3">
        <f t="shared" si="16"/>
        <v>45778</v>
      </c>
      <c r="B126" s="1">
        <f t="shared" si="17"/>
        <v>2025</v>
      </c>
      <c r="C126" s="1">
        <f t="shared" si="18"/>
        <v>5</v>
      </c>
      <c r="E126" s="289">
        <f t="shared" ca="1" si="15"/>
        <v>64.294809115179262</v>
      </c>
      <c r="F126" s="289">
        <f t="shared" ca="1" si="15"/>
        <v>130.22445928308915</v>
      </c>
      <c r="G126" s="314">
        <f t="shared" ca="1" si="19"/>
        <v>32.556114820772287</v>
      </c>
      <c r="H126" s="289">
        <f t="shared" si="20"/>
        <v>125</v>
      </c>
      <c r="J126" s="18">
        <f>'Res Predicted Monthly'!$T$9</f>
        <v>24255450.877923299</v>
      </c>
      <c r="K126" s="18">
        <f ca="1">E126*'Res Predicted Monthly'!$T$10</f>
        <v>2302811.2342115333</v>
      </c>
      <c r="L126" s="18">
        <f ca="1">F126*'Res Predicted Monthly'!$T$11</f>
        <v>7629932.2079406912</v>
      </c>
      <c r="M126" s="18">
        <f ca="1">G126*'Res Predicted Monthly'!$T$12</f>
        <v>493513.71301744779</v>
      </c>
      <c r="N126" s="18">
        <f>H126*'Res Predicted Monthly'!$T$13</f>
        <v>7980436.3185213627</v>
      </c>
      <c r="O126" s="268">
        <f t="shared" ca="1" si="12"/>
        <v>42662144.351614341</v>
      </c>
    </row>
    <row r="127" spans="1:15" x14ac:dyDescent="0.25">
      <c r="A127" s="3">
        <f t="shared" si="16"/>
        <v>45809</v>
      </c>
      <c r="B127" s="1">
        <f t="shared" si="17"/>
        <v>2025</v>
      </c>
      <c r="C127" s="1">
        <f t="shared" si="18"/>
        <v>6</v>
      </c>
      <c r="E127" s="289">
        <f t="shared" ca="1" si="15"/>
        <v>3.2341666666666669</v>
      </c>
      <c r="F127" s="289">
        <f t="shared" ca="1" si="15"/>
        <v>254.51826754405016</v>
      </c>
      <c r="G127" s="314">
        <f t="shared" ca="1" si="19"/>
        <v>63.62956688601254</v>
      </c>
      <c r="H127" s="289">
        <f t="shared" si="20"/>
        <v>126</v>
      </c>
      <c r="J127" s="18">
        <f>'Res Predicted Monthly'!$T$9</f>
        <v>24255450.877923299</v>
      </c>
      <c r="K127" s="18">
        <f ca="1">E127*'Res Predicted Monthly'!$T$10</f>
        <v>115836.33944647886</v>
      </c>
      <c r="L127" s="18">
        <f ca="1">F127*'Res Predicted Monthly'!$T$11</f>
        <v>14912383.877302805</v>
      </c>
      <c r="M127" s="18">
        <f ca="1">G127*'Res Predicted Monthly'!$T$12</f>
        <v>964551.94314439944</v>
      </c>
      <c r="N127" s="18">
        <f>H127*'Res Predicted Monthly'!$T$13</f>
        <v>8044279.8090695329</v>
      </c>
      <c r="O127" s="268">
        <f t="shared" ca="1" si="12"/>
        <v>48292502.846886516</v>
      </c>
    </row>
    <row r="128" spans="1:15" x14ac:dyDescent="0.25">
      <c r="A128" s="3">
        <f t="shared" si="16"/>
        <v>45839</v>
      </c>
      <c r="B128" s="1">
        <f t="shared" si="17"/>
        <v>2025</v>
      </c>
      <c r="C128" s="1">
        <f t="shared" si="18"/>
        <v>7</v>
      </c>
      <c r="E128" s="289">
        <f t="shared" ca="1" si="15"/>
        <v>0</v>
      </c>
      <c r="F128" s="289">
        <f t="shared" ca="1" si="15"/>
        <v>359.94737858727854</v>
      </c>
      <c r="G128" s="314">
        <f t="shared" ca="1" si="19"/>
        <v>89.986844646819634</v>
      </c>
      <c r="H128" s="289">
        <f t="shared" si="20"/>
        <v>127</v>
      </c>
      <c r="J128" s="18">
        <f>'Res Predicted Monthly'!$T$9</f>
        <v>24255450.877923299</v>
      </c>
      <c r="K128" s="18">
        <f ca="1">E128*'Res Predicted Monthly'!$T$10</f>
        <v>0</v>
      </c>
      <c r="L128" s="18">
        <f ca="1">F128*'Res Predicted Monthly'!$T$11</f>
        <v>21089541.182710368</v>
      </c>
      <c r="M128" s="18">
        <f ca="1">G128*'Res Predicted Monthly'!$T$12</f>
        <v>1364098.3289578755</v>
      </c>
      <c r="N128" s="18">
        <f>H128*'Res Predicted Monthly'!$T$13</f>
        <v>8108123.299617704</v>
      </c>
      <c r="O128" s="268">
        <f t="shared" ca="1" si="12"/>
        <v>54817213.689209253</v>
      </c>
    </row>
    <row r="129" spans="1:15" x14ac:dyDescent="0.25">
      <c r="A129" s="3">
        <f t="shared" si="16"/>
        <v>45870</v>
      </c>
      <c r="B129" s="1">
        <f t="shared" si="17"/>
        <v>2025</v>
      </c>
      <c r="C129" s="1">
        <f t="shared" si="18"/>
        <v>8</v>
      </c>
      <c r="E129" s="289">
        <f t="shared" ca="1" si="15"/>
        <v>0</v>
      </c>
      <c r="F129" s="289">
        <f t="shared" ca="1" si="15"/>
        <v>334.96558794466404</v>
      </c>
      <c r="G129" s="314">
        <f t="shared" ca="1" si="19"/>
        <v>83.741396986166009</v>
      </c>
      <c r="H129" s="289">
        <f t="shared" si="20"/>
        <v>128</v>
      </c>
      <c r="J129" s="18">
        <f>'Res Predicted Monthly'!$T$9</f>
        <v>24255450.877923299</v>
      </c>
      <c r="K129" s="18">
        <f ca="1">E129*'Res Predicted Monthly'!$T$10</f>
        <v>0</v>
      </c>
      <c r="L129" s="18">
        <f ca="1">F129*'Res Predicted Monthly'!$T$11</f>
        <v>19625842.503633816</v>
      </c>
      <c r="M129" s="18">
        <f ca="1">G129*'Res Predicted Monthly'!$T$12</f>
        <v>1269424.4380027205</v>
      </c>
      <c r="N129" s="18">
        <f>H129*'Res Predicted Monthly'!$T$13</f>
        <v>8171966.7901658751</v>
      </c>
      <c r="O129" s="268">
        <f t="shared" ca="1" si="12"/>
        <v>53322684.609725714</v>
      </c>
    </row>
    <row r="130" spans="1:15" x14ac:dyDescent="0.25">
      <c r="A130" s="3">
        <f t="shared" si="16"/>
        <v>45901</v>
      </c>
      <c r="B130" s="1">
        <f t="shared" si="17"/>
        <v>2025</v>
      </c>
      <c r="C130" s="1">
        <f t="shared" si="18"/>
        <v>9</v>
      </c>
      <c r="E130" s="289">
        <f t="shared" ca="1" si="15"/>
        <v>10.413369565217392</v>
      </c>
      <c r="F130" s="289">
        <f t="shared" ca="1" si="15"/>
        <v>216.57430900621117</v>
      </c>
      <c r="G130" s="314">
        <f t="shared" ca="1" si="19"/>
        <v>54.143577251552792</v>
      </c>
      <c r="H130" s="289">
        <f t="shared" si="20"/>
        <v>129</v>
      </c>
      <c r="J130" s="18">
        <f>'Res Predicted Monthly'!$T$9</f>
        <v>24255450.877923299</v>
      </c>
      <c r="K130" s="18">
        <f ca="1">E130*'Res Predicted Monthly'!$T$10</f>
        <v>372969.83614681382</v>
      </c>
      <c r="L130" s="18">
        <f ca="1">F130*'Res Predicted Monthly'!$T$11</f>
        <v>12689223.704947844</v>
      </c>
      <c r="M130" s="18">
        <f ca="1">G130*'Res Predicted Monthly'!$T$12</f>
        <v>820755.11751211411</v>
      </c>
      <c r="N130" s="18">
        <f>H130*'Res Predicted Monthly'!$T$13</f>
        <v>8235810.2807140462</v>
      </c>
      <c r="O130" s="268">
        <f t="shared" ref="O130:O145" ca="1" si="21">SUM(J130:N130)</f>
        <v>46374209.817244112</v>
      </c>
    </row>
    <row r="131" spans="1:15" x14ac:dyDescent="0.25">
      <c r="A131" s="3">
        <f t="shared" si="16"/>
        <v>45931</v>
      </c>
      <c r="B131" s="1">
        <f t="shared" si="17"/>
        <v>2025</v>
      </c>
      <c r="C131" s="1">
        <f t="shared" si="18"/>
        <v>10</v>
      </c>
      <c r="E131" s="289">
        <f t="shared" ca="1" si="15"/>
        <v>130.19639492753623</v>
      </c>
      <c r="F131" s="289">
        <f t="shared" ca="1" si="15"/>
        <v>62.266666666666673</v>
      </c>
      <c r="G131" s="314">
        <f t="shared" ca="1" si="19"/>
        <v>15.566666666666668</v>
      </c>
      <c r="H131" s="289">
        <f t="shared" si="20"/>
        <v>130</v>
      </c>
      <c r="J131" s="18">
        <f>'Res Predicted Monthly'!$T$9</f>
        <v>24255450.877923299</v>
      </c>
      <c r="K131" s="18">
        <f ca="1">E131*'Res Predicted Monthly'!$T$10</f>
        <v>4663171.4911210211</v>
      </c>
      <c r="L131" s="18">
        <f ca="1">F131*'Res Predicted Monthly'!$T$11</f>
        <v>3648242.796296271</v>
      </c>
      <c r="M131" s="18">
        <f ca="1">G131*'Res Predicted Monthly'!$T$12</f>
        <v>235972.98105945694</v>
      </c>
      <c r="N131" s="18">
        <f>H131*'Res Predicted Monthly'!$T$13</f>
        <v>8299653.7712622173</v>
      </c>
      <c r="O131" s="268">
        <f t="shared" ca="1" si="21"/>
        <v>41102491.917662263</v>
      </c>
    </row>
    <row r="132" spans="1:15" x14ac:dyDescent="0.25">
      <c r="A132" s="3">
        <f t="shared" si="16"/>
        <v>45962</v>
      </c>
      <c r="B132" s="1">
        <f t="shared" si="17"/>
        <v>2025</v>
      </c>
      <c r="C132" s="1">
        <f t="shared" si="18"/>
        <v>11</v>
      </c>
      <c r="E132" s="289">
        <f t="shared" ca="1" si="15"/>
        <v>307.43824722379077</v>
      </c>
      <c r="F132" s="289">
        <f t="shared" ca="1" si="15"/>
        <v>5.6391666666666662</v>
      </c>
      <c r="G132" s="314">
        <f t="shared" ca="1" si="19"/>
        <v>1.4097916666666666</v>
      </c>
      <c r="H132" s="289">
        <f t="shared" si="20"/>
        <v>131</v>
      </c>
      <c r="J132" s="18">
        <f>'Res Predicted Monthly'!$T$9</f>
        <v>24255450.877923299</v>
      </c>
      <c r="K132" s="18">
        <f ca="1">E132*'Res Predicted Monthly'!$T$10</f>
        <v>11011343.828161456</v>
      </c>
      <c r="L132" s="18">
        <f ca="1">F132*'Res Predicted Monthly'!$T$11</f>
        <v>330402.28857784881</v>
      </c>
      <c r="M132" s="18">
        <f ca="1">G132*'Res Predicted Monthly'!$T$12</f>
        <v>21370.839973626134</v>
      </c>
      <c r="N132" s="18">
        <f>H132*'Res Predicted Monthly'!$T$13</f>
        <v>8363497.2618103875</v>
      </c>
      <c r="O132" s="268">
        <f t="shared" ca="1" si="21"/>
        <v>43982065.096446618</v>
      </c>
    </row>
    <row r="133" spans="1:15" x14ac:dyDescent="0.25">
      <c r="A133" s="3">
        <f t="shared" si="16"/>
        <v>45992</v>
      </c>
      <c r="B133" s="1">
        <f t="shared" si="17"/>
        <v>2025</v>
      </c>
      <c r="C133" s="1">
        <f t="shared" si="18"/>
        <v>12</v>
      </c>
      <c r="E133" s="289">
        <f t="shared" ca="1" si="15"/>
        <v>453.92800724637681</v>
      </c>
      <c r="F133" s="289">
        <f t="shared" ca="1" si="15"/>
        <v>0.12791666666666668</v>
      </c>
      <c r="G133" s="314">
        <f t="shared" ca="1" si="19"/>
        <v>3.197916666666667E-2</v>
      </c>
      <c r="H133" s="289">
        <f t="shared" si="20"/>
        <v>132</v>
      </c>
      <c r="J133" s="18">
        <f>'Res Predicted Monthly'!$T$9</f>
        <v>24255450.877923299</v>
      </c>
      <c r="K133" s="18">
        <f ca="1">E133*'Res Predicted Monthly'!$T$10</f>
        <v>16258085.668123169</v>
      </c>
      <c r="L133" s="18">
        <f ca="1">F133*'Res Predicted Monthly'!$T$11</f>
        <v>7494.7172006354076</v>
      </c>
      <c r="M133" s="18">
        <f ca="1">G133*'Res Predicted Monthly'!$T$12</f>
        <v>484.76783448376125</v>
      </c>
      <c r="N133" s="18">
        <f>H133*'Res Predicted Monthly'!$T$13</f>
        <v>8427340.7523585595</v>
      </c>
      <c r="O133" s="268">
        <f t="shared" ca="1" si="21"/>
        <v>48948856.783440143</v>
      </c>
    </row>
    <row r="134" spans="1:15" x14ac:dyDescent="0.25">
      <c r="A134" s="3">
        <f t="shared" si="16"/>
        <v>46023</v>
      </c>
      <c r="B134" s="1">
        <f t="shared" si="17"/>
        <v>2026</v>
      </c>
      <c r="C134" s="1">
        <f t="shared" si="18"/>
        <v>1</v>
      </c>
      <c r="E134" s="289">
        <f t="shared" ref="E134:F145" ca="1" si="22">E122</f>
        <v>573.33418478260865</v>
      </c>
      <c r="F134" s="289">
        <f t="shared" ca="1" si="22"/>
        <v>0</v>
      </c>
      <c r="G134" s="314">
        <f t="shared" ca="1" si="19"/>
        <v>0</v>
      </c>
      <c r="H134" s="289">
        <f t="shared" si="20"/>
        <v>133</v>
      </c>
      <c r="J134" s="18">
        <f>'Res Predicted Monthly'!$T$9</f>
        <v>24255450.877923299</v>
      </c>
      <c r="K134" s="18">
        <f ca="1">E134*'Res Predicted Monthly'!$T$10</f>
        <v>20534789.975186337</v>
      </c>
      <c r="L134" s="18">
        <f ca="1">F134*'Res Predicted Monthly'!$T$11</f>
        <v>0</v>
      </c>
      <c r="M134" s="18">
        <f ca="1">G134*'Res Predicted Monthly'!$T$12</f>
        <v>0</v>
      </c>
      <c r="N134" s="18">
        <f>H134*'Res Predicted Monthly'!$T$13</f>
        <v>8491184.2429067288</v>
      </c>
      <c r="O134" s="268">
        <f t="shared" ca="1" si="21"/>
        <v>53281425.096016362</v>
      </c>
    </row>
    <row r="135" spans="1:15" x14ac:dyDescent="0.25">
      <c r="A135" s="3">
        <f t="shared" si="16"/>
        <v>46054</v>
      </c>
      <c r="B135" s="1">
        <f t="shared" si="17"/>
        <v>2026</v>
      </c>
      <c r="C135" s="1">
        <f t="shared" si="18"/>
        <v>2</v>
      </c>
      <c r="E135" s="289">
        <f t="shared" ca="1" si="22"/>
        <v>511.05501811594206</v>
      </c>
      <c r="F135" s="289">
        <f t="shared" ca="1" si="22"/>
        <v>0</v>
      </c>
      <c r="G135" s="314">
        <f t="shared" ca="1" si="19"/>
        <v>0</v>
      </c>
      <c r="H135" s="289">
        <f t="shared" si="20"/>
        <v>134</v>
      </c>
      <c r="J135" s="18">
        <f>'Res Predicted Monthly'!$T$9</f>
        <v>24255450.877923299</v>
      </c>
      <c r="K135" s="18">
        <f ca="1">E135*'Res Predicted Monthly'!$T$10</f>
        <v>18304171.879712854</v>
      </c>
      <c r="L135" s="18">
        <f ca="1">F135*'Res Predicted Monthly'!$T$11</f>
        <v>0</v>
      </c>
      <c r="M135" s="18">
        <f ca="1">G135*'Res Predicted Monthly'!$T$12</f>
        <v>0</v>
      </c>
      <c r="N135" s="18">
        <f>H135*'Res Predicted Monthly'!$T$13</f>
        <v>8555027.7334548999</v>
      </c>
      <c r="O135" s="268">
        <f t="shared" ca="1" si="21"/>
        <v>51114650.49109105</v>
      </c>
    </row>
    <row r="136" spans="1:15" x14ac:dyDescent="0.25">
      <c r="A136" s="3">
        <f t="shared" si="16"/>
        <v>46082</v>
      </c>
      <c r="B136" s="1">
        <f t="shared" si="17"/>
        <v>2026</v>
      </c>
      <c r="C136" s="1">
        <f t="shared" si="18"/>
        <v>3</v>
      </c>
      <c r="E136" s="289">
        <f t="shared" ca="1" si="22"/>
        <v>422.13298913043479</v>
      </c>
      <c r="F136" s="289">
        <f t="shared" ca="1" si="22"/>
        <v>0.51874999999999927</v>
      </c>
      <c r="G136" s="314">
        <f t="shared" ca="1" si="19"/>
        <v>0.12968749999999982</v>
      </c>
      <c r="H136" s="289">
        <f t="shared" si="20"/>
        <v>135</v>
      </c>
      <c r="J136" s="18">
        <f>'Res Predicted Monthly'!$T$9</f>
        <v>24255450.877923299</v>
      </c>
      <c r="K136" s="18">
        <f ca="1">E136*'Res Predicted Monthly'!$T$10</f>
        <v>15119301.279197056</v>
      </c>
      <c r="L136" s="18">
        <f ca="1">F136*'Res Predicted Monthly'!$T$11</f>
        <v>30393.885715931818</v>
      </c>
      <c r="M136" s="18">
        <f ca="1">G136*'Res Predicted Monthly'!$T$12</f>
        <v>1965.9151593885404</v>
      </c>
      <c r="N136" s="18">
        <f>H136*'Res Predicted Monthly'!$T$13</f>
        <v>8618871.224003071</v>
      </c>
      <c r="O136" s="268">
        <f t="shared" ca="1" si="21"/>
        <v>48025983.181998745</v>
      </c>
    </row>
    <row r="137" spans="1:15" x14ac:dyDescent="0.25">
      <c r="A137" s="3">
        <f t="shared" si="16"/>
        <v>46113</v>
      </c>
      <c r="B137" s="1">
        <f t="shared" si="17"/>
        <v>2026</v>
      </c>
      <c r="C137" s="1">
        <f t="shared" si="18"/>
        <v>4</v>
      </c>
      <c r="E137" s="289">
        <f t="shared" ca="1" si="22"/>
        <v>234.57024621212122</v>
      </c>
      <c r="F137" s="289">
        <f t="shared" ca="1" si="22"/>
        <v>12.79125</v>
      </c>
      <c r="G137" s="314">
        <f t="shared" ca="1" si="19"/>
        <v>3.1978124999999999</v>
      </c>
      <c r="H137" s="289">
        <f t="shared" si="20"/>
        <v>136</v>
      </c>
      <c r="J137" s="18">
        <f>'Res Predicted Monthly'!$T$9</f>
        <v>24255450.877923299</v>
      </c>
      <c r="K137" s="18">
        <f ca="1">E137*'Res Predicted Monthly'!$T$10</f>
        <v>8401471.372616766</v>
      </c>
      <c r="L137" s="18">
        <f ca="1">F137*'Res Predicted Monthly'!$T$11</f>
        <v>749447.30730392947</v>
      </c>
      <c r="M137" s="18">
        <f ca="1">G137*'Res Predicted Monthly'!$T$12</f>
        <v>48475.204400055329</v>
      </c>
      <c r="N137" s="18">
        <f>H137*'Res Predicted Monthly'!$T$13</f>
        <v>8682714.7145512421</v>
      </c>
      <c r="O137" s="268">
        <f t="shared" ca="1" si="21"/>
        <v>42137559.476795286</v>
      </c>
    </row>
    <row r="138" spans="1:15" x14ac:dyDescent="0.25">
      <c r="A138" s="3">
        <f t="shared" si="16"/>
        <v>46143</v>
      </c>
      <c r="B138" s="1">
        <f t="shared" si="17"/>
        <v>2026</v>
      </c>
      <c r="C138" s="1">
        <f t="shared" si="18"/>
        <v>5</v>
      </c>
      <c r="E138" s="289">
        <f t="shared" ca="1" si="22"/>
        <v>64.294809115179262</v>
      </c>
      <c r="F138" s="289">
        <f t="shared" ca="1" si="22"/>
        <v>130.22445928308915</v>
      </c>
      <c r="G138" s="314">
        <f t="shared" ca="1" si="19"/>
        <v>32.556114820772287</v>
      </c>
      <c r="H138" s="289">
        <f t="shared" si="20"/>
        <v>137</v>
      </c>
      <c r="J138" s="18">
        <f>'Res Predicted Monthly'!$T$9</f>
        <v>24255450.877923299</v>
      </c>
      <c r="K138" s="18">
        <f ca="1">E138*'Res Predicted Monthly'!$T$10</f>
        <v>2302811.2342115333</v>
      </c>
      <c r="L138" s="18">
        <f ca="1">F138*'Res Predicted Monthly'!$T$11</f>
        <v>7629932.2079406912</v>
      </c>
      <c r="M138" s="18">
        <f ca="1">G138*'Res Predicted Monthly'!$T$12</f>
        <v>493513.71301744779</v>
      </c>
      <c r="N138" s="18">
        <f>H138*'Res Predicted Monthly'!$T$13</f>
        <v>8746558.2050994132</v>
      </c>
      <c r="O138" s="268">
        <f t="shared" ca="1" si="21"/>
        <v>43428266.238192387</v>
      </c>
    </row>
    <row r="139" spans="1:15" x14ac:dyDescent="0.25">
      <c r="A139" s="3">
        <f t="shared" si="16"/>
        <v>46174</v>
      </c>
      <c r="B139" s="1">
        <f t="shared" si="17"/>
        <v>2026</v>
      </c>
      <c r="C139" s="1">
        <f t="shared" si="18"/>
        <v>6</v>
      </c>
      <c r="E139" s="289">
        <f t="shared" ca="1" si="22"/>
        <v>3.2341666666666669</v>
      </c>
      <c r="F139" s="289">
        <f t="shared" ca="1" si="22"/>
        <v>254.51826754405016</v>
      </c>
      <c r="G139" s="314">
        <f t="shared" ca="1" si="19"/>
        <v>63.62956688601254</v>
      </c>
      <c r="H139" s="289">
        <f t="shared" si="20"/>
        <v>138</v>
      </c>
      <c r="J139" s="18">
        <f>'Res Predicted Monthly'!$T$9</f>
        <v>24255450.877923299</v>
      </c>
      <c r="K139" s="18">
        <f ca="1">E139*'Res Predicted Monthly'!$T$10</f>
        <v>115836.33944647886</v>
      </c>
      <c r="L139" s="18">
        <f ca="1">F139*'Res Predicted Monthly'!$T$11</f>
        <v>14912383.877302805</v>
      </c>
      <c r="M139" s="18">
        <f ca="1">G139*'Res Predicted Monthly'!$T$12</f>
        <v>964551.94314439944</v>
      </c>
      <c r="N139" s="18">
        <f>H139*'Res Predicted Monthly'!$T$13</f>
        <v>8810401.6956475843</v>
      </c>
      <c r="O139" s="268">
        <f t="shared" ca="1" si="21"/>
        <v>49058624.733464561</v>
      </c>
    </row>
    <row r="140" spans="1:15" x14ac:dyDescent="0.25">
      <c r="A140" s="3">
        <f t="shared" si="16"/>
        <v>46204</v>
      </c>
      <c r="B140" s="1">
        <f t="shared" si="17"/>
        <v>2026</v>
      </c>
      <c r="C140" s="1">
        <f t="shared" si="18"/>
        <v>7</v>
      </c>
      <c r="E140" s="289">
        <f t="shared" ca="1" si="22"/>
        <v>0</v>
      </c>
      <c r="F140" s="289">
        <f t="shared" ca="1" si="22"/>
        <v>359.94737858727854</v>
      </c>
      <c r="G140" s="314">
        <f t="shared" ca="1" si="19"/>
        <v>89.986844646819634</v>
      </c>
      <c r="H140" s="289">
        <f t="shared" si="20"/>
        <v>139</v>
      </c>
      <c r="J140" s="18">
        <f>'Res Predicted Monthly'!$T$9</f>
        <v>24255450.877923299</v>
      </c>
      <c r="K140" s="18">
        <f ca="1">E140*'Res Predicted Monthly'!$T$10</f>
        <v>0</v>
      </c>
      <c r="L140" s="18">
        <f ca="1">F140*'Res Predicted Monthly'!$T$11</f>
        <v>21089541.182710368</v>
      </c>
      <c r="M140" s="18">
        <f ca="1">G140*'Res Predicted Monthly'!$T$12</f>
        <v>1364098.3289578755</v>
      </c>
      <c r="N140" s="18">
        <f>H140*'Res Predicted Monthly'!$T$13</f>
        <v>8874245.1861957554</v>
      </c>
      <c r="O140" s="268">
        <f t="shared" ca="1" si="21"/>
        <v>55583335.575787298</v>
      </c>
    </row>
    <row r="141" spans="1:15" x14ac:dyDescent="0.25">
      <c r="A141" s="3">
        <f t="shared" si="16"/>
        <v>46235</v>
      </c>
      <c r="B141" s="1">
        <f t="shared" si="17"/>
        <v>2026</v>
      </c>
      <c r="C141" s="1">
        <f t="shared" si="18"/>
        <v>8</v>
      </c>
      <c r="E141" s="289">
        <f t="shared" ca="1" si="22"/>
        <v>0</v>
      </c>
      <c r="F141" s="289">
        <f t="shared" ca="1" si="22"/>
        <v>334.96558794466404</v>
      </c>
      <c r="G141" s="314">
        <f t="shared" ca="1" si="19"/>
        <v>83.741396986166009</v>
      </c>
      <c r="H141" s="289">
        <f t="shared" si="20"/>
        <v>140</v>
      </c>
      <c r="J141" s="18">
        <f>'Res Predicted Monthly'!$T$9</f>
        <v>24255450.877923299</v>
      </c>
      <c r="K141" s="18">
        <f ca="1">E141*'Res Predicted Monthly'!$T$10</f>
        <v>0</v>
      </c>
      <c r="L141" s="18">
        <f ca="1">F141*'Res Predicted Monthly'!$T$11</f>
        <v>19625842.503633816</v>
      </c>
      <c r="M141" s="18">
        <f ca="1">G141*'Res Predicted Monthly'!$T$12</f>
        <v>1269424.4380027205</v>
      </c>
      <c r="N141" s="18">
        <f>H141*'Res Predicted Monthly'!$T$13</f>
        <v>8938088.6767439265</v>
      </c>
      <c r="O141" s="268">
        <f t="shared" ca="1" si="21"/>
        <v>54088806.49630376</v>
      </c>
    </row>
    <row r="142" spans="1:15" x14ac:dyDescent="0.25">
      <c r="A142" s="3">
        <f t="shared" si="16"/>
        <v>46266</v>
      </c>
      <c r="B142" s="1">
        <f t="shared" si="17"/>
        <v>2026</v>
      </c>
      <c r="C142" s="1">
        <f t="shared" si="18"/>
        <v>9</v>
      </c>
      <c r="E142" s="289">
        <f t="shared" ca="1" si="22"/>
        <v>10.413369565217392</v>
      </c>
      <c r="F142" s="289">
        <f t="shared" ca="1" si="22"/>
        <v>216.57430900621117</v>
      </c>
      <c r="G142" s="314">
        <f t="shared" ca="1" si="19"/>
        <v>54.143577251552792</v>
      </c>
      <c r="H142" s="289">
        <f t="shared" si="20"/>
        <v>141</v>
      </c>
      <c r="J142" s="18">
        <f>'Res Predicted Monthly'!$T$9</f>
        <v>24255450.877923299</v>
      </c>
      <c r="K142" s="18">
        <f ca="1">E142*'Res Predicted Monthly'!$T$10</f>
        <v>372969.83614681382</v>
      </c>
      <c r="L142" s="18">
        <f ca="1">F142*'Res Predicted Monthly'!$T$11</f>
        <v>12689223.704947844</v>
      </c>
      <c r="M142" s="18">
        <f ca="1">G142*'Res Predicted Monthly'!$T$12</f>
        <v>820755.11751211411</v>
      </c>
      <c r="N142" s="18">
        <f>H142*'Res Predicted Monthly'!$T$13</f>
        <v>9001932.1672920976</v>
      </c>
      <c r="O142" s="268">
        <f t="shared" ca="1" si="21"/>
        <v>47140331.703822166</v>
      </c>
    </row>
    <row r="143" spans="1:15" x14ac:dyDescent="0.25">
      <c r="A143" s="3">
        <f t="shared" si="16"/>
        <v>46296</v>
      </c>
      <c r="B143" s="1">
        <f t="shared" si="17"/>
        <v>2026</v>
      </c>
      <c r="C143" s="1">
        <f t="shared" si="18"/>
        <v>10</v>
      </c>
      <c r="E143" s="289">
        <f t="shared" ca="1" si="22"/>
        <v>130.19639492753623</v>
      </c>
      <c r="F143" s="289">
        <f t="shared" ca="1" si="22"/>
        <v>62.266666666666673</v>
      </c>
      <c r="G143" s="314">
        <f t="shared" ca="1" si="19"/>
        <v>15.566666666666668</v>
      </c>
      <c r="H143" s="289">
        <f t="shared" si="20"/>
        <v>142</v>
      </c>
      <c r="J143" s="18">
        <f>'Res Predicted Monthly'!$T$9</f>
        <v>24255450.877923299</v>
      </c>
      <c r="K143" s="18">
        <f ca="1">E143*'Res Predicted Monthly'!$T$10</f>
        <v>4663171.4911210211</v>
      </c>
      <c r="L143" s="18">
        <f ca="1">F143*'Res Predicted Monthly'!$T$11</f>
        <v>3648242.796296271</v>
      </c>
      <c r="M143" s="18">
        <f ca="1">G143*'Res Predicted Monthly'!$T$12</f>
        <v>235972.98105945694</v>
      </c>
      <c r="N143" s="18">
        <f>H143*'Res Predicted Monthly'!$T$13</f>
        <v>9065775.6578402668</v>
      </c>
      <c r="O143" s="268">
        <f t="shared" ca="1" si="21"/>
        <v>41868613.804240316</v>
      </c>
    </row>
    <row r="144" spans="1:15" x14ac:dyDescent="0.25">
      <c r="A144" s="3">
        <f t="shared" si="16"/>
        <v>46327</v>
      </c>
      <c r="B144" s="1">
        <f t="shared" si="17"/>
        <v>2026</v>
      </c>
      <c r="C144" s="1">
        <f t="shared" si="18"/>
        <v>11</v>
      </c>
      <c r="E144" s="289">
        <f t="shared" ca="1" si="22"/>
        <v>307.43824722379077</v>
      </c>
      <c r="F144" s="289">
        <f t="shared" ca="1" si="22"/>
        <v>5.6391666666666662</v>
      </c>
      <c r="G144" s="314">
        <f t="shared" ca="1" si="19"/>
        <v>1.4097916666666666</v>
      </c>
      <c r="H144" s="289">
        <f t="shared" si="20"/>
        <v>143</v>
      </c>
      <c r="J144" s="18">
        <f>'Res Predicted Monthly'!$T$9</f>
        <v>24255450.877923299</v>
      </c>
      <c r="K144" s="18">
        <f ca="1">E144*'Res Predicted Monthly'!$T$10</f>
        <v>11011343.828161456</v>
      </c>
      <c r="L144" s="18">
        <f ca="1">F144*'Res Predicted Monthly'!$T$11</f>
        <v>330402.28857784881</v>
      </c>
      <c r="M144" s="18">
        <f ca="1">G144*'Res Predicted Monthly'!$T$12</f>
        <v>21370.839973626134</v>
      </c>
      <c r="N144" s="18">
        <f>H144*'Res Predicted Monthly'!$T$13</f>
        <v>9129619.1483884379</v>
      </c>
      <c r="O144" s="268">
        <f t="shared" ca="1" si="21"/>
        <v>44748186.983024672</v>
      </c>
    </row>
    <row r="145" spans="1:15" x14ac:dyDescent="0.25">
      <c r="A145" s="3">
        <f t="shared" si="16"/>
        <v>46357</v>
      </c>
      <c r="B145" s="1">
        <f t="shared" si="17"/>
        <v>2026</v>
      </c>
      <c r="C145" s="1">
        <f t="shared" si="18"/>
        <v>12</v>
      </c>
      <c r="E145" s="289">
        <f t="shared" ca="1" si="22"/>
        <v>453.92800724637681</v>
      </c>
      <c r="F145" s="289">
        <f t="shared" ca="1" si="22"/>
        <v>0.12791666666666668</v>
      </c>
      <c r="G145" s="314">
        <f t="shared" ca="1" si="19"/>
        <v>3.197916666666667E-2</v>
      </c>
      <c r="H145" s="289">
        <f t="shared" si="20"/>
        <v>144</v>
      </c>
      <c r="J145" s="18">
        <f>'Res Predicted Monthly'!$T$9</f>
        <v>24255450.877923299</v>
      </c>
      <c r="K145" s="18">
        <f ca="1">E145*'Res Predicted Monthly'!$T$10</f>
        <v>16258085.668123169</v>
      </c>
      <c r="L145" s="18">
        <f ca="1">F145*'Res Predicted Monthly'!$T$11</f>
        <v>7494.7172006354076</v>
      </c>
      <c r="M145" s="18">
        <f ca="1">G145*'Res Predicted Monthly'!$T$12</f>
        <v>484.76783448376125</v>
      </c>
      <c r="N145" s="18">
        <f>H145*'Res Predicted Monthly'!$T$13</f>
        <v>9193462.638936609</v>
      </c>
      <c r="O145" s="268">
        <f t="shared" ca="1" si="21"/>
        <v>49714978.670018196</v>
      </c>
    </row>
    <row r="194" spans="1:15" x14ac:dyDescent="0.25">
      <c r="A194" s="3"/>
      <c r="E194" s="278"/>
      <c r="F194" s="278"/>
      <c r="G194" s="18"/>
      <c r="M194" s="283"/>
      <c r="O194" s="268"/>
    </row>
    <row r="196" spans="1:15" x14ac:dyDescent="0.25">
      <c r="G196" s="18"/>
      <c r="K196" s="18"/>
      <c r="L196" s="18"/>
      <c r="M196" s="18"/>
      <c r="N196" s="18"/>
      <c r="O196" s="18"/>
    </row>
    <row r="197" spans="1:15" x14ac:dyDescent="0.25">
      <c r="G197" s="18"/>
      <c r="K197" s="18"/>
      <c r="L197" s="18"/>
      <c r="M197" s="18"/>
      <c r="N197" s="18"/>
      <c r="O197" s="18"/>
    </row>
    <row r="198" spans="1:15" x14ac:dyDescent="0.25">
      <c r="G198" s="18"/>
      <c r="K198" s="18"/>
      <c r="L198" s="18"/>
      <c r="M198" s="18"/>
      <c r="N198" s="18"/>
      <c r="O198" s="18"/>
    </row>
    <row r="199" spans="1:15" x14ac:dyDescent="0.25">
      <c r="G199" s="18"/>
      <c r="K199" s="18"/>
      <c r="L199" s="18"/>
      <c r="M199" s="18"/>
      <c r="N199" s="18"/>
      <c r="O199" s="18"/>
    </row>
    <row r="200" spans="1:15" x14ac:dyDescent="0.25">
      <c r="G200" s="18"/>
      <c r="K200" s="18"/>
      <c r="L200" s="18"/>
      <c r="M200" s="18"/>
      <c r="N200" s="18"/>
      <c r="O200" s="18"/>
    </row>
    <row r="201" spans="1:15" x14ac:dyDescent="0.25">
      <c r="G201" s="18"/>
      <c r="K201" s="18"/>
      <c r="L201" s="18"/>
      <c r="M201" s="18"/>
      <c r="N201" s="18"/>
      <c r="O201" s="18"/>
    </row>
    <row r="202" spans="1:15" x14ac:dyDescent="0.25">
      <c r="G202" s="18"/>
      <c r="K202" s="18"/>
      <c r="L202" s="18"/>
      <c r="M202" s="18"/>
      <c r="N202" s="18"/>
      <c r="O202" s="18"/>
    </row>
    <row r="203" spans="1:15" x14ac:dyDescent="0.25">
      <c r="G203" s="18"/>
      <c r="K203" s="18"/>
      <c r="L203" s="18"/>
      <c r="M203" s="18"/>
      <c r="N203" s="18"/>
      <c r="O203" s="18"/>
    </row>
    <row r="205" spans="1:15" x14ac:dyDescent="0.25">
      <c r="J205" s="24"/>
      <c r="K205" s="24"/>
      <c r="L205" s="24"/>
      <c r="M205" s="24"/>
      <c r="N205" s="24"/>
      <c r="O205" s="2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dimension ref="A1:U204"/>
  <sheetViews>
    <sheetView topLeftCell="K1" workbookViewId="0">
      <pane ySplit="1" topLeftCell="A2" activePane="bottomLeft" state="frozen"/>
      <selection activeCell="G45" sqref="G45"/>
      <selection pane="bottomLeft"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6" width="9.44140625" style="1" bestFit="1" customWidth="1"/>
    <col min="7" max="7" width="10.109375" style="18" bestFit="1" customWidth="1"/>
    <col min="8" max="8" width="10.6640625" style="1" customWidth="1"/>
    <col min="9" max="9" width="9.44140625" style="1" bestFit="1" customWidth="1"/>
    <col min="10" max="10" width="9.33203125" style="1"/>
    <col min="11" max="11" width="14.77734375" style="1" bestFit="1" customWidth="1"/>
    <col min="12" max="13" width="12.88671875" style="1" bestFit="1" customWidth="1"/>
    <col min="14" max="14" width="13.77734375" style="1" bestFit="1" customWidth="1"/>
    <col min="15" max="15" width="12.88671875" style="1" bestFit="1" customWidth="1"/>
    <col min="16" max="16" width="12.44140625" style="1" customWidth="1"/>
    <col min="17" max="17" width="14.21875" style="1" bestFit="1" customWidth="1"/>
    <col min="18" max="18" width="9.33203125" style="1"/>
    <col min="19" max="19" width="13.77734375" style="1" bestFit="1" customWidth="1"/>
    <col min="20" max="20" width="14.77734375" style="1" bestFit="1" customWidth="1"/>
    <col min="21" max="16384" width="9.33203125" style="1"/>
  </cols>
  <sheetData>
    <row r="1" spans="1:17"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K1" s="276" t="s">
        <v>152</v>
      </c>
      <c r="L1" s="276" t="str">
        <f>E1</f>
        <v>HDD16</v>
      </c>
      <c r="M1" s="276" t="str">
        <f>F1</f>
        <v>CDD14</v>
      </c>
      <c r="N1" s="276" t="str">
        <f>G1</f>
        <v>COVID_AM</v>
      </c>
      <c r="O1" s="276" t="str">
        <f>H1</f>
        <v>Month Days</v>
      </c>
      <c r="P1" s="276" t="str">
        <f>I1</f>
        <v>GS_lt_50_Customers</v>
      </c>
      <c r="Q1" s="274" t="s">
        <v>414</v>
      </c>
    </row>
    <row r="2" spans="1:17" x14ac:dyDescent="0.25">
      <c r="A2" s="3">
        <f>'Monthly Data'!A2</f>
        <v>42005</v>
      </c>
      <c r="B2" s="1">
        <f>YEAR(A2)</f>
        <v>2015</v>
      </c>
      <c r="C2" s="1">
        <f>MONTH(A2)</f>
        <v>1</v>
      </c>
      <c r="D2" s="268">
        <f>'Monthly Data'!J2</f>
        <v>13822388.796796555</v>
      </c>
      <c r="E2" s="278">
        <f ca="1">Weather!BD34</f>
        <v>635.33418478260876</v>
      </c>
      <c r="F2" s="278">
        <f ca="1">Weather!BS34</f>
        <v>0</v>
      </c>
      <c r="G2" s="18">
        <f>'Monthly Data'!CG2</f>
        <v>0</v>
      </c>
      <c r="H2" s="4">
        <f>'Monthly Data'!CD2</f>
        <v>31</v>
      </c>
      <c r="I2" s="24">
        <f>'Monthly Data'!K2</f>
        <v>3993</v>
      </c>
      <c r="K2" s="18">
        <f>'GS&lt;50 Predicted Monthly'!$V$8</f>
        <v>-5629453.6994364997</v>
      </c>
      <c r="L2" s="18">
        <f ca="1">E2*'GS&lt;50 Predicted Monthly'!$V$9</f>
        <v>3431355.1903283708</v>
      </c>
      <c r="M2" s="18">
        <f ca="1">F2*'GS&lt;50 Predicted Monthly'!$V$10</f>
        <v>0</v>
      </c>
      <c r="N2" s="18">
        <f>G2*'GS&lt;50 Predicted Monthly'!$V$11</f>
        <v>0</v>
      </c>
      <c r="O2" s="18">
        <f>H2*'GS&lt;50 Predicted Monthly'!$V$12</f>
        <v>8349205.4233871475</v>
      </c>
      <c r="P2" s="18">
        <f>I2*'GS&lt;50 Predicted Monthly'!$V$13</f>
        <v>6095002.8451763783</v>
      </c>
      <c r="Q2" s="280">
        <f t="shared" ref="Q2:Q33" ca="1" si="0">SUM(K2:P2)</f>
        <v>12246109.759455398</v>
      </c>
    </row>
    <row r="3" spans="1:17" x14ac:dyDescent="0.25">
      <c r="A3" s="3">
        <f>'Monthly Data'!A3</f>
        <v>42036</v>
      </c>
      <c r="B3" s="1">
        <f>YEAR(A3)</f>
        <v>2015</v>
      </c>
      <c r="C3" s="1">
        <f>MONTH(A3)</f>
        <v>2</v>
      </c>
      <c r="D3" s="268">
        <f>'Monthly Data'!J3</f>
        <v>12768909.645815352</v>
      </c>
      <c r="E3" s="278">
        <f ca="1">Weather!BD35</f>
        <v>567.65501811594208</v>
      </c>
      <c r="F3" s="278">
        <f ca="1">Weather!BS35</f>
        <v>0</v>
      </c>
      <c r="G3" s="18">
        <f>'Monthly Data'!CG3</f>
        <v>0</v>
      </c>
      <c r="H3" s="4">
        <f>'Monthly Data'!CD3</f>
        <v>28</v>
      </c>
      <c r="I3" s="24">
        <f>'Monthly Data'!K3</f>
        <v>3993</v>
      </c>
      <c r="K3" s="18">
        <f>'GS&lt;50 Predicted Monthly'!$V$8</f>
        <v>-5629453.6994364997</v>
      </c>
      <c r="L3" s="18">
        <f ca="1">E3*'GS&lt;50 Predicted Monthly'!$V$9</f>
        <v>3065829.0382951256</v>
      </c>
      <c r="M3" s="18">
        <f ca="1">F3*'GS&lt;50 Predicted Monthly'!$V$10</f>
        <v>0</v>
      </c>
      <c r="N3" s="18">
        <f>G3*'GS&lt;50 Predicted Monthly'!$V$11</f>
        <v>0</v>
      </c>
      <c r="O3" s="18">
        <f>H3*'GS&lt;50 Predicted Monthly'!$V$12</f>
        <v>7541217.8017690368</v>
      </c>
      <c r="P3" s="18">
        <f>I3*'GS&lt;50 Predicted Monthly'!$V$13</f>
        <v>6095002.8451763783</v>
      </c>
      <c r="Q3" s="280">
        <f t="shared" ca="1" si="0"/>
        <v>11072595.98580404</v>
      </c>
    </row>
    <row r="4" spans="1:17" x14ac:dyDescent="0.25">
      <c r="A4" s="3">
        <f>'Monthly Data'!A4</f>
        <v>42064</v>
      </c>
      <c r="B4" s="1">
        <f>YEAR(A4)</f>
        <v>2015</v>
      </c>
      <c r="C4" s="1">
        <f>MONTH(A4)</f>
        <v>3</v>
      </c>
      <c r="D4" s="268">
        <f>'Monthly Data'!J4</f>
        <v>12329126.124219459</v>
      </c>
      <c r="E4" s="278">
        <f ca="1">Weather!BD36</f>
        <v>484.13298913043479</v>
      </c>
      <c r="F4" s="278">
        <f ca="1">Weather!BS36</f>
        <v>0</v>
      </c>
      <c r="G4" s="18">
        <f>'Monthly Data'!CG4</f>
        <v>0</v>
      </c>
      <c r="H4" s="4">
        <f>'Monthly Data'!CD4</f>
        <v>31</v>
      </c>
      <c r="I4" s="24">
        <f>'Monthly Data'!K4</f>
        <v>3986</v>
      </c>
      <c r="K4" s="18">
        <f>'GS&lt;50 Predicted Monthly'!$V$8</f>
        <v>-5629453.6994364997</v>
      </c>
      <c r="L4" s="18">
        <f ca="1">E4*'GS&lt;50 Predicted Monthly'!$V$9</f>
        <v>2614737.7000189708</v>
      </c>
      <c r="M4" s="18">
        <f ca="1">F4*'GS&lt;50 Predicted Monthly'!$V$10</f>
        <v>0</v>
      </c>
      <c r="N4" s="18">
        <f>G4*'GS&lt;50 Predicted Monthly'!$V$11</f>
        <v>0</v>
      </c>
      <c r="O4" s="18">
        <f>H4*'GS&lt;50 Predicted Monthly'!$V$12</f>
        <v>8349205.4233871475</v>
      </c>
      <c r="P4" s="18">
        <f>I4*'GS&lt;50 Predicted Monthly'!$V$13</f>
        <v>6084317.8915284351</v>
      </c>
      <c r="Q4" s="280">
        <f t="shared" ca="1" si="0"/>
        <v>11418807.315498054</v>
      </c>
    </row>
    <row r="5" spans="1:17" x14ac:dyDescent="0.25">
      <c r="A5" s="3">
        <f>'Monthly Data'!A5</f>
        <v>42095</v>
      </c>
      <c r="B5" s="1">
        <f>YEAR(A5)</f>
        <v>2015</v>
      </c>
      <c r="C5" s="1">
        <f>MONTH(A5)</f>
        <v>4</v>
      </c>
      <c r="D5" s="268">
        <f>'Monthly Data'!J5</f>
        <v>10623916.171153571</v>
      </c>
      <c r="E5" s="278">
        <f ca="1">Weather!BD37</f>
        <v>292.81107954545462</v>
      </c>
      <c r="F5" s="278">
        <f ca="1">Weather!BS37</f>
        <v>2.1908333333333347</v>
      </c>
      <c r="G5" s="18">
        <f>'Monthly Data'!CG5</f>
        <v>0</v>
      </c>
      <c r="H5" s="4">
        <f>'Monthly Data'!CD5</f>
        <v>30</v>
      </c>
      <c r="I5" s="24">
        <f>'Monthly Data'!K5</f>
        <v>3993</v>
      </c>
      <c r="K5" s="18">
        <f>'GS&lt;50 Predicted Monthly'!$V$8</f>
        <v>-5629453.6994364997</v>
      </c>
      <c r="L5" s="18">
        <f ca="1">E5*'GS&lt;50 Predicted Monthly'!$V$9</f>
        <v>1581433.5851103917</v>
      </c>
      <c r="M5" s="18">
        <f ca="1">F5*'GS&lt;50 Predicted Monthly'!$V$10</f>
        <v>27644.860978399032</v>
      </c>
      <c r="N5" s="18">
        <f>G5*'GS&lt;50 Predicted Monthly'!$V$11</f>
        <v>0</v>
      </c>
      <c r="O5" s="18">
        <f>H5*'GS&lt;50 Predicted Monthly'!$V$12</f>
        <v>8079876.2161811106</v>
      </c>
      <c r="P5" s="18">
        <f>I5*'GS&lt;50 Predicted Monthly'!$V$13</f>
        <v>6095002.8451763783</v>
      </c>
      <c r="Q5" s="280">
        <f t="shared" ca="1" si="0"/>
        <v>10154503.808009779</v>
      </c>
    </row>
    <row r="6" spans="1:17" x14ac:dyDescent="0.25">
      <c r="A6" s="3">
        <f>'Monthly Data'!A6</f>
        <v>42125</v>
      </c>
      <c r="B6" s="1">
        <f t="shared" ref="B6:B69" si="1">YEAR(A6)</f>
        <v>2015</v>
      </c>
      <c r="C6" s="1">
        <f t="shared" ref="C6:C69" si="2">MONTH(A6)</f>
        <v>5</v>
      </c>
      <c r="D6" s="268">
        <f>'Monthly Data'!J6</f>
        <v>10188832.832931003</v>
      </c>
      <c r="E6" s="278">
        <f ca="1">Weather!BD38</f>
        <v>103.25939244851259</v>
      </c>
      <c r="F6" s="278">
        <f ca="1">Weather!BS38</f>
        <v>52.487435064935063</v>
      </c>
      <c r="G6" s="18">
        <f>'Monthly Data'!CG6</f>
        <v>0</v>
      </c>
      <c r="H6" s="4">
        <f>'Monthly Data'!CD6</f>
        <v>31</v>
      </c>
      <c r="I6" s="24">
        <f>'Monthly Data'!K6</f>
        <v>3998</v>
      </c>
      <c r="K6" s="18">
        <f>'GS&lt;50 Predicted Monthly'!$V$8</f>
        <v>-5629453.6994364997</v>
      </c>
      <c r="L6" s="18">
        <f ca="1">E6*'GS&lt;50 Predicted Monthly'!$V$9</f>
        <v>557690.20574517769</v>
      </c>
      <c r="M6" s="18">
        <f ca="1">F6*'GS&lt;50 Predicted Monthly'!$V$10</f>
        <v>662308.64000739844</v>
      </c>
      <c r="N6" s="18">
        <f>G6*'GS&lt;50 Predicted Monthly'!$V$11</f>
        <v>0</v>
      </c>
      <c r="O6" s="18">
        <f>H6*'GS&lt;50 Predicted Monthly'!$V$12</f>
        <v>8349205.4233871475</v>
      </c>
      <c r="P6" s="18">
        <f>I6*'GS&lt;50 Predicted Monthly'!$V$13</f>
        <v>6102634.9549249085</v>
      </c>
      <c r="Q6" s="280">
        <f t="shared" ca="1" si="0"/>
        <v>10042385.524628133</v>
      </c>
    </row>
    <row r="7" spans="1:17" x14ac:dyDescent="0.25">
      <c r="A7" s="3">
        <f>'Monthly Data'!A7</f>
        <v>42156</v>
      </c>
      <c r="B7" s="1">
        <f t="shared" si="1"/>
        <v>2015</v>
      </c>
      <c r="C7" s="1">
        <f t="shared" si="2"/>
        <v>6</v>
      </c>
      <c r="D7" s="268">
        <f>'Monthly Data'!J7</f>
        <v>10184617.708334386</v>
      </c>
      <c r="E7" s="278">
        <f ca="1">Weather!BD39</f>
        <v>11.89069871794872</v>
      </c>
      <c r="F7" s="278">
        <f ca="1">Weather!BS39</f>
        <v>137.65451754405018</v>
      </c>
      <c r="G7" s="18">
        <f>'Monthly Data'!CG7</f>
        <v>0</v>
      </c>
      <c r="H7" s="4">
        <f>'Monthly Data'!CD7</f>
        <v>30</v>
      </c>
      <c r="I7" s="24">
        <f>'Monthly Data'!K7</f>
        <v>4011</v>
      </c>
      <c r="K7" s="18">
        <f>'GS&lt;50 Predicted Monthly'!$V$8</f>
        <v>-5629453.6994364997</v>
      </c>
      <c r="L7" s="18">
        <f ca="1">E7*'GS&lt;50 Predicted Monthly'!$V$9</f>
        <v>64220.077779106323</v>
      </c>
      <c r="M7" s="18">
        <f ca="1">F7*'GS&lt;50 Predicted Monthly'!$V$10</f>
        <v>1736982.8834783668</v>
      </c>
      <c r="N7" s="18">
        <f>G7*'GS&lt;50 Predicted Monthly'!$V$11</f>
        <v>0</v>
      </c>
      <c r="O7" s="18">
        <f>H7*'GS&lt;50 Predicted Monthly'!$V$12</f>
        <v>8079876.2161811106</v>
      </c>
      <c r="P7" s="18">
        <f>I7*'GS&lt;50 Predicted Monthly'!$V$13</f>
        <v>6122478.440271087</v>
      </c>
      <c r="Q7" s="280">
        <f t="shared" ca="1" si="0"/>
        <v>10374103.91827317</v>
      </c>
    </row>
    <row r="8" spans="1:17" x14ac:dyDescent="0.25">
      <c r="A8" s="3">
        <f>'Monthly Data'!A8</f>
        <v>42186</v>
      </c>
      <c r="B8" s="1">
        <f t="shared" si="1"/>
        <v>2015</v>
      </c>
      <c r="C8" s="1">
        <f t="shared" si="2"/>
        <v>7</v>
      </c>
      <c r="D8" s="268">
        <f>'Monthly Data'!J8</f>
        <v>11315953.589151742</v>
      </c>
      <c r="E8" s="278">
        <f ca="1">Weather!BD40</f>
        <v>7.4583333333333002E-2</v>
      </c>
      <c r="F8" s="278">
        <f ca="1">Weather!BS40</f>
        <v>235.94737858727848</v>
      </c>
      <c r="G8" s="18">
        <f>'Monthly Data'!CG8</f>
        <v>0</v>
      </c>
      <c r="H8" s="4">
        <f>'Monthly Data'!CD8</f>
        <v>31</v>
      </c>
      <c r="I8" s="24">
        <f>'Monthly Data'!K8</f>
        <v>4021</v>
      </c>
      <c r="K8" s="18">
        <f>'GS&lt;50 Predicted Monthly'!$V$8</f>
        <v>-5629453.6994364997</v>
      </c>
      <c r="L8" s="18">
        <f ca="1">E8*'GS&lt;50 Predicted Monthly'!$V$9</f>
        <v>402.81463531336908</v>
      </c>
      <c r="M8" s="18">
        <f ca="1">F8*'GS&lt;50 Predicted Monthly'!$V$10</f>
        <v>2977283.7486175704</v>
      </c>
      <c r="N8" s="18">
        <f>G8*'GS&lt;50 Predicted Monthly'!$V$11</f>
        <v>0</v>
      </c>
      <c r="O8" s="18">
        <f>H8*'GS&lt;50 Predicted Monthly'!$V$12</f>
        <v>8349205.4233871475</v>
      </c>
      <c r="P8" s="18">
        <f>I8*'GS&lt;50 Predicted Monthly'!$V$13</f>
        <v>6137742.6597681483</v>
      </c>
      <c r="Q8" s="280">
        <f t="shared" ca="1" si="0"/>
        <v>11835180.946971681</v>
      </c>
    </row>
    <row r="9" spans="1:17" x14ac:dyDescent="0.25">
      <c r="A9" s="3">
        <f>'Monthly Data'!A9</f>
        <v>42217</v>
      </c>
      <c r="B9" s="1">
        <f t="shared" si="1"/>
        <v>2015</v>
      </c>
      <c r="C9" s="1">
        <f t="shared" si="2"/>
        <v>8</v>
      </c>
      <c r="D9" s="268">
        <f>'Monthly Data'!J9</f>
        <v>11031577.87167096</v>
      </c>
      <c r="E9" s="278">
        <f ca="1">Weather!BD41</f>
        <v>0.75041666666666718</v>
      </c>
      <c r="F9" s="278">
        <f ca="1">Weather!BS41</f>
        <v>210.96558794466404</v>
      </c>
      <c r="G9" s="18">
        <f>'Monthly Data'!CG9</f>
        <v>0</v>
      </c>
      <c r="H9" s="4">
        <f>'Monthly Data'!CD9</f>
        <v>31</v>
      </c>
      <c r="I9" s="24">
        <f>'Monthly Data'!K9</f>
        <v>4021</v>
      </c>
      <c r="K9" s="18">
        <f>'GS&lt;50 Predicted Monthly'!$V$8</f>
        <v>-5629453.6994364997</v>
      </c>
      <c r="L9" s="18">
        <f ca="1">E9*'GS&lt;50 Predicted Monthly'!$V$9</f>
        <v>4052.9003251362087</v>
      </c>
      <c r="M9" s="18">
        <f ca="1">F9*'GS&lt;50 Predicted Monthly'!$V$10</f>
        <v>2662052.9554765075</v>
      </c>
      <c r="N9" s="18">
        <f>G9*'GS&lt;50 Predicted Monthly'!$V$11</f>
        <v>0</v>
      </c>
      <c r="O9" s="18">
        <f>H9*'GS&lt;50 Predicted Monthly'!$V$12</f>
        <v>8349205.4233871475</v>
      </c>
      <c r="P9" s="18">
        <f>I9*'GS&lt;50 Predicted Monthly'!$V$13</f>
        <v>6137742.6597681483</v>
      </c>
      <c r="Q9" s="280">
        <f t="shared" ca="1" si="0"/>
        <v>11523600.23952044</v>
      </c>
    </row>
    <row r="10" spans="1:17" x14ac:dyDescent="0.25">
      <c r="A10" s="3">
        <f>'Monthly Data'!A10</f>
        <v>42248</v>
      </c>
      <c r="B10" s="1">
        <f t="shared" si="1"/>
        <v>2015</v>
      </c>
      <c r="C10" s="1">
        <f t="shared" si="2"/>
        <v>9</v>
      </c>
      <c r="D10" s="268">
        <f>'Monthly Data'!J10</f>
        <v>10798348.741574915</v>
      </c>
      <c r="E10" s="278">
        <f ca="1">Weather!BD42</f>
        <v>26.342536231884061</v>
      </c>
      <c r="F10" s="278">
        <f ca="1">Weather!BS42</f>
        <v>106.4160119047619</v>
      </c>
      <c r="G10" s="18">
        <f>'Monthly Data'!CG10</f>
        <v>0</v>
      </c>
      <c r="H10" s="4">
        <f>'Monthly Data'!CD10</f>
        <v>30</v>
      </c>
      <c r="I10" s="24">
        <f>'Monthly Data'!K10</f>
        <v>4033</v>
      </c>
      <c r="K10" s="18">
        <f>'GS&lt;50 Predicted Monthly'!$V$8</f>
        <v>-5629453.6994364997</v>
      </c>
      <c r="L10" s="18">
        <f ca="1">E10*'GS&lt;50 Predicted Monthly'!$V$9</f>
        <v>142272.52458738282</v>
      </c>
      <c r="M10" s="18">
        <f ca="1">F10*'GS&lt;50 Predicted Monthly'!$V$10</f>
        <v>1342802.2160438786</v>
      </c>
      <c r="N10" s="18">
        <f>G10*'GS&lt;50 Predicted Monthly'!$V$11</f>
        <v>0</v>
      </c>
      <c r="O10" s="18">
        <f>H10*'GS&lt;50 Predicted Monthly'!$V$12</f>
        <v>8079876.2161811106</v>
      </c>
      <c r="P10" s="18">
        <f>I10*'GS&lt;50 Predicted Monthly'!$V$13</f>
        <v>6156059.7231646208</v>
      </c>
      <c r="Q10" s="280">
        <f t="shared" ca="1" si="0"/>
        <v>10091556.980540492</v>
      </c>
    </row>
    <row r="11" spans="1:17" x14ac:dyDescent="0.25">
      <c r="A11" s="3">
        <f>'Monthly Data'!A11</f>
        <v>42278</v>
      </c>
      <c r="B11" s="1">
        <f t="shared" si="1"/>
        <v>2015</v>
      </c>
      <c r="C11" s="1">
        <f t="shared" si="2"/>
        <v>10</v>
      </c>
      <c r="D11" s="268">
        <f>'Monthly Data'!J11</f>
        <v>10006451.417295149</v>
      </c>
      <c r="E11" s="278">
        <f ca="1">Weather!BD43</f>
        <v>181.36347826086953</v>
      </c>
      <c r="F11" s="278">
        <f ca="1">Weather!BS43</f>
        <v>17.987083333333334</v>
      </c>
      <c r="G11" s="18">
        <f>'Monthly Data'!CG11</f>
        <v>0</v>
      </c>
      <c r="H11" s="4">
        <f>'Monthly Data'!CD11</f>
        <v>31</v>
      </c>
      <c r="I11" s="24">
        <f>'Monthly Data'!K11</f>
        <v>4052</v>
      </c>
      <c r="K11" s="18">
        <f>'GS&lt;50 Predicted Monthly'!$V$8</f>
        <v>-5629453.6994364997</v>
      </c>
      <c r="L11" s="18">
        <f ca="1">E11*'GS&lt;50 Predicted Monthly'!$V$9</f>
        <v>979519.95559530659</v>
      </c>
      <c r="M11" s="18">
        <f ca="1">F11*'GS&lt;50 Predicted Monthly'!$V$10</f>
        <v>226968.61992706486</v>
      </c>
      <c r="N11" s="18">
        <f>G11*'GS&lt;50 Predicted Monthly'!$V$11</f>
        <v>0</v>
      </c>
      <c r="O11" s="18">
        <f>H11*'GS&lt;50 Predicted Monthly'!$V$12</f>
        <v>8349205.4233871475</v>
      </c>
      <c r="P11" s="18">
        <f>I11*'GS&lt;50 Predicted Monthly'!$V$13</f>
        <v>6185061.7402090365</v>
      </c>
      <c r="Q11" s="280">
        <f t="shared" ca="1" si="0"/>
        <v>10111302.039682055</v>
      </c>
    </row>
    <row r="12" spans="1:17" x14ac:dyDescent="0.25">
      <c r="A12" s="3">
        <f>'Monthly Data'!A12</f>
        <v>42309</v>
      </c>
      <c r="B12" s="1">
        <f t="shared" si="1"/>
        <v>2015</v>
      </c>
      <c r="C12" s="1">
        <f t="shared" si="2"/>
        <v>11</v>
      </c>
      <c r="D12" s="268">
        <f>'Monthly Data'!J12</f>
        <v>10647674.270384375</v>
      </c>
      <c r="E12" s="278">
        <f ca="1">Weather!BD44</f>
        <v>366.78033055712399</v>
      </c>
      <c r="F12" s="278">
        <f ca="1">Weather!BS44</f>
        <v>0.8083333333333329</v>
      </c>
      <c r="G12" s="18">
        <f>'Monthly Data'!CG12</f>
        <v>0</v>
      </c>
      <c r="H12" s="4">
        <f>'Monthly Data'!CD12</f>
        <v>30</v>
      </c>
      <c r="I12" s="24">
        <f>'Monthly Data'!K12</f>
        <v>4065</v>
      </c>
      <c r="K12" s="18">
        <f>'GS&lt;50 Predicted Monthly'!$V$8</f>
        <v>-5629453.6994364997</v>
      </c>
      <c r="L12" s="18">
        <f ca="1">E12*'GS&lt;50 Predicted Monthly'!$V$9</f>
        <v>1980931.6437115376</v>
      </c>
      <c r="M12" s="18">
        <f ca="1">F12*'GS&lt;50 Predicted Monthly'!$V$10</f>
        <v>10199.891650455318</v>
      </c>
      <c r="N12" s="18">
        <f>G12*'GS&lt;50 Predicted Monthly'!$V$11</f>
        <v>0</v>
      </c>
      <c r="O12" s="18">
        <f>H12*'GS&lt;50 Predicted Monthly'!$V$12</f>
        <v>8079876.2161811106</v>
      </c>
      <c r="P12" s="18">
        <f>I12*'GS&lt;50 Predicted Monthly'!$V$13</f>
        <v>6204905.225555216</v>
      </c>
      <c r="Q12" s="280">
        <f t="shared" ca="1" si="0"/>
        <v>10646459.277661819</v>
      </c>
    </row>
    <row r="13" spans="1:17" x14ac:dyDescent="0.25">
      <c r="A13" s="3">
        <f>'Monthly Data'!A13</f>
        <v>42339</v>
      </c>
      <c r="B13" s="1">
        <f t="shared" si="1"/>
        <v>2015</v>
      </c>
      <c r="C13" s="1">
        <f t="shared" si="2"/>
        <v>12</v>
      </c>
      <c r="D13" s="268">
        <f>'Monthly Data'!J13</f>
        <v>11180504.450672537</v>
      </c>
      <c r="E13" s="278">
        <f ca="1">Weather!BD45</f>
        <v>515.92800724637686</v>
      </c>
      <c r="F13" s="278">
        <f ca="1">Weather!BS45</f>
        <v>0</v>
      </c>
      <c r="G13" s="18">
        <f>'Monthly Data'!CG13</f>
        <v>0</v>
      </c>
      <c r="H13" s="4">
        <f>'Monthly Data'!CD13</f>
        <v>31</v>
      </c>
      <c r="I13" s="24">
        <f>'Monthly Data'!K13</f>
        <v>4074</v>
      </c>
      <c r="K13" s="18">
        <f>'GS&lt;50 Predicted Monthly'!$V$8</f>
        <v>-5629453.6994364997</v>
      </c>
      <c r="L13" s="18">
        <f ca="1">E13*'GS&lt;50 Predicted Monthly'!$V$9</f>
        <v>2786458.3520031748</v>
      </c>
      <c r="M13" s="18">
        <f ca="1">F13*'GS&lt;50 Predicted Monthly'!$V$10</f>
        <v>0</v>
      </c>
      <c r="N13" s="18">
        <f>G13*'GS&lt;50 Predicted Monthly'!$V$11</f>
        <v>0</v>
      </c>
      <c r="O13" s="18">
        <f>H13*'GS&lt;50 Predicted Monthly'!$V$12</f>
        <v>8349205.4233871475</v>
      </c>
      <c r="P13" s="18">
        <f>I13*'GS&lt;50 Predicted Monthly'!$V$13</f>
        <v>6218643.0231025703</v>
      </c>
      <c r="Q13" s="280">
        <f t="shared" ca="1" si="0"/>
        <v>11724853.099056393</v>
      </c>
    </row>
    <row r="14" spans="1:17" x14ac:dyDescent="0.25">
      <c r="A14" s="3">
        <f>'Monthly Data'!A14</f>
        <v>42370</v>
      </c>
      <c r="B14" s="1">
        <f t="shared" si="1"/>
        <v>2016</v>
      </c>
      <c r="C14" s="1">
        <f t="shared" si="2"/>
        <v>1</v>
      </c>
      <c r="D14" s="268">
        <f>'Monthly Data'!J14</f>
        <v>12581251.383190688</v>
      </c>
      <c r="E14" s="278">
        <f t="shared" ref="E14:F33" ca="1" si="3">E2</f>
        <v>635.33418478260876</v>
      </c>
      <c r="F14" s="278">
        <f t="shared" ca="1" si="3"/>
        <v>0</v>
      </c>
      <c r="G14" s="18">
        <f>'Monthly Data'!CG14</f>
        <v>0</v>
      </c>
      <c r="H14" s="4">
        <f>'Monthly Data'!CD14</f>
        <v>31</v>
      </c>
      <c r="I14" s="24">
        <f>'Monthly Data'!K14</f>
        <v>4082</v>
      </c>
      <c r="K14" s="18">
        <f>'GS&lt;50 Predicted Monthly'!$V$8</f>
        <v>-5629453.6994364997</v>
      </c>
      <c r="L14" s="18">
        <f ca="1">E14*'GS&lt;50 Predicted Monthly'!$V$9</f>
        <v>3431355.1903283708</v>
      </c>
      <c r="M14" s="18">
        <f ca="1">F14*'GS&lt;50 Predicted Monthly'!$V$10</f>
        <v>0</v>
      </c>
      <c r="N14" s="18">
        <f>G14*'GS&lt;50 Predicted Monthly'!$V$11</f>
        <v>0</v>
      </c>
      <c r="O14" s="18">
        <f>H14*'GS&lt;50 Predicted Monthly'!$V$12</f>
        <v>8349205.4233871475</v>
      </c>
      <c r="P14" s="18">
        <f>I14*'GS&lt;50 Predicted Monthly'!$V$13</f>
        <v>6230854.3987002186</v>
      </c>
      <c r="Q14" s="280">
        <f t="shared" ca="1" si="0"/>
        <v>12381961.312979236</v>
      </c>
    </row>
    <row r="15" spans="1:17" x14ac:dyDescent="0.25">
      <c r="A15" s="3">
        <f>'Monthly Data'!A15</f>
        <v>42401</v>
      </c>
      <c r="B15" s="1">
        <f t="shared" si="1"/>
        <v>2016</v>
      </c>
      <c r="C15" s="1">
        <f t="shared" si="2"/>
        <v>2</v>
      </c>
      <c r="D15" s="268">
        <f>'Monthly Data'!J15</f>
        <v>11589929.271759877</v>
      </c>
      <c r="E15" s="278">
        <f t="shared" ca="1" si="3"/>
        <v>567.65501811594208</v>
      </c>
      <c r="F15" s="278">
        <f t="shared" ca="1" si="3"/>
        <v>0</v>
      </c>
      <c r="G15" s="18">
        <f>'Monthly Data'!CG15</f>
        <v>0</v>
      </c>
      <c r="H15" s="4">
        <f>'Monthly Data'!CD15</f>
        <v>29</v>
      </c>
      <c r="I15" s="24">
        <f>'Monthly Data'!K15</f>
        <v>4129</v>
      </c>
      <c r="K15" s="18">
        <f>'GS&lt;50 Predicted Monthly'!$V$8</f>
        <v>-5629453.6994364997</v>
      </c>
      <c r="L15" s="18">
        <f ca="1">E15*'GS&lt;50 Predicted Monthly'!$V$9</f>
        <v>3065829.0382951256</v>
      </c>
      <c r="M15" s="18">
        <f ca="1">F15*'GS&lt;50 Predicted Monthly'!$V$10</f>
        <v>0</v>
      </c>
      <c r="N15" s="18">
        <f>G15*'GS&lt;50 Predicted Monthly'!$V$11</f>
        <v>0</v>
      </c>
      <c r="O15" s="18">
        <f>H15*'GS&lt;50 Predicted Monthly'!$V$12</f>
        <v>7810547.0089750737</v>
      </c>
      <c r="P15" s="18">
        <f>I15*'GS&lt;50 Predicted Monthly'!$V$13</f>
        <v>6302596.2303364044</v>
      </c>
      <c r="Q15" s="280">
        <f t="shared" ca="1" si="0"/>
        <v>11549518.578170104</v>
      </c>
    </row>
    <row r="16" spans="1:17" x14ac:dyDescent="0.25">
      <c r="A16" s="3">
        <f>'Monthly Data'!A16</f>
        <v>42430</v>
      </c>
      <c r="B16" s="1">
        <f t="shared" si="1"/>
        <v>2016</v>
      </c>
      <c r="C16" s="1">
        <f t="shared" si="2"/>
        <v>3</v>
      </c>
      <c r="D16" s="268">
        <f>'Monthly Data'!J16</f>
        <v>11679242.54237907</v>
      </c>
      <c r="E16" s="278">
        <f t="shared" ca="1" si="3"/>
        <v>484.13298913043479</v>
      </c>
      <c r="F16" s="278">
        <f t="shared" ca="1" si="3"/>
        <v>0</v>
      </c>
      <c r="G16" s="18">
        <f>'Monthly Data'!CG16</f>
        <v>0</v>
      </c>
      <c r="H16" s="4">
        <f>'Monthly Data'!CD16</f>
        <v>31</v>
      </c>
      <c r="I16" s="24">
        <f>'Monthly Data'!K16</f>
        <v>4147</v>
      </c>
      <c r="K16" s="18">
        <f>'GS&lt;50 Predicted Monthly'!$V$8</f>
        <v>-5629453.6994364997</v>
      </c>
      <c r="L16" s="18">
        <f ca="1">E16*'GS&lt;50 Predicted Monthly'!$V$9</f>
        <v>2614737.7000189708</v>
      </c>
      <c r="M16" s="18">
        <f ca="1">F16*'GS&lt;50 Predicted Monthly'!$V$10</f>
        <v>0</v>
      </c>
      <c r="N16" s="18">
        <f>G16*'GS&lt;50 Predicted Monthly'!$V$11</f>
        <v>0</v>
      </c>
      <c r="O16" s="18">
        <f>H16*'GS&lt;50 Predicted Monthly'!$V$12</f>
        <v>8349205.4233871475</v>
      </c>
      <c r="P16" s="18">
        <f>I16*'GS&lt;50 Predicted Monthly'!$V$13</f>
        <v>6330071.8254311141</v>
      </c>
      <c r="Q16" s="280">
        <f t="shared" ca="1" si="0"/>
        <v>11664561.249400733</v>
      </c>
    </row>
    <row r="17" spans="1:17" x14ac:dyDescent="0.25">
      <c r="A17" s="3">
        <f>'Monthly Data'!A17</f>
        <v>42461</v>
      </c>
      <c r="B17" s="1">
        <f t="shared" si="1"/>
        <v>2016</v>
      </c>
      <c r="C17" s="1">
        <f t="shared" si="2"/>
        <v>4</v>
      </c>
      <c r="D17" s="268">
        <f>'Monthly Data'!J17</f>
        <v>10411421.117584607</v>
      </c>
      <c r="E17" s="278">
        <f t="shared" ca="1" si="3"/>
        <v>292.81107954545462</v>
      </c>
      <c r="F17" s="278">
        <f t="shared" ca="1" si="3"/>
        <v>2.1908333333333347</v>
      </c>
      <c r="G17" s="18">
        <f>'Monthly Data'!CG17</f>
        <v>0</v>
      </c>
      <c r="H17" s="4">
        <f>'Monthly Data'!CD17</f>
        <v>30</v>
      </c>
      <c r="I17" s="24">
        <f>'Monthly Data'!K17</f>
        <v>4159</v>
      </c>
      <c r="K17" s="18">
        <f>'GS&lt;50 Predicted Monthly'!$V$8</f>
        <v>-5629453.6994364997</v>
      </c>
      <c r="L17" s="18">
        <f ca="1">E17*'GS&lt;50 Predicted Monthly'!$V$9</f>
        <v>1581433.5851103917</v>
      </c>
      <c r="M17" s="18">
        <f ca="1">F17*'GS&lt;50 Predicted Monthly'!$V$10</f>
        <v>27644.860978399032</v>
      </c>
      <c r="N17" s="18">
        <f>G17*'GS&lt;50 Predicted Monthly'!$V$11</f>
        <v>0</v>
      </c>
      <c r="O17" s="18">
        <f>H17*'GS&lt;50 Predicted Monthly'!$V$12</f>
        <v>8079876.2161811106</v>
      </c>
      <c r="P17" s="18">
        <f>I17*'GS&lt;50 Predicted Monthly'!$V$13</f>
        <v>6348388.8888275875</v>
      </c>
      <c r="Q17" s="280">
        <f t="shared" ca="1" si="0"/>
        <v>10407889.851660989</v>
      </c>
    </row>
    <row r="18" spans="1:17" x14ac:dyDescent="0.25">
      <c r="A18" s="3">
        <f>'Monthly Data'!A18</f>
        <v>42491</v>
      </c>
      <c r="B18" s="1">
        <f t="shared" si="1"/>
        <v>2016</v>
      </c>
      <c r="C18" s="1">
        <f t="shared" si="2"/>
        <v>5</v>
      </c>
      <c r="D18" s="268">
        <f>'Monthly Data'!J18</f>
        <v>10228476.858936716</v>
      </c>
      <c r="E18" s="278">
        <f t="shared" ca="1" si="3"/>
        <v>103.25939244851259</v>
      </c>
      <c r="F18" s="278">
        <f t="shared" ca="1" si="3"/>
        <v>52.487435064935063</v>
      </c>
      <c r="G18" s="18">
        <f>'Monthly Data'!CG18</f>
        <v>0</v>
      </c>
      <c r="H18" s="4">
        <f>'Monthly Data'!CD18</f>
        <v>31</v>
      </c>
      <c r="I18" s="24">
        <f>'Monthly Data'!K18</f>
        <v>4156</v>
      </c>
      <c r="K18" s="18">
        <f>'GS&lt;50 Predicted Monthly'!$V$8</f>
        <v>-5629453.6994364997</v>
      </c>
      <c r="L18" s="18">
        <f ca="1">E18*'GS&lt;50 Predicted Monthly'!$V$9</f>
        <v>557690.20574517769</v>
      </c>
      <c r="M18" s="18">
        <f ca="1">F18*'GS&lt;50 Predicted Monthly'!$V$10</f>
        <v>662308.64000739844</v>
      </c>
      <c r="N18" s="18">
        <f>G18*'GS&lt;50 Predicted Monthly'!$V$11</f>
        <v>0</v>
      </c>
      <c r="O18" s="18">
        <f>H18*'GS&lt;50 Predicted Monthly'!$V$12</f>
        <v>8349205.4233871475</v>
      </c>
      <c r="P18" s="18">
        <f>I18*'GS&lt;50 Predicted Monthly'!$V$13</f>
        <v>6343809.6229784694</v>
      </c>
      <c r="Q18" s="280">
        <f t="shared" ca="1" si="0"/>
        <v>10283560.192681693</v>
      </c>
    </row>
    <row r="19" spans="1:17" x14ac:dyDescent="0.25">
      <c r="A19" s="3">
        <f>'Monthly Data'!A19</f>
        <v>42522</v>
      </c>
      <c r="B19" s="1">
        <f t="shared" si="1"/>
        <v>2016</v>
      </c>
      <c r="C19" s="1">
        <f t="shared" si="2"/>
        <v>6</v>
      </c>
      <c r="D19" s="268">
        <f>'Monthly Data'!J19</f>
        <v>10465207.773663962</v>
      </c>
      <c r="E19" s="278">
        <f t="shared" ca="1" si="3"/>
        <v>11.89069871794872</v>
      </c>
      <c r="F19" s="278">
        <f t="shared" ca="1" si="3"/>
        <v>137.65451754405018</v>
      </c>
      <c r="G19" s="18">
        <f>'Monthly Data'!CG19</f>
        <v>0</v>
      </c>
      <c r="H19" s="4">
        <f>'Monthly Data'!CD19</f>
        <v>30</v>
      </c>
      <c r="I19" s="24">
        <f>'Monthly Data'!K19</f>
        <v>4153</v>
      </c>
      <c r="K19" s="18">
        <f>'GS&lt;50 Predicted Monthly'!$V$8</f>
        <v>-5629453.6994364997</v>
      </c>
      <c r="L19" s="18">
        <f ca="1">E19*'GS&lt;50 Predicted Monthly'!$V$9</f>
        <v>64220.077779106323</v>
      </c>
      <c r="M19" s="18">
        <f ca="1">F19*'GS&lt;50 Predicted Monthly'!$V$10</f>
        <v>1736982.8834783668</v>
      </c>
      <c r="N19" s="18">
        <f>G19*'GS&lt;50 Predicted Monthly'!$V$11</f>
        <v>0</v>
      </c>
      <c r="O19" s="18">
        <f>H19*'GS&lt;50 Predicted Monthly'!$V$12</f>
        <v>8079876.2161811106</v>
      </c>
      <c r="P19" s="18">
        <f>I19*'GS&lt;50 Predicted Monthly'!$V$13</f>
        <v>6339230.3571293503</v>
      </c>
      <c r="Q19" s="280">
        <f t="shared" ca="1" si="0"/>
        <v>10590855.835131433</v>
      </c>
    </row>
    <row r="20" spans="1:17" x14ac:dyDescent="0.25">
      <c r="A20" s="3">
        <f>'Monthly Data'!A20</f>
        <v>42552</v>
      </c>
      <c r="B20" s="1">
        <f t="shared" si="1"/>
        <v>2016</v>
      </c>
      <c r="C20" s="1">
        <f t="shared" si="2"/>
        <v>7</v>
      </c>
      <c r="D20" s="268">
        <f>'Monthly Data'!J20</f>
        <v>11859424.861319741</v>
      </c>
      <c r="E20" s="278">
        <f t="shared" ca="1" si="3"/>
        <v>7.4583333333333002E-2</v>
      </c>
      <c r="F20" s="278">
        <f t="shared" ca="1" si="3"/>
        <v>235.94737858727848</v>
      </c>
      <c r="G20" s="18">
        <f>'Monthly Data'!CG20</f>
        <v>0</v>
      </c>
      <c r="H20" s="4">
        <f>'Monthly Data'!CD20</f>
        <v>31</v>
      </c>
      <c r="I20" s="24">
        <f>'Monthly Data'!K20</f>
        <v>4177</v>
      </c>
      <c r="K20" s="18">
        <f>'GS&lt;50 Predicted Monthly'!$V$8</f>
        <v>-5629453.6994364997</v>
      </c>
      <c r="L20" s="18">
        <f ca="1">E20*'GS&lt;50 Predicted Monthly'!$V$9</f>
        <v>402.81463531336908</v>
      </c>
      <c r="M20" s="18">
        <f ca="1">F20*'GS&lt;50 Predicted Monthly'!$V$10</f>
        <v>2977283.7486175704</v>
      </c>
      <c r="N20" s="18">
        <f>G20*'GS&lt;50 Predicted Monthly'!$V$11</f>
        <v>0</v>
      </c>
      <c r="O20" s="18">
        <f>H20*'GS&lt;50 Predicted Monthly'!$V$12</f>
        <v>8349205.4233871475</v>
      </c>
      <c r="P20" s="18">
        <f>I20*'GS&lt;50 Predicted Monthly'!$V$13</f>
        <v>6375864.4839222962</v>
      </c>
      <c r="Q20" s="280">
        <f t="shared" ca="1" si="0"/>
        <v>12073302.771125827</v>
      </c>
    </row>
    <row r="21" spans="1:17" x14ac:dyDescent="0.25">
      <c r="A21" s="3">
        <f>'Monthly Data'!A21</f>
        <v>42583</v>
      </c>
      <c r="B21" s="1">
        <f t="shared" si="1"/>
        <v>2016</v>
      </c>
      <c r="C21" s="1">
        <f t="shared" si="2"/>
        <v>8</v>
      </c>
      <c r="D21" s="268">
        <f>'Monthly Data'!J21</f>
        <v>12306932.672611248</v>
      </c>
      <c r="E21" s="278">
        <f t="shared" ca="1" si="3"/>
        <v>0.75041666666666718</v>
      </c>
      <c r="F21" s="278">
        <f t="shared" ca="1" si="3"/>
        <v>210.96558794466404</v>
      </c>
      <c r="G21" s="18">
        <f>'Monthly Data'!CG21</f>
        <v>0</v>
      </c>
      <c r="H21" s="4">
        <f>'Monthly Data'!CD21</f>
        <v>31</v>
      </c>
      <c r="I21" s="24">
        <f>'Monthly Data'!K21</f>
        <v>4165</v>
      </c>
      <c r="K21" s="18">
        <f>'GS&lt;50 Predicted Monthly'!$V$8</f>
        <v>-5629453.6994364997</v>
      </c>
      <c r="L21" s="18">
        <f ca="1">E21*'GS&lt;50 Predicted Monthly'!$V$9</f>
        <v>4052.9003251362087</v>
      </c>
      <c r="M21" s="18">
        <f ca="1">F21*'GS&lt;50 Predicted Monthly'!$V$10</f>
        <v>2662052.9554765075</v>
      </c>
      <c r="N21" s="18">
        <f>G21*'GS&lt;50 Predicted Monthly'!$V$11</f>
        <v>0</v>
      </c>
      <c r="O21" s="18">
        <f>H21*'GS&lt;50 Predicted Monthly'!$V$12</f>
        <v>8349205.4233871475</v>
      </c>
      <c r="P21" s="18">
        <f>I21*'GS&lt;50 Predicted Monthly'!$V$13</f>
        <v>6357547.4205258237</v>
      </c>
      <c r="Q21" s="280">
        <f t="shared" ca="1" si="0"/>
        <v>11743405.000278115</v>
      </c>
    </row>
    <row r="22" spans="1:17" x14ac:dyDescent="0.25">
      <c r="A22" s="3">
        <f>'Monthly Data'!A22</f>
        <v>42614</v>
      </c>
      <c r="B22" s="1">
        <f t="shared" si="1"/>
        <v>2016</v>
      </c>
      <c r="C22" s="1">
        <f t="shared" si="2"/>
        <v>9</v>
      </c>
      <c r="D22" s="268">
        <f>'Monthly Data'!J22</f>
        <v>10662137.575885922</v>
      </c>
      <c r="E22" s="278">
        <f t="shared" ca="1" si="3"/>
        <v>26.342536231884061</v>
      </c>
      <c r="F22" s="278">
        <f t="shared" ca="1" si="3"/>
        <v>106.4160119047619</v>
      </c>
      <c r="G22" s="18">
        <f>'Monthly Data'!CG22</f>
        <v>0</v>
      </c>
      <c r="H22" s="4">
        <f>'Monthly Data'!CD22</f>
        <v>30</v>
      </c>
      <c r="I22" s="24">
        <f>'Monthly Data'!K22</f>
        <v>4177</v>
      </c>
      <c r="K22" s="18">
        <f>'GS&lt;50 Predicted Monthly'!$V$8</f>
        <v>-5629453.6994364997</v>
      </c>
      <c r="L22" s="18">
        <f ca="1">E22*'GS&lt;50 Predicted Monthly'!$V$9</f>
        <v>142272.52458738282</v>
      </c>
      <c r="M22" s="18">
        <f ca="1">F22*'GS&lt;50 Predicted Monthly'!$V$10</f>
        <v>1342802.2160438786</v>
      </c>
      <c r="N22" s="18">
        <f>G22*'GS&lt;50 Predicted Monthly'!$V$11</f>
        <v>0</v>
      </c>
      <c r="O22" s="18">
        <f>H22*'GS&lt;50 Predicted Monthly'!$V$12</f>
        <v>8079876.2161811106</v>
      </c>
      <c r="P22" s="18">
        <f>I22*'GS&lt;50 Predicted Monthly'!$V$13</f>
        <v>6375864.4839222962</v>
      </c>
      <c r="Q22" s="280">
        <f t="shared" ca="1" si="0"/>
        <v>10311361.741298169</v>
      </c>
    </row>
    <row r="23" spans="1:17" x14ac:dyDescent="0.25">
      <c r="A23" s="3">
        <f>'Monthly Data'!A23</f>
        <v>42644</v>
      </c>
      <c r="B23" s="1">
        <f t="shared" si="1"/>
        <v>2016</v>
      </c>
      <c r="C23" s="1">
        <f t="shared" si="2"/>
        <v>10</v>
      </c>
      <c r="D23" s="268">
        <f>'Monthly Data'!J23</f>
        <v>10050178.546894442</v>
      </c>
      <c r="E23" s="278">
        <f t="shared" ca="1" si="3"/>
        <v>181.36347826086953</v>
      </c>
      <c r="F23" s="278">
        <f t="shared" ca="1" si="3"/>
        <v>17.987083333333334</v>
      </c>
      <c r="G23" s="18">
        <f>'Monthly Data'!CG23</f>
        <v>0</v>
      </c>
      <c r="H23" s="4">
        <f>'Monthly Data'!CD23</f>
        <v>31</v>
      </c>
      <c r="I23" s="24">
        <f>'Monthly Data'!K23</f>
        <v>4154</v>
      </c>
      <c r="K23" s="18">
        <f>'GS&lt;50 Predicted Monthly'!$V$8</f>
        <v>-5629453.6994364997</v>
      </c>
      <c r="L23" s="18">
        <f ca="1">E23*'GS&lt;50 Predicted Monthly'!$V$9</f>
        <v>979519.95559530659</v>
      </c>
      <c r="M23" s="18">
        <f ca="1">F23*'GS&lt;50 Predicted Monthly'!$V$10</f>
        <v>226968.61992706486</v>
      </c>
      <c r="N23" s="18">
        <f>G23*'GS&lt;50 Predicted Monthly'!$V$11</f>
        <v>0</v>
      </c>
      <c r="O23" s="18">
        <f>H23*'GS&lt;50 Predicted Monthly'!$V$12</f>
        <v>8349205.4233871475</v>
      </c>
      <c r="P23" s="18">
        <f>I23*'GS&lt;50 Predicted Monthly'!$V$13</f>
        <v>6340756.7790790563</v>
      </c>
      <c r="Q23" s="280">
        <f t="shared" ca="1" si="0"/>
        <v>10266997.078552075</v>
      </c>
    </row>
    <row r="24" spans="1:17" x14ac:dyDescent="0.25">
      <c r="A24" s="3">
        <f>'Monthly Data'!A24</f>
        <v>42675</v>
      </c>
      <c r="B24" s="1">
        <f t="shared" si="1"/>
        <v>2016</v>
      </c>
      <c r="C24" s="1">
        <f t="shared" si="2"/>
        <v>11</v>
      </c>
      <c r="D24" s="268">
        <f>'Monthly Data'!J24</f>
        <v>10467644.593618168</v>
      </c>
      <c r="E24" s="278">
        <f t="shared" ca="1" si="3"/>
        <v>366.78033055712399</v>
      </c>
      <c r="F24" s="278">
        <f t="shared" ca="1" si="3"/>
        <v>0.8083333333333329</v>
      </c>
      <c r="G24" s="18">
        <f>'Monthly Data'!CG24</f>
        <v>0</v>
      </c>
      <c r="H24" s="4">
        <f>'Monthly Data'!CD24</f>
        <v>30</v>
      </c>
      <c r="I24" s="24">
        <f>'Monthly Data'!K24</f>
        <v>4148</v>
      </c>
      <c r="K24" s="18">
        <f>'GS&lt;50 Predicted Monthly'!$V$8</f>
        <v>-5629453.6994364997</v>
      </c>
      <c r="L24" s="18">
        <f ca="1">E24*'GS&lt;50 Predicted Monthly'!$V$9</f>
        <v>1980931.6437115376</v>
      </c>
      <c r="M24" s="18">
        <f ca="1">F24*'GS&lt;50 Predicted Monthly'!$V$10</f>
        <v>10199.891650455318</v>
      </c>
      <c r="N24" s="18">
        <f>G24*'GS&lt;50 Predicted Monthly'!$V$11</f>
        <v>0</v>
      </c>
      <c r="O24" s="18">
        <f>H24*'GS&lt;50 Predicted Monthly'!$V$12</f>
        <v>8079876.2161811106</v>
      </c>
      <c r="P24" s="18">
        <f>I24*'GS&lt;50 Predicted Monthly'!$V$13</f>
        <v>6331598.2473808201</v>
      </c>
      <c r="Q24" s="280">
        <f t="shared" ca="1" si="0"/>
        <v>10773152.299487423</v>
      </c>
    </row>
    <row r="25" spans="1:17" x14ac:dyDescent="0.25">
      <c r="A25" s="3">
        <f>'Monthly Data'!A25</f>
        <v>42705</v>
      </c>
      <c r="B25" s="1">
        <f t="shared" si="1"/>
        <v>2016</v>
      </c>
      <c r="C25" s="1">
        <f t="shared" si="2"/>
        <v>12</v>
      </c>
      <c r="D25" s="268">
        <f>'Monthly Data'!J25</f>
        <v>11890572.967155561</v>
      </c>
      <c r="E25" s="278">
        <f t="shared" ca="1" si="3"/>
        <v>515.92800724637686</v>
      </c>
      <c r="F25" s="278">
        <f t="shared" ca="1" si="3"/>
        <v>0</v>
      </c>
      <c r="G25" s="18">
        <f>'Monthly Data'!CG25</f>
        <v>0</v>
      </c>
      <c r="H25" s="4">
        <f>'Monthly Data'!CD25</f>
        <v>31</v>
      </c>
      <c r="I25" s="24">
        <f>'Monthly Data'!K25</f>
        <v>4150</v>
      </c>
      <c r="K25" s="18">
        <f>'GS&lt;50 Predicted Monthly'!$V$8</f>
        <v>-5629453.6994364997</v>
      </c>
      <c r="L25" s="18">
        <f ca="1">E25*'GS&lt;50 Predicted Monthly'!$V$9</f>
        <v>2786458.3520031748</v>
      </c>
      <c r="M25" s="18">
        <f ca="1">F25*'GS&lt;50 Predicted Monthly'!$V$10</f>
        <v>0</v>
      </c>
      <c r="N25" s="18">
        <f>G25*'GS&lt;50 Predicted Monthly'!$V$11</f>
        <v>0</v>
      </c>
      <c r="O25" s="18">
        <f>H25*'GS&lt;50 Predicted Monthly'!$V$12</f>
        <v>8349205.4233871475</v>
      </c>
      <c r="P25" s="18">
        <f>I25*'GS&lt;50 Predicted Monthly'!$V$13</f>
        <v>6334651.0912802322</v>
      </c>
      <c r="Q25" s="280">
        <f t="shared" ca="1" si="0"/>
        <v>11840861.167234056</v>
      </c>
    </row>
    <row r="26" spans="1:17" x14ac:dyDescent="0.25">
      <c r="A26" s="3">
        <f>'Monthly Data'!A26</f>
        <v>42736</v>
      </c>
      <c r="B26" s="1">
        <f t="shared" si="1"/>
        <v>2017</v>
      </c>
      <c r="C26" s="1">
        <f t="shared" si="2"/>
        <v>1</v>
      </c>
      <c r="D26" s="268">
        <f>'Monthly Data'!J26</f>
        <v>12355535.106722897</v>
      </c>
      <c r="E26" s="278">
        <f t="shared" ca="1" si="3"/>
        <v>635.33418478260876</v>
      </c>
      <c r="F26" s="278">
        <f t="shared" ca="1" si="3"/>
        <v>0</v>
      </c>
      <c r="G26" s="18">
        <f>'Monthly Data'!CG26</f>
        <v>0</v>
      </c>
      <c r="H26" s="4">
        <f>'Monthly Data'!CD26</f>
        <v>31</v>
      </c>
      <c r="I26" s="24">
        <f>'Monthly Data'!K26</f>
        <v>4150</v>
      </c>
      <c r="K26" s="18">
        <f>'GS&lt;50 Predicted Monthly'!$V$8</f>
        <v>-5629453.6994364997</v>
      </c>
      <c r="L26" s="18">
        <f ca="1">E26*'GS&lt;50 Predicted Monthly'!$V$9</f>
        <v>3431355.1903283708</v>
      </c>
      <c r="M26" s="18">
        <f ca="1">F26*'GS&lt;50 Predicted Monthly'!$V$10</f>
        <v>0</v>
      </c>
      <c r="N26" s="18">
        <f>G26*'GS&lt;50 Predicted Monthly'!$V$11</f>
        <v>0</v>
      </c>
      <c r="O26" s="18">
        <f>H26*'GS&lt;50 Predicted Monthly'!$V$12</f>
        <v>8349205.4233871475</v>
      </c>
      <c r="P26" s="18">
        <f>I26*'GS&lt;50 Predicted Monthly'!$V$13</f>
        <v>6334651.0912802322</v>
      </c>
      <c r="Q26" s="280">
        <f t="shared" ca="1" si="0"/>
        <v>12485758.005559251</v>
      </c>
    </row>
    <row r="27" spans="1:17" x14ac:dyDescent="0.25">
      <c r="A27" s="3">
        <f>'Monthly Data'!A27</f>
        <v>42767</v>
      </c>
      <c r="B27" s="1">
        <f t="shared" si="1"/>
        <v>2017</v>
      </c>
      <c r="C27" s="1">
        <f t="shared" si="2"/>
        <v>2</v>
      </c>
      <c r="D27" s="268">
        <f>'Monthly Data'!J27</f>
        <v>11059039.500129096</v>
      </c>
      <c r="E27" s="278">
        <f t="shared" ca="1" si="3"/>
        <v>567.65501811594208</v>
      </c>
      <c r="F27" s="278">
        <f t="shared" ca="1" si="3"/>
        <v>0</v>
      </c>
      <c r="G27" s="18">
        <f>'Monthly Data'!CG27</f>
        <v>0</v>
      </c>
      <c r="H27" s="4">
        <f>'Monthly Data'!CD27</f>
        <v>28</v>
      </c>
      <c r="I27" s="24">
        <f>'Monthly Data'!K27</f>
        <v>4144</v>
      </c>
      <c r="K27" s="18">
        <f>'GS&lt;50 Predicted Monthly'!$V$8</f>
        <v>-5629453.6994364997</v>
      </c>
      <c r="L27" s="18">
        <f ca="1">E27*'GS&lt;50 Predicted Monthly'!$V$9</f>
        <v>3065829.0382951256</v>
      </c>
      <c r="M27" s="18">
        <f ca="1">F27*'GS&lt;50 Predicted Monthly'!$V$10</f>
        <v>0</v>
      </c>
      <c r="N27" s="18">
        <f>G27*'GS&lt;50 Predicted Monthly'!$V$11</f>
        <v>0</v>
      </c>
      <c r="O27" s="18">
        <f>H27*'GS&lt;50 Predicted Monthly'!$V$12</f>
        <v>7541217.8017690368</v>
      </c>
      <c r="P27" s="18">
        <f>I27*'GS&lt;50 Predicted Monthly'!$V$13</f>
        <v>6325492.5595819959</v>
      </c>
      <c r="Q27" s="280">
        <f t="shared" ca="1" si="0"/>
        <v>11303085.700209659</v>
      </c>
    </row>
    <row r="28" spans="1:17" x14ac:dyDescent="0.25">
      <c r="A28" s="3">
        <f>'Monthly Data'!A28</f>
        <v>42795</v>
      </c>
      <c r="B28" s="1">
        <f t="shared" si="1"/>
        <v>2017</v>
      </c>
      <c r="C28" s="1">
        <f t="shared" si="2"/>
        <v>3</v>
      </c>
      <c r="D28" s="268">
        <f>'Monthly Data'!J28</f>
        <v>12183406.064573791</v>
      </c>
      <c r="E28" s="278">
        <f t="shared" ca="1" si="3"/>
        <v>484.13298913043479</v>
      </c>
      <c r="F28" s="278">
        <f t="shared" ca="1" si="3"/>
        <v>0</v>
      </c>
      <c r="G28" s="18">
        <f>'Monthly Data'!CG28</f>
        <v>0</v>
      </c>
      <c r="H28" s="4">
        <f>'Monthly Data'!CD28</f>
        <v>31</v>
      </c>
      <c r="I28" s="24">
        <f>'Monthly Data'!K28</f>
        <v>4150</v>
      </c>
      <c r="K28" s="18">
        <f>'GS&lt;50 Predicted Monthly'!$V$8</f>
        <v>-5629453.6994364997</v>
      </c>
      <c r="L28" s="18">
        <f ca="1">E28*'GS&lt;50 Predicted Monthly'!$V$9</f>
        <v>2614737.7000189708</v>
      </c>
      <c r="M28" s="18">
        <f ca="1">F28*'GS&lt;50 Predicted Monthly'!$V$10</f>
        <v>0</v>
      </c>
      <c r="N28" s="18">
        <f>G28*'GS&lt;50 Predicted Monthly'!$V$11</f>
        <v>0</v>
      </c>
      <c r="O28" s="18">
        <f>H28*'GS&lt;50 Predicted Monthly'!$V$12</f>
        <v>8349205.4233871475</v>
      </c>
      <c r="P28" s="18">
        <f>I28*'GS&lt;50 Predicted Monthly'!$V$13</f>
        <v>6334651.0912802322</v>
      </c>
      <c r="Q28" s="280">
        <f t="shared" ca="1" si="0"/>
        <v>11669140.515249852</v>
      </c>
    </row>
    <row r="29" spans="1:17" x14ac:dyDescent="0.25">
      <c r="A29" s="3">
        <f>'Monthly Data'!A29</f>
        <v>42826</v>
      </c>
      <c r="B29" s="1">
        <f t="shared" si="1"/>
        <v>2017</v>
      </c>
      <c r="C29" s="1">
        <f t="shared" si="2"/>
        <v>4</v>
      </c>
      <c r="D29" s="268">
        <f>'Monthly Data'!J29</f>
        <v>10307837.783077231</v>
      </c>
      <c r="E29" s="278">
        <f t="shared" ca="1" si="3"/>
        <v>292.81107954545462</v>
      </c>
      <c r="F29" s="278">
        <f t="shared" ca="1" si="3"/>
        <v>2.1908333333333347</v>
      </c>
      <c r="G29" s="18">
        <f>'Monthly Data'!CG29</f>
        <v>0</v>
      </c>
      <c r="H29" s="4">
        <f>'Monthly Data'!CD29</f>
        <v>30</v>
      </c>
      <c r="I29" s="24">
        <f>'Monthly Data'!K29</f>
        <v>4151</v>
      </c>
      <c r="K29" s="18">
        <f>'GS&lt;50 Predicted Monthly'!$V$8</f>
        <v>-5629453.6994364997</v>
      </c>
      <c r="L29" s="18">
        <f ca="1">E29*'GS&lt;50 Predicted Monthly'!$V$9</f>
        <v>1581433.5851103917</v>
      </c>
      <c r="M29" s="18">
        <f ca="1">F29*'GS&lt;50 Predicted Monthly'!$V$10</f>
        <v>27644.860978399032</v>
      </c>
      <c r="N29" s="18">
        <f>G29*'GS&lt;50 Predicted Monthly'!$V$11</f>
        <v>0</v>
      </c>
      <c r="O29" s="18">
        <f>H29*'GS&lt;50 Predicted Monthly'!$V$12</f>
        <v>8079876.2161811106</v>
      </c>
      <c r="P29" s="18">
        <f>I29*'GS&lt;50 Predicted Monthly'!$V$13</f>
        <v>6336177.5132299382</v>
      </c>
      <c r="Q29" s="280">
        <f t="shared" ca="1" si="0"/>
        <v>10395678.476063339</v>
      </c>
    </row>
    <row r="30" spans="1:17" x14ac:dyDescent="0.25">
      <c r="A30" s="3">
        <f>'Monthly Data'!A30</f>
        <v>42856</v>
      </c>
      <c r="B30" s="1">
        <f t="shared" si="1"/>
        <v>2017</v>
      </c>
      <c r="C30" s="1">
        <f t="shared" si="2"/>
        <v>5</v>
      </c>
      <c r="D30" s="268">
        <f>'Monthly Data'!J30</f>
        <v>10255191.139574682</v>
      </c>
      <c r="E30" s="278">
        <f t="shared" ca="1" si="3"/>
        <v>103.25939244851259</v>
      </c>
      <c r="F30" s="278">
        <f t="shared" ca="1" si="3"/>
        <v>52.487435064935063</v>
      </c>
      <c r="G30" s="18">
        <f>'Monthly Data'!CG30</f>
        <v>0</v>
      </c>
      <c r="H30" s="4">
        <f>'Monthly Data'!CD30</f>
        <v>31</v>
      </c>
      <c r="I30" s="24">
        <f>'Monthly Data'!K30</f>
        <v>4160</v>
      </c>
      <c r="K30" s="18">
        <f>'GS&lt;50 Predicted Monthly'!$V$8</f>
        <v>-5629453.6994364997</v>
      </c>
      <c r="L30" s="18">
        <f ca="1">E30*'GS&lt;50 Predicted Monthly'!$V$9</f>
        <v>557690.20574517769</v>
      </c>
      <c r="M30" s="18">
        <f ca="1">F30*'GS&lt;50 Predicted Monthly'!$V$10</f>
        <v>662308.64000739844</v>
      </c>
      <c r="N30" s="18">
        <f>G30*'GS&lt;50 Predicted Monthly'!$V$11</f>
        <v>0</v>
      </c>
      <c r="O30" s="18">
        <f>H30*'GS&lt;50 Predicted Monthly'!$V$12</f>
        <v>8349205.4233871475</v>
      </c>
      <c r="P30" s="18">
        <f>I30*'GS&lt;50 Predicted Monthly'!$V$13</f>
        <v>6349915.3107772935</v>
      </c>
      <c r="Q30" s="280">
        <f t="shared" ca="1" si="0"/>
        <v>10289665.880480517</v>
      </c>
    </row>
    <row r="31" spans="1:17" x14ac:dyDescent="0.25">
      <c r="A31" s="3">
        <f>'Monthly Data'!A31</f>
        <v>42887</v>
      </c>
      <c r="B31" s="1">
        <f t="shared" si="1"/>
        <v>2017</v>
      </c>
      <c r="C31" s="1">
        <f t="shared" si="2"/>
        <v>6</v>
      </c>
      <c r="D31" s="268">
        <f>'Monthly Data'!J31</f>
        <v>10271714.846599523</v>
      </c>
      <c r="E31" s="278">
        <f t="shared" ca="1" si="3"/>
        <v>11.89069871794872</v>
      </c>
      <c r="F31" s="278">
        <f t="shared" ca="1" si="3"/>
        <v>137.65451754405018</v>
      </c>
      <c r="G31" s="18">
        <f>'Monthly Data'!CG31</f>
        <v>0</v>
      </c>
      <c r="H31" s="4">
        <f>'Monthly Data'!CD31</f>
        <v>30</v>
      </c>
      <c r="I31" s="24">
        <f>'Monthly Data'!K31</f>
        <v>4154</v>
      </c>
      <c r="K31" s="18">
        <f>'GS&lt;50 Predicted Monthly'!$V$8</f>
        <v>-5629453.6994364997</v>
      </c>
      <c r="L31" s="18">
        <f ca="1">E31*'GS&lt;50 Predicted Monthly'!$V$9</f>
        <v>64220.077779106323</v>
      </c>
      <c r="M31" s="18">
        <f ca="1">F31*'GS&lt;50 Predicted Monthly'!$V$10</f>
        <v>1736982.8834783668</v>
      </c>
      <c r="N31" s="18">
        <f>G31*'GS&lt;50 Predicted Monthly'!$V$11</f>
        <v>0</v>
      </c>
      <c r="O31" s="18">
        <f>H31*'GS&lt;50 Predicted Monthly'!$V$12</f>
        <v>8079876.2161811106</v>
      </c>
      <c r="P31" s="18">
        <f>I31*'GS&lt;50 Predicted Monthly'!$V$13</f>
        <v>6340756.7790790563</v>
      </c>
      <c r="Q31" s="280">
        <f t="shared" ca="1" si="0"/>
        <v>10592382.25708114</v>
      </c>
    </row>
    <row r="32" spans="1:17" x14ac:dyDescent="0.25">
      <c r="A32" s="3">
        <f>'Monthly Data'!A32</f>
        <v>42917</v>
      </c>
      <c r="B32" s="1">
        <f t="shared" si="1"/>
        <v>2017</v>
      </c>
      <c r="C32" s="1">
        <f t="shared" si="2"/>
        <v>7</v>
      </c>
      <c r="D32" s="268">
        <f>'Monthly Data'!J32</f>
        <v>11368071.321868924</v>
      </c>
      <c r="E32" s="278">
        <f t="shared" ca="1" si="3"/>
        <v>7.4583333333333002E-2</v>
      </c>
      <c r="F32" s="278">
        <f t="shared" ca="1" si="3"/>
        <v>235.94737858727848</v>
      </c>
      <c r="G32" s="18">
        <f>'Monthly Data'!CG32</f>
        <v>0</v>
      </c>
      <c r="H32" s="4">
        <f>'Monthly Data'!CD32</f>
        <v>31</v>
      </c>
      <c r="I32" s="24">
        <f>'Monthly Data'!K32</f>
        <v>4158</v>
      </c>
      <c r="K32" s="18">
        <f>'GS&lt;50 Predicted Monthly'!$V$8</f>
        <v>-5629453.6994364997</v>
      </c>
      <c r="L32" s="18">
        <f ca="1">E32*'GS&lt;50 Predicted Monthly'!$V$9</f>
        <v>402.81463531336908</v>
      </c>
      <c r="M32" s="18">
        <f ca="1">F32*'GS&lt;50 Predicted Monthly'!$V$10</f>
        <v>2977283.7486175704</v>
      </c>
      <c r="N32" s="18">
        <f>G32*'GS&lt;50 Predicted Monthly'!$V$11</f>
        <v>0</v>
      </c>
      <c r="O32" s="18">
        <f>H32*'GS&lt;50 Predicted Monthly'!$V$12</f>
        <v>8349205.4233871475</v>
      </c>
      <c r="P32" s="18">
        <f>I32*'GS&lt;50 Predicted Monthly'!$V$13</f>
        <v>6346862.4668778814</v>
      </c>
      <c r="Q32" s="280">
        <f t="shared" ca="1" si="0"/>
        <v>12044300.754081413</v>
      </c>
    </row>
    <row r="33" spans="1:17" x14ac:dyDescent="0.25">
      <c r="A33" s="3">
        <f>'Monthly Data'!A33</f>
        <v>42948</v>
      </c>
      <c r="B33" s="1">
        <f t="shared" si="1"/>
        <v>2017</v>
      </c>
      <c r="C33" s="1">
        <f t="shared" si="2"/>
        <v>8</v>
      </c>
      <c r="D33" s="268">
        <f>'Monthly Data'!J33</f>
        <v>11009225.659270091</v>
      </c>
      <c r="E33" s="278">
        <f t="shared" ca="1" si="3"/>
        <v>0.75041666666666718</v>
      </c>
      <c r="F33" s="278">
        <f t="shared" ca="1" si="3"/>
        <v>210.96558794466404</v>
      </c>
      <c r="G33" s="18">
        <f>'Monthly Data'!CG33</f>
        <v>0</v>
      </c>
      <c r="H33" s="4">
        <f>'Monthly Data'!CD33</f>
        <v>31</v>
      </c>
      <c r="I33" s="24">
        <f>'Monthly Data'!K33</f>
        <v>4157</v>
      </c>
      <c r="K33" s="18">
        <f>'GS&lt;50 Predicted Monthly'!$V$8</f>
        <v>-5629453.6994364997</v>
      </c>
      <c r="L33" s="18">
        <f ca="1">E33*'GS&lt;50 Predicted Monthly'!$V$9</f>
        <v>4052.9003251362087</v>
      </c>
      <c r="M33" s="18">
        <f ca="1">F33*'GS&lt;50 Predicted Monthly'!$V$10</f>
        <v>2662052.9554765075</v>
      </c>
      <c r="N33" s="18">
        <f>G33*'GS&lt;50 Predicted Monthly'!$V$11</f>
        <v>0</v>
      </c>
      <c r="O33" s="18">
        <f>H33*'GS&lt;50 Predicted Monthly'!$V$12</f>
        <v>8349205.4233871475</v>
      </c>
      <c r="P33" s="18">
        <f>I33*'GS&lt;50 Predicted Monthly'!$V$13</f>
        <v>6345336.0449281754</v>
      </c>
      <c r="Q33" s="280">
        <f t="shared" ca="1" si="0"/>
        <v>11731193.624680467</v>
      </c>
    </row>
    <row r="34" spans="1:17" x14ac:dyDescent="0.25">
      <c r="A34" s="3">
        <f>'Monthly Data'!A34</f>
        <v>42979</v>
      </c>
      <c r="B34" s="1">
        <f t="shared" si="1"/>
        <v>2017</v>
      </c>
      <c r="C34" s="1">
        <f t="shared" si="2"/>
        <v>9</v>
      </c>
      <c r="D34" s="268">
        <f>'Monthly Data'!J34</f>
        <v>10614412.668142477</v>
      </c>
      <c r="E34" s="278">
        <f t="shared" ref="E34:F53" ca="1" si="4">E22</f>
        <v>26.342536231884061</v>
      </c>
      <c r="F34" s="278">
        <f t="shared" ca="1" si="4"/>
        <v>106.4160119047619</v>
      </c>
      <c r="G34" s="18">
        <f>'Monthly Data'!CG34</f>
        <v>0</v>
      </c>
      <c r="H34" s="4">
        <f>'Monthly Data'!CD34</f>
        <v>30</v>
      </c>
      <c r="I34" s="24">
        <f>'Monthly Data'!K34</f>
        <v>4169</v>
      </c>
      <c r="K34" s="18">
        <f>'GS&lt;50 Predicted Monthly'!$V$8</f>
        <v>-5629453.6994364997</v>
      </c>
      <c r="L34" s="18">
        <f ca="1">E34*'GS&lt;50 Predicted Monthly'!$V$9</f>
        <v>142272.52458738282</v>
      </c>
      <c r="M34" s="18">
        <f ca="1">F34*'GS&lt;50 Predicted Monthly'!$V$10</f>
        <v>1342802.2160438786</v>
      </c>
      <c r="N34" s="18">
        <f>G34*'GS&lt;50 Predicted Monthly'!$V$11</f>
        <v>0</v>
      </c>
      <c r="O34" s="18">
        <f>H34*'GS&lt;50 Predicted Monthly'!$V$12</f>
        <v>8079876.2161811106</v>
      </c>
      <c r="P34" s="18">
        <f>I34*'GS&lt;50 Predicted Monthly'!$V$13</f>
        <v>6363653.1083246479</v>
      </c>
      <c r="Q34" s="280">
        <f t="shared" ref="Q34:Q65" ca="1" si="5">SUM(K34:P34)</f>
        <v>10299150.365700521</v>
      </c>
    </row>
    <row r="35" spans="1:17" x14ac:dyDescent="0.25">
      <c r="A35" s="3">
        <f>'Monthly Data'!A35</f>
        <v>43009</v>
      </c>
      <c r="B35" s="1">
        <f t="shared" si="1"/>
        <v>2017</v>
      </c>
      <c r="C35" s="1">
        <f t="shared" si="2"/>
        <v>10</v>
      </c>
      <c r="D35" s="268">
        <f>'Monthly Data'!J35</f>
        <v>10086644.014943147</v>
      </c>
      <c r="E35" s="278">
        <f t="shared" ca="1" si="4"/>
        <v>181.36347826086953</v>
      </c>
      <c r="F35" s="278">
        <f t="shared" ca="1" si="4"/>
        <v>17.987083333333334</v>
      </c>
      <c r="G35" s="18">
        <f>'Monthly Data'!CG35</f>
        <v>0</v>
      </c>
      <c r="H35" s="4">
        <f>'Monthly Data'!CD35</f>
        <v>31</v>
      </c>
      <c r="I35" s="24">
        <f>'Monthly Data'!K35</f>
        <v>4175</v>
      </c>
      <c r="K35" s="18">
        <f>'GS&lt;50 Predicted Monthly'!$V$8</f>
        <v>-5629453.6994364997</v>
      </c>
      <c r="L35" s="18">
        <f ca="1">E35*'GS&lt;50 Predicted Monthly'!$V$9</f>
        <v>979519.95559530659</v>
      </c>
      <c r="M35" s="18">
        <f ca="1">F35*'GS&lt;50 Predicted Monthly'!$V$10</f>
        <v>226968.61992706486</v>
      </c>
      <c r="N35" s="18">
        <f>G35*'GS&lt;50 Predicted Monthly'!$V$11</f>
        <v>0</v>
      </c>
      <c r="O35" s="18">
        <f>H35*'GS&lt;50 Predicted Monthly'!$V$12</f>
        <v>8349205.4233871475</v>
      </c>
      <c r="P35" s="18">
        <f>I35*'GS&lt;50 Predicted Monthly'!$V$13</f>
        <v>6372811.6400228841</v>
      </c>
      <c r="Q35" s="280">
        <f t="shared" ca="1" si="5"/>
        <v>10299051.939495903</v>
      </c>
    </row>
    <row r="36" spans="1:17" x14ac:dyDescent="0.25">
      <c r="A36" s="3">
        <f>'Monthly Data'!A36</f>
        <v>43040</v>
      </c>
      <c r="B36" s="1">
        <f t="shared" si="1"/>
        <v>2017</v>
      </c>
      <c r="C36" s="1">
        <f t="shared" si="2"/>
        <v>11</v>
      </c>
      <c r="D36" s="268">
        <f>'Monthly Data'!J36</f>
        <v>11102990.29685051</v>
      </c>
      <c r="E36" s="278">
        <f t="shared" ca="1" si="4"/>
        <v>366.78033055712399</v>
      </c>
      <c r="F36" s="278">
        <f t="shared" ca="1" si="4"/>
        <v>0.8083333333333329</v>
      </c>
      <c r="G36" s="18">
        <f>'Monthly Data'!CG36</f>
        <v>0</v>
      </c>
      <c r="H36" s="4">
        <f>'Monthly Data'!CD36</f>
        <v>30</v>
      </c>
      <c r="I36" s="24">
        <f>'Monthly Data'!K36</f>
        <v>4189</v>
      </c>
      <c r="K36" s="18">
        <f>'GS&lt;50 Predicted Monthly'!$V$8</f>
        <v>-5629453.6994364997</v>
      </c>
      <c r="L36" s="18">
        <f ca="1">E36*'GS&lt;50 Predicted Monthly'!$V$9</f>
        <v>1980931.6437115376</v>
      </c>
      <c r="M36" s="18">
        <f ca="1">F36*'GS&lt;50 Predicted Monthly'!$V$10</f>
        <v>10199.891650455318</v>
      </c>
      <c r="N36" s="18">
        <f>G36*'GS&lt;50 Predicted Monthly'!$V$11</f>
        <v>0</v>
      </c>
      <c r="O36" s="18">
        <f>H36*'GS&lt;50 Predicted Monthly'!$V$12</f>
        <v>8079876.2161811106</v>
      </c>
      <c r="P36" s="18">
        <f>I36*'GS&lt;50 Predicted Monthly'!$V$13</f>
        <v>6394181.5473187696</v>
      </c>
      <c r="Q36" s="280">
        <f t="shared" ca="1" si="5"/>
        <v>10835735.599425374</v>
      </c>
    </row>
    <row r="37" spans="1:17" x14ac:dyDescent="0.25">
      <c r="A37" s="3">
        <f>'Monthly Data'!A37</f>
        <v>43070</v>
      </c>
      <c r="B37" s="1">
        <f t="shared" si="1"/>
        <v>2017</v>
      </c>
      <c r="C37" s="1">
        <f t="shared" si="2"/>
        <v>12</v>
      </c>
      <c r="D37" s="268">
        <f>'Monthly Data'!J37</f>
        <v>12738018.510544082</v>
      </c>
      <c r="E37" s="278">
        <f t="shared" ca="1" si="4"/>
        <v>515.92800724637686</v>
      </c>
      <c r="F37" s="278">
        <f t="shared" ca="1" si="4"/>
        <v>0</v>
      </c>
      <c r="G37" s="18">
        <f>'Monthly Data'!CG37</f>
        <v>0</v>
      </c>
      <c r="H37" s="4">
        <f>'Monthly Data'!CD37</f>
        <v>31</v>
      </c>
      <c r="I37" s="24">
        <f>'Monthly Data'!K37</f>
        <v>4186</v>
      </c>
      <c r="K37" s="18">
        <f>'GS&lt;50 Predicted Monthly'!$V$8</f>
        <v>-5629453.6994364997</v>
      </c>
      <c r="L37" s="18">
        <f ca="1">E37*'GS&lt;50 Predicted Monthly'!$V$9</f>
        <v>2786458.3520031748</v>
      </c>
      <c r="M37" s="18">
        <f ca="1">F37*'GS&lt;50 Predicted Monthly'!$V$10</f>
        <v>0</v>
      </c>
      <c r="N37" s="18">
        <f>G37*'GS&lt;50 Predicted Monthly'!$V$11</f>
        <v>0</v>
      </c>
      <c r="O37" s="18">
        <f>H37*'GS&lt;50 Predicted Monthly'!$V$12</f>
        <v>8349205.4233871475</v>
      </c>
      <c r="P37" s="18">
        <f>I37*'GS&lt;50 Predicted Monthly'!$V$13</f>
        <v>6389602.2814696515</v>
      </c>
      <c r="Q37" s="280">
        <f t="shared" ca="1" si="5"/>
        <v>11895812.357423473</v>
      </c>
    </row>
    <row r="38" spans="1:17" x14ac:dyDescent="0.25">
      <c r="A38" s="3">
        <f>'Monthly Data'!A38</f>
        <v>43101</v>
      </c>
      <c r="B38" s="1">
        <f t="shared" si="1"/>
        <v>2018</v>
      </c>
      <c r="C38" s="1">
        <f t="shared" si="2"/>
        <v>1</v>
      </c>
      <c r="D38" s="268">
        <f>'Monthly Data'!J38</f>
        <v>13743847.236236988</v>
      </c>
      <c r="E38" s="278">
        <f t="shared" ca="1" si="4"/>
        <v>635.33418478260876</v>
      </c>
      <c r="F38" s="278">
        <f t="shared" ca="1" si="4"/>
        <v>0</v>
      </c>
      <c r="G38" s="18">
        <f>'Monthly Data'!CG38</f>
        <v>0</v>
      </c>
      <c r="H38" s="4">
        <f>'Monthly Data'!CD38</f>
        <v>31</v>
      </c>
      <c r="I38" s="24">
        <f>'Monthly Data'!K38</f>
        <v>4200</v>
      </c>
      <c r="K38" s="18">
        <f>'GS&lt;50 Predicted Monthly'!$V$8</f>
        <v>-5629453.6994364997</v>
      </c>
      <c r="L38" s="18">
        <f ca="1">E38*'GS&lt;50 Predicted Monthly'!$V$9</f>
        <v>3431355.1903283708</v>
      </c>
      <c r="M38" s="18">
        <f ca="1">F38*'GS&lt;50 Predicted Monthly'!$V$10</f>
        <v>0</v>
      </c>
      <c r="N38" s="18">
        <f>G38*'GS&lt;50 Predicted Monthly'!$V$11</f>
        <v>0</v>
      </c>
      <c r="O38" s="18">
        <f>H38*'GS&lt;50 Predicted Monthly'!$V$12</f>
        <v>8349205.4233871475</v>
      </c>
      <c r="P38" s="18">
        <f>I38*'GS&lt;50 Predicted Monthly'!$V$13</f>
        <v>6410972.1887655361</v>
      </c>
      <c r="Q38" s="280">
        <f t="shared" ca="1" si="5"/>
        <v>12562079.103044555</v>
      </c>
    </row>
    <row r="39" spans="1:17" x14ac:dyDescent="0.25">
      <c r="A39" s="3">
        <f>'Monthly Data'!A39</f>
        <v>43132</v>
      </c>
      <c r="B39" s="1">
        <f t="shared" si="1"/>
        <v>2018</v>
      </c>
      <c r="C39" s="1">
        <f t="shared" si="2"/>
        <v>2</v>
      </c>
      <c r="D39" s="268">
        <f>'Monthly Data'!J39</f>
        <v>11791318.027232353</v>
      </c>
      <c r="E39" s="278">
        <f t="shared" ca="1" si="4"/>
        <v>567.65501811594208</v>
      </c>
      <c r="F39" s="278">
        <f t="shared" ca="1" si="4"/>
        <v>0</v>
      </c>
      <c r="G39" s="18">
        <f>'Monthly Data'!CG39</f>
        <v>0</v>
      </c>
      <c r="H39" s="4">
        <f>'Monthly Data'!CD39</f>
        <v>28</v>
      </c>
      <c r="I39" s="24">
        <f>'Monthly Data'!K39</f>
        <v>4210</v>
      </c>
      <c r="K39" s="18">
        <f>'GS&lt;50 Predicted Monthly'!$V$8</f>
        <v>-5629453.6994364997</v>
      </c>
      <c r="L39" s="18">
        <f ca="1">E39*'GS&lt;50 Predicted Monthly'!$V$9</f>
        <v>3065829.0382951256</v>
      </c>
      <c r="M39" s="18">
        <f ca="1">F39*'GS&lt;50 Predicted Monthly'!$V$10</f>
        <v>0</v>
      </c>
      <c r="N39" s="18">
        <f>G39*'GS&lt;50 Predicted Monthly'!$V$11</f>
        <v>0</v>
      </c>
      <c r="O39" s="18">
        <f>H39*'GS&lt;50 Predicted Monthly'!$V$12</f>
        <v>7541217.8017690368</v>
      </c>
      <c r="P39" s="18">
        <f>I39*'GS&lt;50 Predicted Monthly'!$V$13</f>
        <v>6426236.4082625974</v>
      </c>
      <c r="Q39" s="280">
        <f t="shared" ca="1" si="5"/>
        <v>11403829.548890259</v>
      </c>
    </row>
    <row r="40" spans="1:17" x14ac:dyDescent="0.25">
      <c r="A40" s="3">
        <f>'Monthly Data'!A40</f>
        <v>43160</v>
      </c>
      <c r="B40" s="1">
        <f t="shared" si="1"/>
        <v>2018</v>
      </c>
      <c r="C40" s="1">
        <f t="shared" si="2"/>
        <v>3</v>
      </c>
      <c r="D40" s="268">
        <f>'Monthly Data'!J40</f>
        <v>12122391.504287651</v>
      </c>
      <c r="E40" s="278">
        <f t="shared" ca="1" si="4"/>
        <v>484.13298913043479</v>
      </c>
      <c r="F40" s="278">
        <f t="shared" ca="1" si="4"/>
        <v>0</v>
      </c>
      <c r="G40" s="18">
        <f>'Monthly Data'!CG40</f>
        <v>0</v>
      </c>
      <c r="H40" s="4">
        <f>'Monthly Data'!CD40</f>
        <v>31</v>
      </c>
      <c r="I40" s="24">
        <f>'Monthly Data'!K40</f>
        <v>4215</v>
      </c>
      <c r="K40" s="18">
        <f>'GS&lt;50 Predicted Monthly'!$V$8</f>
        <v>-5629453.6994364997</v>
      </c>
      <c r="L40" s="18">
        <f ca="1">E40*'GS&lt;50 Predicted Monthly'!$V$9</f>
        <v>2614737.7000189708</v>
      </c>
      <c r="M40" s="18">
        <f ca="1">F40*'GS&lt;50 Predicted Monthly'!$V$10</f>
        <v>0</v>
      </c>
      <c r="N40" s="18">
        <f>G40*'GS&lt;50 Predicted Monthly'!$V$11</f>
        <v>0</v>
      </c>
      <c r="O40" s="18">
        <f>H40*'GS&lt;50 Predicted Monthly'!$V$12</f>
        <v>8349205.4233871475</v>
      </c>
      <c r="P40" s="18">
        <f>I40*'GS&lt;50 Predicted Monthly'!$V$13</f>
        <v>6433868.5180111276</v>
      </c>
      <c r="Q40" s="280">
        <f t="shared" ca="1" si="5"/>
        <v>11768357.941980746</v>
      </c>
    </row>
    <row r="41" spans="1:17" x14ac:dyDescent="0.25">
      <c r="A41" s="3">
        <f>'Monthly Data'!A41</f>
        <v>43191</v>
      </c>
      <c r="B41" s="1">
        <f t="shared" si="1"/>
        <v>2018</v>
      </c>
      <c r="C41" s="1">
        <f t="shared" si="2"/>
        <v>4</v>
      </c>
      <c r="D41" s="268">
        <f>'Monthly Data'!J41</f>
        <v>11217887.058367977</v>
      </c>
      <c r="E41" s="278">
        <f t="shared" ca="1" si="4"/>
        <v>292.81107954545462</v>
      </c>
      <c r="F41" s="278">
        <f t="shared" ca="1" si="4"/>
        <v>2.1908333333333347</v>
      </c>
      <c r="G41" s="18">
        <f>'Monthly Data'!CG41</f>
        <v>0</v>
      </c>
      <c r="H41" s="4">
        <f>'Monthly Data'!CD41</f>
        <v>30</v>
      </c>
      <c r="I41" s="24">
        <f>'Monthly Data'!K41</f>
        <v>4218</v>
      </c>
      <c r="K41" s="18">
        <f>'GS&lt;50 Predicted Monthly'!$V$8</f>
        <v>-5629453.6994364997</v>
      </c>
      <c r="L41" s="18">
        <f ca="1">E41*'GS&lt;50 Predicted Monthly'!$V$9</f>
        <v>1581433.5851103917</v>
      </c>
      <c r="M41" s="18">
        <f ca="1">F41*'GS&lt;50 Predicted Monthly'!$V$10</f>
        <v>27644.860978399032</v>
      </c>
      <c r="N41" s="18">
        <f>G41*'GS&lt;50 Predicted Monthly'!$V$11</f>
        <v>0</v>
      </c>
      <c r="O41" s="18">
        <f>H41*'GS&lt;50 Predicted Monthly'!$V$12</f>
        <v>8079876.2161811106</v>
      </c>
      <c r="P41" s="18">
        <f>I41*'GS&lt;50 Predicted Monthly'!$V$13</f>
        <v>6438447.7838602457</v>
      </c>
      <c r="Q41" s="280">
        <f t="shared" ca="1" si="5"/>
        <v>10497948.746693647</v>
      </c>
    </row>
    <row r="42" spans="1:17" x14ac:dyDescent="0.25">
      <c r="A42" s="3">
        <f>'Monthly Data'!A42</f>
        <v>43221</v>
      </c>
      <c r="B42" s="1">
        <f t="shared" si="1"/>
        <v>2018</v>
      </c>
      <c r="C42" s="1">
        <f t="shared" si="2"/>
        <v>5</v>
      </c>
      <c r="D42" s="268">
        <f>'Monthly Data'!J42</f>
        <v>10536315.185701128</v>
      </c>
      <c r="E42" s="278">
        <f t="shared" ca="1" si="4"/>
        <v>103.25939244851259</v>
      </c>
      <c r="F42" s="278">
        <f t="shared" ca="1" si="4"/>
        <v>52.487435064935063</v>
      </c>
      <c r="G42" s="18">
        <f>'Monthly Data'!CG42</f>
        <v>0</v>
      </c>
      <c r="H42" s="4">
        <f>'Monthly Data'!CD42</f>
        <v>31</v>
      </c>
      <c r="I42" s="24">
        <f>'Monthly Data'!K42</f>
        <v>4162</v>
      </c>
      <c r="K42" s="18">
        <f>'GS&lt;50 Predicted Monthly'!$V$8</f>
        <v>-5629453.6994364997</v>
      </c>
      <c r="L42" s="18">
        <f ca="1">E42*'GS&lt;50 Predicted Monthly'!$V$9</f>
        <v>557690.20574517769</v>
      </c>
      <c r="M42" s="18">
        <f ca="1">F42*'GS&lt;50 Predicted Monthly'!$V$10</f>
        <v>662308.64000739844</v>
      </c>
      <c r="N42" s="18">
        <f>G42*'GS&lt;50 Predicted Monthly'!$V$11</f>
        <v>0</v>
      </c>
      <c r="O42" s="18">
        <f>H42*'GS&lt;50 Predicted Monthly'!$V$12</f>
        <v>8349205.4233871475</v>
      </c>
      <c r="P42" s="18">
        <f>I42*'GS&lt;50 Predicted Monthly'!$V$13</f>
        <v>6352968.1546767056</v>
      </c>
      <c r="Q42" s="280">
        <f t="shared" ca="1" si="5"/>
        <v>10292718.724379929</v>
      </c>
    </row>
    <row r="43" spans="1:17" x14ac:dyDescent="0.25">
      <c r="A43" s="3">
        <f>'Monthly Data'!A43</f>
        <v>43252</v>
      </c>
      <c r="B43" s="1">
        <f t="shared" si="1"/>
        <v>2018</v>
      </c>
      <c r="C43" s="1">
        <f t="shared" si="2"/>
        <v>6</v>
      </c>
      <c r="D43" s="268">
        <f>'Monthly Data'!J43</f>
        <v>10734643.372216791</v>
      </c>
      <c r="E43" s="278">
        <f t="shared" ca="1" si="4"/>
        <v>11.89069871794872</v>
      </c>
      <c r="F43" s="278">
        <f t="shared" ca="1" si="4"/>
        <v>137.65451754405018</v>
      </c>
      <c r="G43" s="18">
        <f>'Monthly Data'!CG43</f>
        <v>0</v>
      </c>
      <c r="H43" s="4">
        <f>'Monthly Data'!CD43</f>
        <v>30</v>
      </c>
      <c r="I43" s="24">
        <f>'Monthly Data'!K43</f>
        <v>4160</v>
      </c>
      <c r="K43" s="18">
        <f>'GS&lt;50 Predicted Monthly'!$V$8</f>
        <v>-5629453.6994364997</v>
      </c>
      <c r="L43" s="18">
        <f ca="1">E43*'GS&lt;50 Predicted Monthly'!$V$9</f>
        <v>64220.077779106323</v>
      </c>
      <c r="M43" s="18">
        <f ca="1">F43*'GS&lt;50 Predicted Monthly'!$V$10</f>
        <v>1736982.8834783668</v>
      </c>
      <c r="N43" s="18">
        <f>G43*'GS&lt;50 Predicted Monthly'!$V$11</f>
        <v>0</v>
      </c>
      <c r="O43" s="18">
        <f>H43*'GS&lt;50 Predicted Monthly'!$V$12</f>
        <v>8079876.2161811106</v>
      </c>
      <c r="P43" s="18">
        <f>I43*'GS&lt;50 Predicted Monthly'!$V$13</f>
        <v>6349915.3107772935</v>
      </c>
      <c r="Q43" s="280">
        <f t="shared" ca="1" si="5"/>
        <v>10601540.788779378</v>
      </c>
    </row>
    <row r="44" spans="1:17" x14ac:dyDescent="0.25">
      <c r="A44" s="3">
        <f>'Monthly Data'!A44</f>
        <v>43282</v>
      </c>
      <c r="B44" s="1">
        <f t="shared" si="1"/>
        <v>2018</v>
      </c>
      <c r="C44" s="1">
        <f t="shared" si="2"/>
        <v>7</v>
      </c>
      <c r="D44" s="268">
        <f>'Monthly Data'!J44</f>
        <v>12267261.026286196</v>
      </c>
      <c r="E44" s="278">
        <f t="shared" ca="1" si="4"/>
        <v>7.4583333333333002E-2</v>
      </c>
      <c r="F44" s="278">
        <f t="shared" ca="1" si="4"/>
        <v>235.94737858727848</v>
      </c>
      <c r="G44" s="18">
        <f>'Monthly Data'!CG44</f>
        <v>0</v>
      </c>
      <c r="H44" s="4">
        <f>'Monthly Data'!CD44</f>
        <v>31</v>
      </c>
      <c r="I44" s="24">
        <f>'Monthly Data'!K44</f>
        <v>4168</v>
      </c>
      <c r="K44" s="18">
        <f>'GS&lt;50 Predicted Monthly'!$V$8</f>
        <v>-5629453.6994364997</v>
      </c>
      <c r="L44" s="18">
        <f ca="1">E44*'GS&lt;50 Predicted Monthly'!$V$9</f>
        <v>402.81463531336908</v>
      </c>
      <c r="M44" s="18">
        <f ca="1">F44*'GS&lt;50 Predicted Monthly'!$V$10</f>
        <v>2977283.7486175704</v>
      </c>
      <c r="N44" s="18">
        <f>G44*'GS&lt;50 Predicted Monthly'!$V$11</f>
        <v>0</v>
      </c>
      <c r="O44" s="18">
        <f>H44*'GS&lt;50 Predicted Monthly'!$V$12</f>
        <v>8349205.4233871475</v>
      </c>
      <c r="P44" s="18">
        <f>I44*'GS&lt;50 Predicted Monthly'!$V$13</f>
        <v>6362126.6863749418</v>
      </c>
      <c r="Q44" s="280">
        <f t="shared" ca="1" si="5"/>
        <v>12059564.973578474</v>
      </c>
    </row>
    <row r="45" spans="1:17" x14ac:dyDescent="0.25">
      <c r="A45" s="3">
        <f>'Monthly Data'!A45</f>
        <v>43313</v>
      </c>
      <c r="B45" s="1">
        <f t="shared" si="1"/>
        <v>2018</v>
      </c>
      <c r="C45" s="1">
        <f t="shared" si="2"/>
        <v>8</v>
      </c>
      <c r="D45" s="268">
        <f>'Monthly Data'!J45</f>
        <v>12704659.584958429</v>
      </c>
      <c r="E45" s="278">
        <f t="shared" ca="1" si="4"/>
        <v>0.75041666666666718</v>
      </c>
      <c r="F45" s="278">
        <f t="shared" ca="1" si="4"/>
        <v>210.96558794466404</v>
      </c>
      <c r="G45" s="18">
        <f>'Monthly Data'!CG45</f>
        <v>0</v>
      </c>
      <c r="H45" s="4">
        <f>'Monthly Data'!CD45</f>
        <v>31</v>
      </c>
      <c r="I45" s="24">
        <f>'Monthly Data'!K45</f>
        <v>4184</v>
      </c>
      <c r="K45" s="18">
        <f>'GS&lt;50 Predicted Monthly'!$V$8</f>
        <v>-5629453.6994364997</v>
      </c>
      <c r="L45" s="18">
        <f ca="1">E45*'GS&lt;50 Predicted Monthly'!$V$9</f>
        <v>4052.9003251362087</v>
      </c>
      <c r="M45" s="18">
        <f ca="1">F45*'GS&lt;50 Predicted Monthly'!$V$10</f>
        <v>2662052.9554765075</v>
      </c>
      <c r="N45" s="18">
        <f>G45*'GS&lt;50 Predicted Monthly'!$V$11</f>
        <v>0</v>
      </c>
      <c r="O45" s="18">
        <f>H45*'GS&lt;50 Predicted Monthly'!$V$12</f>
        <v>8349205.4233871475</v>
      </c>
      <c r="P45" s="18">
        <f>I45*'GS&lt;50 Predicted Monthly'!$V$13</f>
        <v>6386549.4375702394</v>
      </c>
      <c r="Q45" s="280">
        <f t="shared" ca="1" si="5"/>
        <v>11772407.017322531</v>
      </c>
    </row>
    <row r="46" spans="1:17" x14ac:dyDescent="0.25">
      <c r="A46" s="3">
        <f>'Monthly Data'!A46</f>
        <v>43344</v>
      </c>
      <c r="B46" s="1">
        <f t="shared" si="1"/>
        <v>2018</v>
      </c>
      <c r="C46" s="1">
        <f t="shared" si="2"/>
        <v>9</v>
      </c>
      <c r="D46" s="268">
        <f>'Monthly Data'!J46</f>
        <v>11179301.159690389</v>
      </c>
      <c r="E46" s="278">
        <f t="shared" ca="1" si="4"/>
        <v>26.342536231884061</v>
      </c>
      <c r="F46" s="278">
        <f t="shared" ca="1" si="4"/>
        <v>106.4160119047619</v>
      </c>
      <c r="G46" s="18">
        <f>'Monthly Data'!CG46</f>
        <v>0</v>
      </c>
      <c r="H46" s="4">
        <f>'Monthly Data'!CD46</f>
        <v>30</v>
      </c>
      <c r="I46" s="24">
        <f>'Monthly Data'!K46</f>
        <v>4221</v>
      </c>
      <c r="K46" s="18">
        <f>'GS&lt;50 Predicted Monthly'!$V$8</f>
        <v>-5629453.6994364997</v>
      </c>
      <c r="L46" s="18">
        <f ca="1">E46*'GS&lt;50 Predicted Monthly'!$V$9</f>
        <v>142272.52458738282</v>
      </c>
      <c r="M46" s="18">
        <f ca="1">F46*'GS&lt;50 Predicted Monthly'!$V$10</f>
        <v>1342802.2160438786</v>
      </c>
      <c r="N46" s="18">
        <f>G46*'GS&lt;50 Predicted Monthly'!$V$11</f>
        <v>0</v>
      </c>
      <c r="O46" s="18">
        <f>H46*'GS&lt;50 Predicted Monthly'!$V$12</f>
        <v>8079876.2161811106</v>
      </c>
      <c r="P46" s="18">
        <f>I46*'GS&lt;50 Predicted Monthly'!$V$13</f>
        <v>6443027.0497093638</v>
      </c>
      <c r="Q46" s="280">
        <f t="shared" ca="1" si="5"/>
        <v>10378524.307085235</v>
      </c>
    </row>
    <row r="47" spans="1:17" x14ac:dyDescent="0.25">
      <c r="A47" s="3">
        <f>'Monthly Data'!A47</f>
        <v>43374</v>
      </c>
      <c r="B47" s="1">
        <f t="shared" si="1"/>
        <v>2018</v>
      </c>
      <c r="C47" s="1">
        <f t="shared" si="2"/>
        <v>10</v>
      </c>
      <c r="D47" s="268">
        <f>'Monthly Data'!J47</f>
        <v>11018001.264524272</v>
      </c>
      <c r="E47" s="278">
        <f t="shared" ca="1" si="4"/>
        <v>181.36347826086953</v>
      </c>
      <c r="F47" s="278">
        <f t="shared" ca="1" si="4"/>
        <v>17.987083333333334</v>
      </c>
      <c r="G47" s="18">
        <f>'Monthly Data'!CG47</f>
        <v>0</v>
      </c>
      <c r="H47" s="4">
        <f>'Monthly Data'!CD47</f>
        <v>31</v>
      </c>
      <c r="I47" s="24">
        <f>'Monthly Data'!K47</f>
        <v>4238</v>
      </c>
      <c r="K47" s="18">
        <f>'GS&lt;50 Predicted Monthly'!$V$8</f>
        <v>-5629453.6994364997</v>
      </c>
      <c r="L47" s="18">
        <f ca="1">E47*'GS&lt;50 Predicted Monthly'!$V$9</f>
        <v>979519.95559530659</v>
      </c>
      <c r="M47" s="18">
        <f ca="1">F47*'GS&lt;50 Predicted Monthly'!$V$10</f>
        <v>226968.61992706486</v>
      </c>
      <c r="N47" s="18">
        <f>G47*'GS&lt;50 Predicted Monthly'!$V$11</f>
        <v>0</v>
      </c>
      <c r="O47" s="18">
        <f>H47*'GS&lt;50 Predicted Monthly'!$V$12</f>
        <v>8349205.4233871475</v>
      </c>
      <c r="P47" s="18">
        <f>I47*'GS&lt;50 Predicted Monthly'!$V$13</f>
        <v>6468976.2228543675</v>
      </c>
      <c r="Q47" s="280">
        <f t="shared" ca="1" si="5"/>
        <v>10395216.522327386</v>
      </c>
    </row>
    <row r="48" spans="1:17" x14ac:dyDescent="0.25">
      <c r="A48" s="3">
        <f>'Monthly Data'!A48</f>
        <v>43405</v>
      </c>
      <c r="B48" s="1">
        <f t="shared" si="1"/>
        <v>2018</v>
      </c>
      <c r="C48" s="1">
        <f t="shared" si="2"/>
        <v>11</v>
      </c>
      <c r="D48" s="268">
        <f>'Monthly Data'!J48</f>
        <v>11411106.129039779</v>
      </c>
      <c r="E48" s="278">
        <f t="shared" ca="1" si="4"/>
        <v>366.78033055712399</v>
      </c>
      <c r="F48" s="278">
        <f t="shared" ca="1" si="4"/>
        <v>0.8083333333333329</v>
      </c>
      <c r="G48" s="18">
        <f>'Monthly Data'!CG48</f>
        <v>0</v>
      </c>
      <c r="H48" s="4">
        <f>'Monthly Data'!CD48</f>
        <v>30</v>
      </c>
      <c r="I48" s="24">
        <f>'Monthly Data'!K48</f>
        <v>4206</v>
      </c>
      <c r="K48" s="18">
        <f>'GS&lt;50 Predicted Monthly'!$V$8</f>
        <v>-5629453.6994364997</v>
      </c>
      <c r="L48" s="18">
        <f ca="1">E48*'GS&lt;50 Predicted Monthly'!$V$9</f>
        <v>1980931.6437115376</v>
      </c>
      <c r="M48" s="18">
        <f ca="1">F48*'GS&lt;50 Predicted Monthly'!$V$10</f>
        <v>10199.891650455318</v>
      </c>
      <c r="N48" s="18">
        <f>G48*'GS&lt;50 Predicted Monthly'!$V$11</f>
        <v>0</v>
      </c>
      <c r="O48" s="18">
        <f>H48*'GS&lt;50 Predicted Monthly'!$V$12</f>
        <v>8079876.2161811106</v>
      </c>
      <c r="P48" s="18">
        <f>I48*'GS&lt;50 Predicted Monthly'!$V$13</f>
        <v>6420130.7204637732</v>
      </c>
      <c r="Q48" s="280">
        <f t="shared" ca="1" si="5"/>
        <v>10861684.772570377</v>
      </c>
    </row>
    <row r="49" spans="1:17" x14ac:dyDescent="0.25">
      <c r="A49" s="3">
        <f>'Monthly Data'!A49</f>
        <v>43435</v>
      </c>
      <c r="B49" s="1">
        <f t="shared" si="1"/>
        <v>2018</v>
      </c>
      <c r="C49" s="1">
        <f t="shared" si="2"/>
        <v>12</v>
      </c>
      <c r="D49" s="268">
        <f>'Monthly Data'!J49</f>
        <v>11879583.682943571</v>
      </c>
      <c r="E49" s="278">
        <f t="shared" ca="1" si="4"/>
        <v>515.92800724637686</v>
      </c>
      <c r="F49" s="278">
        <f t="shared" ca="1" si="4"/>
        <v>0</v>
      </c>
      <c r="G49" s="18">
        <f>'Monthly Data'!CG49</f>
        <v>0</v>
      </c>
      <c r="H49" s="4">
        <f>'Monthly Data'!CD49</f>
        <v>31</v>
      </c>
      <c r="I49" s="24">
        <f>'Monthly Data'!K49</f>
        <v>4210</v>
      </c>
      <c r="K49" s="18">
        <f>'GS&lt;50 Predicted Monthly'!$V$8</f>
        <v>-5629453.6994364997</v>
      </c>
      <c r="L49" s="18">
        <f ca="1">E49*'GS&lt;50 Predicted Monthly'!$V$9</f>
        <v>2786458.3520031748</v>
      </c>
      <c r="M49" s="18">
        <f ca="1">F49*'GS&lt;50 Predicted Monthly'!$V$10</f>
        <v>0</v>
      </c>
      <c r="N49" s="18">
        <f>G49*'GS&lt;50 Predicted Monthly'!$V$11</f>
        <v>0</v>
      </c>
      <c r="O49" s="18">
        <f>H49*'GS&lt;50 Predicted Monthly'!$V$12</f>
        <v>8349205.4233871475</v>
      </c>
      <c r="P49" s="18">
        <f>I49*'GS&lt;50 Predicted Monthly'!$V$13</f>
        <v>6426236.4082625974</v>
      </c>
      <c r="Q49" s="280">
        <f t="shared" ca="1" si="5"/>
        <v>11932446.48421642</v>
      </c>
    </row>
    <row r="50" spans="1:17" x14ac:dyDescent="0.25">
      <c r="A50" s="3">
        <f>'Monthly Data'!A50</f>
        <v>43466</v>
      </c>
      <c r="B50" s="1">
        <f t="shared" si="1"/>
        <v>2019</v>
      </c>
      <c r="C50" s="1">
        <f t="shared" si="2"/>
        <v>1</v>
      </c>
      <c r="D50" s="268">
        <f>'Monthly Data'!J50</f>
        <v>12427019.357755447</v>
      </c>
      <c r="E50" s="278">
        <f t="shared" ca="1" si="4"/>
        <v>635.33418478260876</v>
      </c>
      <c r="F50" s="278">
        <f t="shared" ca="1" si="4"/>
        <v>0</v>
      </c>
      <c r="G50" s="18">
        <f>'Monthly Data'!CG50</f>
        <v>0</v>
      </c>
      <c r="H50" s="4">
        <f>'Monthly Data'!CD50</f>
        <v>31</v>
      </c>
      <c r="I50" s="24">
        <f>'Monthly Data'!K50</f>
        <v>4216</v>
      </c>
      <c r="K50" s="18">
        <f>'GS&lt;50 Predicted Monthly'!$V$8</f>
        <v>-5629453.6994364997</v>
      </c>
      <c r="L50" s="18">
        <f ca="1">E50*'GS&lt;50 Predicted Monthly'!$V$9</f>
        <v>3431355.1903283708</v>
      </c>
      <c r="M50" s="18">
        <f ca="1">F50*'GS&lt;50 Predicted Monthly'!$V$10</f>
        <v>0</v>
      </c>
      <c r="N50" s="18">
        <f>G50*'GS&lt;50 Predicted Monthly'!$V$11</f>
        <v>0</v>
      </c>
      <c r="O50" s="18">
        <f>H50*'GS&lt;50 Predicted Monthly'!$V$12</f>
        <v>8349205.4233871475</v>
      </c>
      <c r="P50" s="18">
        <f>I50*'GS&lt;50 Predicted Monthly'!$V$13</f>
        <v>6435394.9399608336</v>
      </c>
      <c r="Q50" s="280">
        <f t="shared" ca="1" si="5"/>
        <v>12586501.854239851</v>
      </c>
    </row>
    <row r="51" spans="1:17" x14ac:dyDescent="0.25">
      <c r="A51" s="3">
        <f>'Monthly Data'!A51</f>
        <v>43497</v>
      </c>
      <c r="B51" s="1">
        <f t="shared" si="1"/>
        <v>2019</v>
      </c>
      <c r="C51" s="1">
        <f t="shared" si="2"/>
        <v>2</v>
      </c>
      <c r="D51" s="268">
        <f>'Monthly Data'!J51</f>
        <v>10817934.01399897</v>
      </c>
      <c r="E51" s="278">
        <f t="shared" ca="1" si="4"/>
        <v>567.65501811594208</v>
      </c>
      <c r="F51" s="278">
        <f t="shared" ca="1" si="4"/>
        <v>0</v>
      </c>
      <c r="G51" s="18">
        <f>'Monthly Data'!CG51</f>
        <v>0</v>
      </c>
      <c r="H51" s="4">
        <f>'Monthly Data'!CD51</f>
        <v>28</v>
      </c>
      <c r="I51" s="24">
        <f>'Monthly Data'!K51</f>
        <v>4209</v>
      </c>
      <c r="K51" s="18">
        <f>'GS&lt;50 Predicted Monthly'!$V$8</f>
        <v>-5629453.6994364997</v>
      </c>
      <c r="L51" s="18">
        <f ca="1">E51*'GS&lt;50 Predicted Monthly'!$V$9</f>
        <v>3065829.0382951256</v>
      </c>
      <c r="M51" s="18">
        <f ca="1">F51*'GS&lt;50 Predicted Monthly'!$V$10</f>
        <v>0</v>
      </c>
      <c r="N51" s="18">
        <f>G51*'GS&lt;50 Predicted Monthly'!$V$11</f>
        <v>0</v>
      </c>
      <c r="O51" s="18">
        <f>H51*'GS&lt;50 Predicted Monthly'!$V$12</f>
        <v>7541217.8017690368</v>
      </c>
      <c r="P51" s="18">
        <f>I51*'GS&lt;50 Predicted Monthly'!$V$13</f>
        <v>6424709.9863128914</v>
      </c>
      <c r="Q51" s="280">
        <f t="shared" ca="1" si="5"/>
        <v>11402303.126940554</v>
      </c>
    </row>
    <row r="52" spans="1:17" x14ac:dyDescent="0.25">
      <c r="A52" s="3">
        <f>'Monthly Data'!A52</f>
        <v>43525</v>
      </c>
      <c r="B52" s="1">
        <f t="shared" si="1"/>
        <v>2019</v>
      </c>
      <c r="C52" s="1">
        <f t="shared" si="2"/>
        <v>3</v>
      </c>
      <c r="D52" s="268">
        <f>'Monthly Data'!J52</f>
        <v>11178126.224762458</v>
      </c>
      <c r="E52" s="278">
        <f t="shared" ca="1" si="4"/>
        <v>484.13298913043479</v>
      </c>
      <c r="F52" s="278">
        <f t="shared" ca="1" si="4"/>
        <v>0</v>
      </c>
      <c r="G52" s="18">
        <f>'Monthly Data'!CG52</f>
        <v>0</v>
      </c>
      <c r="H52" s="4">
        <f>'Monthly Data'!CD52</f>
        <v>31</v>
      </c>
      <c r="I52" s="24">
        <f>'Monthly Data'!K52</f>
        <v>4202</v>
      </c>
      <c r="K52" s="18">
        <f>'GS&lt;50 Predicted Monthly'!$V$8</f>
        <v>-5629453.6994364997</v>
      </c>
      <c r="L52" s="18">
        <f ca="1">E52*'GS&lt;50 Predicted Monthly'!$V$9</f>
        <v>2614737.7000189708</v>
      </c>
      <c r="M52" s="18">
        <f ca="1">F52*'GS&lt;50 Predicted Monthly'!$V$10</f>
        <v>0</v>
      </c>
      <c r="N52" s="18">
        <f>G52*'GS&lt;50 Predicted Monthly'!$V$11</f>
        <v>0</v>
      </c>
      <c r="O52" s="18">
        <f>H52*'GS&lt;50 Predicted Monthly'!$V$12</f>
        <v>8349205.4233871475</v>
      </c>
      <c r="P52" s="18">
        <f>I52*'GS&lt;50 Predicted Monthly'!$V$13</f>
        <v>6414025.0326649491</v>
      </c>
      <c r="Q52" s="280">
        <f t="shared" ca="1" si="5"/>
        <v>11748514.456634568</v>
      </c>
    </row>
    <row r="53" spans="1:17" x14ac:dyDescent="0.25">
      <c r="A53" s="3">
        <f>'Monthly Data'!A53</f>
        <v>43556</v>
      </c>
      <c r="B53" s="1">
        <f t="shared" si="1"/>
        <v>2019</v>
      </c>
      <c r="C53" s="1">
        <f t="shared" si="2"/>
        <v>4</v>
      </c>
      <c r="D53" s="268">
        <f>'Monthly Data'!J53</f>
        <v>9605223.0161340497</v>
      </c>
      <c r="E53" s="278">
        <f t="shared" ca="1" si="4"/>
        <v>292.81107954545462</v>
      </c>
      <c r="F53" s="278">
        <f t="shared" ca="1" si="4"/>
        <v>2.1908333333333347</v>
      </c>
      <c r="G53" s="18">
        <f>'Monthly Data'!CG53</f>
        <v>0</v>
      </c>
      <c r="H53" s="4">
        <f>'Monthly Data'!CD53</f>
        <v>30</v>
      </c>
      <c r="I53" s="24">
        <f>'Monthly Data'!K53</f>
        <v>4202</v>
      </c>
      <c r="K53" s="18">
        <f>'GS&lt;50 Predicted Monthly'!$V$8</f>
        <v>-5629453.6994364997</v>
      </c>
      <c r="L53" s="18">
        <f ca="1">E53*'GS&lt;50 Predicted Monthly'!$V$9</f>
        <v>1581433.5851103917</v>
      </c>
      <c r="M53" s="18">
        <f ca="1">F53*'GS&lt;50 Predicted Monthly'!$V$10</f>
        <v>27644.860978399032</v>
      </c>
      <c r="N53" s="18">
        <f>G53*'GS&lt;50 Predicted Monthly'!$V$11</f>
        <v>0</v>
      </c>
      <c r="O53" s="18">
        <f>H53*'GS&lt;50 Predicted Monthly'!$V$12</f>
        <v>8079876.2161811106</v>
      </c>
      <c r="P53" s="18">
        <f>I53*'GS&lt;50 Predicted Monthly'!$V$13</f>
        <v>6414025.0326649491</v>
      </c>
      <c r="Q53" s="280">
        <f t="shared" ca="1" si="5"/>
        <v>10473525.99549835</v>
      </c>
    </row>
    <row r="54" spans="1:17" x14ac:dyDescent="0.25">
      <c r="A54" s="3">
        <f>'Monthly Data'!A54</f>
        <v>43586</v>
      </c>
      <c r="B54" s="1">
        <f t="shared" si="1"/>
        <v>2019</v>
      </c>
      <c r="C54" s="1">
        <f t="shared" si="2"/>
        <v>5</v>
      </c>
      <c r="D54" s="268">
        <f>'Monthly Data'!J54</f>
        <v>9221277.1523471624</v>
      </c>
      <c r="E54" s="278">
        <f t="shared" ref="E54:F73" ca="1" si="6">E42</f>
        <v>103.25939244851259</v>
      </c>
      <c r="F54" s="278">
        <f t="shared" ca="1" si="6"/>
        <v>52.487435064935063</v>
      </c>
      <c r="G54" s="18">
        <f>'Monthly Data'!CG54</f>
        <v>0</v>
      </c>
      <c r="H54" s="4">
        <f>'Monthly Data'!CD54</f>
        <v>31</v>
      </c>
      <c r="I54" s="24">
        <f>'Monthly Data'!K54</f>
        <v>4196</v>
      </c>
      <c r="K54" s="18">
        <f>'GS&lt;50 Predicted Monthly'!$V$8</f>
        <v>-5629453.6994364997</v>
      </c>
      <c r="L54" s="18">
        <f ca="1">E54*'GS&lt;50 Predicted Monthly'!$V$9</f>
        <v>557690.20574517769</v>
      </c>
      <c r="M54" s="18">
        <f ca="1">F54*'GS&lt;50 Predicted Monthly'!$V$10</f>
        <v>662308.64000739844</v>
      </c>
      <c r="N54" s="18">
        <f>G54*'GS&lt;50 Predicted Monthly'!$V$11</f>
        <v>0</v>
      </c>
      <c r="O54" s="18">
        <f>H54*'GS&lt;50 Predicted Monthly'!$V$12</f>
        <v>8349205.4233871475</v>
      </c>
      <c r="P54" s="18">
        <f>I54*'GS&lt;50 Predicted Monthly'!$V$13</f>
        <v>6404866.5009667119</v>
      </c>
      <c r="Q54" s="280">
        <f t="shared" ca="1" si="5"/>
        <v>10344617.070669934</v>
      </c>
    </row>
    <row r="55" spans="1:17" x14ac:dyDescent="0.25">
      <c r="A55" s="3">
        <f>'Monthly Data'!A55</f>
        <v>43617</v>
      </c>
      <c r="B55" s="1">
        <f t="shared" si="1"/>
        <v>2019</v>
      </c>
      <c r="C55" s="1">
        <f t="shared" si="2"/>
        <v>6</v>
      </c>
      <c r="D55" s="268">
        <f>'Monthly Data'!J55</f>
        <v>9417230.9671708588</v>
      </c>
      <c r="E55" s="278">
        <f t="shared" ca="1" si="6"/>
        <v>11.89069871794872</v>
      </c>
      <c r="F55" s="278">
        <f t="shared" ca="1" si="6"/>
        <v>137.65451754405018</v>
      </c>
      <c r="G55" s="18">
        <f>'Monthly Data'!CG55</f>
        <v>0</v>
      </c>
      <c r="H55" s="4">
        <f>'Monthly Data'!CD55</f>
        <v>30</v>
      </c>
      <c r="I55" s="24">
        <f>'Monthly Data'!K55</f>
        <v>4194</v>
      </c>
      <c r="K55" s="18">
        <f>'GS&lt;50 Predicted Monthly'!$V$8</f>
        <v>-5629453.6994364997</v>
      </c>
      <c r="L55" s="18">
        <f ca="1">E55*'GS&lt;50 Predicted Monthly'!$V$9</f>
        <v>64220.077779106323</v>
      </c>
      <c r="M55" s="18">
        <f ca="1">F55*'GS&lt;50 Predicted Monthly'!$V$10</f>
        <v>1736982.8834783668</v>
      </c>
      <c r="N55" s="18">
        <f>G55*'GS&lt;50 Predicted Monthly'!$V$11</f>
        <v>0</v>
      </c>
      <c r="O55" s="18">
        <f>H55*'GS&lt;50 Predicted Monthly'!$V$12</f>
        <v>8079876.2161811106</v>
      </c>
      <c r="P55" s="18">
        <f>I55*'GS&lt;50 Predicted Monthly'!$V$13</f>
        <v>6401813.6570672998</v>
      </c>
      <c r="Q55" s="280">
        <f t="shared" ca="1" si="5"/>
        <v>10653439.135069383</v>
      </c>
    </row>
    <row r="56" spans="1:17" x14ac:dyDescent="0.25">
      <c r="A56" s="3">
        <f>'Monthly Data'!A56</f>
        <v>43647</v>
      </c>
      <c r="B56" s="1">
        <f t="shared" si="1"/>
        <v>2019</v>
      </c>
      <c r="C56" s="1">
        <f t="shared" si="2"/>
        <v>7</v>
      </c>
      <c r="D56" s="268">
        <f>'Monthly Data'!J56</f>
        <v>11222943.646553386</v>
      </c>
      <c r="E56" s="278">
        <f t="shared" ca="1" si="6"/>
        <v>7.4583333333333002E-2</v>
      </c>
      <c r="F56" s="278">
        <f t="shared" ca="1" si="6"/>
        <v>235.94737858727848</v>
      </c>
      <c r="G56" s="18">
        <f>'Monthly Data'!CG56</f>
        <v>0</v>
      </c>
      <c r="H56" s="4">
        <f>'Monthly Data'!CD56</f>
        <v>31</v>
      </c>
      <c r="I56" s="24">
        <f>'Monthly Data'!K56</f>
        <v>4188</v>
      </c>
      <c r="K56" s="18">
        <f>'GS&lt;50 Predicted Monthly'!$V$8</f>
        <v>-5629453.6994364997</v>
      </c>
      <c r="L56" s="18">
        <f ca="1">E56*'GS&lt;50 Predicted Monthly'!$V$9</f>
        <v>402.81463531336908</v>
      </c>
      <c r="M56" s="18">
        <f ca="1">F56*'GS&lt;50 Predicted Monthly'!$V$10</f>
        <v>2977283.7486175704</v>
      </c>
      <c r="N56" s="18">
        <f>G56*'GS&lt;50 Predicted Monthly'!$V$11</f>
        <v>0</v>
      </c>
      <c r="O56" s="18">
        <f>H56*'GS&lt;50 Predicted Monthly'!$V$12</f>
        <v>8349205.4233871475</v>
      </c>
      <c r="P56" s="18">
        <f>I56*'GS&lt;50 Predicted Monthly'!$V$13</f>
        <v>6392655.1253690636</v>
      </c>
      <c r="Q56" s="280">
        <f t="shared" ca="1" si="5"/>
        <v>12090093.412572596</v>
      </c>
    </row>
    <row r="57" spans="1:17" x14ac:dyDescent="0.25">
      <c r="A57" s="3">
        <f>'Monthly Data'!A57</f>
        <v>43678</v>
      </c>
      <c r="B57" s="1">
        <f t="shared" si="1"/>
        <v>2019</v>
      </c>
      <c r="C57" s="1">
        <f t="shared" si="2"/>
        <v>8</v>
      </c>
      <c r="D57" s="268">
        <f>'Monthly Data'!J57</f>
        <v>10444170.994703799</v>
      </c>
      <c r="E57" s="278">
        <f t="shared" ca="1" si="6"/>
        <v>0.75041666666666718</v>
      </c>
      <c r="F57" s="278">
        <f t="shared" ca="1" si="6"/>
        <v>210.96558794466404</v>
      </c>
      <c r="G57" s="18">
        <f>'Monthly Data'!CG57</f>
        <v>0</v>
      </c>
      <c r="H57" s="4">
        <f>'Monthly Data'!CD57</f>
        <v>31</v>
      </c>
      <c r="I57" s="24">
        <f>'Monthly Data'!K57</f>
        <v>4187</v>
      </c>
      <c r="K57" s="18">
        <f>'GS&lt;50 Predicted Monthly'!$V$8</f>
        <v>-5629453.6994364997</v>
      </c>
      <c r="L57" s="18">
        <f ca="1">E57*'GS&lt;50 Predicted Monthly'!$V$9</f>
        <v>4052.9003251362087</v>
      </c>
      <c r="M57" s="18">
        <f ca="1">F57*'GS&lt;50 Predicted Monthly'!$V$10</f>
        <v>2662052.9554765075</v>
      </c>
      <c r="N57" s="18">
        <f>G57*'GS&lt;50 Predicted Monthly'!$V$11</f>
        <v>0</v>
      </c>
      <c r="O57" s="18">
        <f>H57*'GS&lt;50 Predicted Monthly'!$V$12</f>
        <v>8349205.4233871475</v>
      </c>
      <c r="P57" s="18">
        <f>I57*'GS&lt;50 Predicted Monthly'!$V$13</f>
        <v>6391128.7034193575</v>
      </c>
      <c r="Q57" s="280">
        <f t="shared" ca="1" si="5"/>
        <v>11776986.28317165</v>
      </c>
    </row>
    <row r="58" spans="1:17" x14ac:dyDescent="0.25">
      <c r="A58" s="3">
        <f>'Monthly Data'!A58</f>
        <v>43709</v>
      </c>
      <c r="B58" s="1">
        <f t="shared" si="1"/>
        <v>2019</v>
      </c>
      <c r="C58" s="1">
        <f t="shared" si="2"/>
        <v>9</v>
      </c>
      <c r="D58" s="268">
        <f>'Monthly Data'!J58</f>
        <v>9115439.8190174215</v>
      </c>
      <c r="E58" s="278">
        <f t="shared" ca="1" si="6"/>
        <v>26.342536231884061</v>
      </c>
      <c r="F58" s="278">
        <f t="shared" ca="1" si="6"/>
        <v>106.4160119047619</v>
      </c>
      <c r="G58" s="18">
        <f>'Monthly Data'!CG58</f>
        <v>0</v>
      </c>
      <c r="H58" s="4">
        <f>'Monthly Data'!CD58</f>
        <v>30</v>
      </c>
      <c r="I58" s="24">
        <f>'Monthly Data'!K58</f>
        <v>4186</v>
      </c>
      <c r="K58" s="18">
        <f>'GS&lt;50 Predicted Monthly'!$V$8</f>
        <v>-5629453.6994364997</v>
      </c>
      <c r="L58" s="18">
        <f ca="1">E58*'GS&lt;50 Predicted Monthly'!$V$9</f>
        <v>142272.52458738282</v>
      </c>
      <c r="M58" s="18">
        <f ca="1">F58*'GS&lt;50 Predicted Monthly'!$V$10</f>
        <v>1342802.2160438786</v>
      </c>
      <c r="N58" s="18">
        <f>G58*'GS&lt;50 Predicted Monthly'!$V$11</f>
        <v>0</v>
      </c>
      <c r="O58" s="18">
        <f>H58*'GS&lt;50 Predicted Monthly'!$V$12</f>
        <v>8079876.2161811106</v>
      </c>
      <c r="P58" s="18">
        <f>I58*'GS&lt;50 Predicted Monthly'!$V$13</f>
        <v>6389602.2814696515</v>
      </c>
      <c r="Q58" s="280">
        <f t="shared" ca="1" si="5"/>
        <v>10325099.538845524</v>
      </c>
    </row>
    <row r="59" spans="1:17" x14ac:dyDescent="0.25">
      <c r="A59" s="3">
        <f>'Monthly Data'!A59</f>
        <v>43739</v>
      </c>
      <c r="B59" s="1">
        <f t="shared" si="1"/>
        <v>2019</v>
      </c>
      <c r="C59" s="1">
        <f t="shared" si="2"/>
        <v>10</v>
      </c>
      <c r="D59" s="268">
        <f>'Monthly Data'!J59</f>
        <v>9056576.7105109673</v>
      </c>
      <c r="E59" s="278">
        <f t="shared" ca="1" si="6"/>
        <v>181.36347826086953</v>
      </c>
      <c r="F59" s="278">
        <f t="shared" ca="1" si="6"/>
        <v>17.987083333333334</v>
      </c>
      <c r="G59" s="18">
        <f>'Monthly Data'!CG59</f>
        <v>0</v>
      </c>
      <c r="H59" s="4">
        <f>'Monthly Data'!CD59</f>
        <v>31</v>
      </c>
      <c r="I59" s="24">
        <f>'Monthly Data'!K59</f>
        <v>4187</v>
      </c>
      <c r="K59" s="18">
        <f>'GS&lt;50 Predicted Monthly'!$V$8</f>
        <v>-5629453.6994364997</v>
      </c>
      <c r="L59" s="18">
        <f ca="1">E59*'GS&lt;50 Predicted Monthly'!$V$9</f>
        <v>979519.95559530659</v>
      </c>
      <c r="M59" s="18">
        <f ca="1">F59*'GS&lt;50 Predicted Monthly'!$V$10</f>
        <v>226968.61992706486</v>
      </c>
      <c r="N59" s="18">
        <f>G59*'GS&lt;50 Predicted Monthly'!$V$11</f>
        <v>0</v>
      </c>
      <c r="O59" s="18">
        <f>H59*'GS&lt;50 Predicted Monthly'!$V$12</f>
        <v>8349205.4233871475</v>
      </c>
      <c r="P59" s="18">
        <f>I59*'GS&lt;50 Predicted Monthly'!$V$13</f>
        <v>6391128.7034193575</v>
      </c>
      <c r="Q59" s="280">
        <f t="shared" ca="1" si="5"/>
        <v>10317369.002892375</v>
      </c>
    </row>
    <row r="60" spans="1:17" x14ac:dyDescent="0.25">
      <c r="A60" s="3">
        <f>'Monthly Data'!A60</f>
        <v>43770</v>
      </c>
      <c r="B60" s="1">
        <f t="shared" si="1"/>
        <v>2019</v>
      </c>
      <c r="C60" s="1">
        <f t="shared" si="2"/>
        <v>11</v>
      </c>
      <c r="D60" s="268">
        <f>'Monthly Data'!J60</f>
        <v>10350429.699744491</v>
      </c>
      <c r="E60" s="278">
        <f t="shared" ca="1" si="6"/>
        <v>366.78033055712399</v>
      </c>
      <c r="F60" s="278">
        <f t="shared" ca="1" si="6"/>
        <v>0.8083333333333329</v>
      </c>
      <c r="G60" s="18">
        <f>'Monthly Data'!CG60</f>
        <v>0</v>
      </c>
      <c r="H60" s="4">
        <f>'Monthly Data'!CD60</f>
        <v>30</v>
      </c>
      <c r="I60" s="24">
        <f>'Monthly Data'!K60</f>
        <v>4184</v>
      </c>
      <c r="K60" s="18">
        <f>'GS&lt;50 Predicted Monthly'!$V$8</f>
        <v>-5629453.6994364997</v>
      </c>
      <c r="L60" s="18">
        <f ca="1">E60*'GS&lt;50 Predicted Monthly'!$V$9</f>
        <v>1980931.6437115376</v>
      </c>
      <c r="M60" s="18">
        <f ca="1">F60*'GS&lt;50 Predicted Monthly'!$V$10</f>
        <v>10199.891650455318</v>
      </c>
      <c r="N60" s="18">
        <f>G60*'GS&lt;50 Predicted Monthly'!$V$11</f>
        <v>0</v>
      </c>
      <c r="O60" s="18">
        <f>H60*'GS&lt;50 Predicted Monthly'!$V$12</f>
        <v>8079876.2161811106</v>
      </c>
      <c r="P60" s="18">
        <f>I60*'GS&lt;50 Predicted Monthly'!$V$13</f>
        <v>6386549.4375702394</v>
      </c>
      <c r="Q60" s="280">
        <f t="shared" ca="1" si="5"/>
        <v>10828103.489676844</v>
      </c>
    </row>
    <row r="61" spans="1:17" x14ac:dyDescent="0.25">
      <c r="A61" s="3">
        <f>'Monthly Data'!A61</f>
        <v>43800</v>
      </c>
      <c r="B61" s="1">
        <f t="shared" si="1"/>
        <v>2019</v>
      </c>
      <c r="C61" s="1">
        <f t="shared" si="2"/>
        <v>12</v>
      </c>
      <c r="D61" s="268">
        <f>'Monthly Data'!J61</f>
        <v>11008452.135093993</v>
      </c>
      <c r="E61" s="278">
        <f t="shared" ca="1" si="6"/>
        <v>515.92800724637686</v>
      </c>
      <c r="F61" s="278">
        <f t="shared" ca="1" si="6"/>
        <v>0</v>
      </c>
      <c r="G61" s="18">
        <f>'Monthly Data'!CG61</f>
        <v>0</v>
      </c>
      <c r="H61" s="4">
        <f>'Monthly Data'!CD61</f>
        <v>31</v>
      </c>
      <c r="I61" s="24">
        <f>'Monthly Data'!K61</f>
        <v>4187</v>
      </c>
      <c r="K61" s="18">
        <f>'GS&lt;50 Predicted Monthly'!$V$8</f>
        <v>-5629453.6994364997</v>
      </c>
      <c r="L61" s="18">
        <f ca="1">E61*'GS&lt;50 Predicted Monthly'!$V$9</f>
        <v>2786458.3520031748</v>
      </c>
      <c r="M61" s="18">
        <f ca="1">F61*'GS&lt;50 Predicted Monthly'!$V$10</f>
        <v>0</v>
      </c>
      <c r="N61" s="18">
        <f>G61*'GS&lt;50 Predicted Monthly'!$V$11</f>
        <v>0</v>
      </c>
      <c r="O61" s="18">
        <f>H61*'GS&lt;50 Predicted Monthly'!$V$12</f>
        <v>8349205.4233871475</v>
      </c>
      <c r="P61" s="18">
        <f>I61*'GS&lt;50 Predicted Monthly'!$V$13</f>
        <v>6391128.7034193575</v>
      </c>
      <c r="Q61" s="280">
        <f t="shared" ca="1" si="5"/>
        <v>11897338.77937318</v>
      </c>
    </row>
    <row r="62" spans="1:17" x14ac:dyDescent="0.25">
      <c r="A62" s="3">
        <f>'Monthly Data'!A62</f>
        <v>43831</v>
      </c>
      <c r="B62" s="1">
        <f t="shared" si="1"/>
        <v>2020</v>
      </c>
      <c r="C62" s="1">
        <f t="shared" si="2"/>
        <v>1</v>
      </c>
      <c r="D62" s="268">
        <f>'Monthly Data'!J62</f>
        <v>12171705.298896791</v>
      </c>
      <c r="E62" s="278">
        <f t="shared" ca="1" si="6"/>
        <v>635.33418478260876</v>
      </c>
      <c r="F62" s="278">
        <f t="shared" ca="1" si="6"/>
        <v>0</v>
      </c>
      <c r="G62" s="18">
        <f>'Monthly Data'!CG62</f>
        <v>0</v>
      </c>
      <c r="H62" s="4">
        <f>'Monthly Data'!CD62</f>
        <v>31</v>
      </c>
      <c r="I62" s="24">
        <f>'Monthly Data'!K62</f>
        <v>4193</v>
      </c>
      <c r="K62" s="18">
        <f>'GS&lt;50 Predicted Monthly'!$V$8</f>
        <v>-5629453.6994364997</v>
      </c>
      <c r="L62" s="18">
        <f ca="1">E62*'GS&lt;50 Predicted Monthly'!$V$9</f>
        <v>3431355.1903283708</v>
      </c>
      <c r="M62" s="18">
        <f ca="1">F62*'GS&lt;50 Predicted Monthly'!$V$10</f>
        <v>0</v>
      </c>
      <c r="N62" s="18">
        <f>G62*'GS&lt;50 Predicted Monthly'!$V$11</f>
        <v>0</v>
      </c>
      <c r="O62" s="18">
        <f>H62*'GS&lt;50 Predicted Monthly'!$V$12</f>
        <v>8349205.4233871475</v>
      </c>
      <c r="P62" s="18">
        <f>I62*'GS&lt;50 Predicted Monthly'!$V$13</f>
        <v>6400287.2351175938</v>
      </c>
      <c r="Q62" s="280">
        <f t="shared" ca="1" si="5"/>
        <v>12551394.149396613</v>
      </c>
    </row>
    <row r="63" spans="1:17" x14ac:dyDescent="0.25">
      <c r="A63" s="3">
        <f>'Monthly Data'!A63</f>
        <v>43862</v>
      </c>
      <c r="B63" s="1">
        <f t="shared" si="1"/>
        <v>2020</v>
      </c>
      <c r="C63" s="1">
        <f t="shared" si="2"/>
        <v>2</v>
      </c>
      <c r="D63" s="268">
        <f>'Monthly Data'!J63</f>
        <v>11320017.388098987</v>
      </c>
      <c r="E63" s="278">
        <f t="shared" ca="1" si="6"/>
        <v>567.65501811594208</v>
      </c>
      <c r="F63" s="278">
        <f t="shared" ca="1" si="6"/>
        <v>0</v>
      </c>
      <c r="G63" s="18">
        <f>'Monthly Data'!CG63</f>
        <v>0</v>
      </c>
      <c r="H63" s="4">
        <f>'Monthly Data'!CD63</f>
        <v>29</v>
      </c>
      <c r="I63" s="24">
        <f>'Monthly Data'!K63</f>
        <v>4199</v>
      </c>
      <c r="K63" s="18">
        <f>'GS&lt;50 Predicted Monthly'!$V$8</f>
        <v>-5629453.6994364997</v>
      </c>
      <c r="L63" s="18">
        <f ca="1">E63*'GS&lt;50 Predicted Monthly'!$V$9</f>
        <v>3065829.0382951256</v>
      </c>
      <c r="M63" s="18">
        <f ca="1">F63*'GS&lt;50 Predicted Monthly'!$V$10</f>
        <v>0</v>
      </c>
      <c r="N63" s="18">
        <f>G63*'GS&lt;50 Predicted Monthly'!$V$11</f>
        <v>0</v>
      </c>
      <c r="O63" s="18">
        <f>H63*'GS&lt;50 Predicted Monthly'!$V$12</f>
        <v>7810547.0089750737</v>
      </c>
      <c r="P63" s="18">
        <f>I63*'GS&lt;50 Predicted Monthly'!$V$13</f>
        <v>6409445.76681583</v>
      </c>
      <c r="Q63" s="280">
        <f t="shared" ca="1" si="5"/>
        <v>11656368.114649531</v>
      </c>
    </row>
    <row r="64" spans="1:17" x14ac:dyDescent="0.25">
      <c r="A64" s="3">
        <f>'Monthly Data'!A64</f>
        <v>43891</v>
      </c>
      <c r="B64" s="1">
        <f t="shared" si="1"/>
        <v>2020</v>
      </c>
      <c r="C64" s="1">
        <f t="shared" si="2"/>
        <v>3</v>
      </c>
      <c r="D64" s="268">
        <f>'Monthly Data'!J64</f>
        <v>10567020.275292698</v>
      </c>
      <c r="E64" s="278">
        <f t="shared" ca="1" si="6"/>
        <v>484.13298913043479</v>
      </c>
      <c r="F64" s="278">
        <f t="shared" ca="1" si="6"/>
        <v>0</v>
      </c>
      <c r="G64" s="18">
        <f>'Monthly Data'!CG64</f>
        <v>0.5</v>
      </c>
      <c r="H64" s="4">
        <f>'Monthly Data'!CD64</f>
        <v>31</v>
      </c>
      <c r="I64" s="24">
        <f>'Monthly Data'!K64</f>
        <v>4202</v>
      </c>
      <c r="K64" s="18">
        <f>'GS&lt;50 Predicted Monthly'!$V$8</f>
        <v>-5629453.6994364997</v>
      </c>
      <c r="L64" s="18">
        <f ca="1">E64*'GS&lt;50 Predicted Monthly'!$V$9</f>
        <v>2614737.7000189708</v>
      </c>
      <c r="M64" s="18">
        <f ca="1">F64*'GS&lt;50 Predicted Monthly'!$V$10</f>
        <v>0</v>
      </c>
      <c r="N64" s="18">
        <f>G64*'GS&lt;50 Predicted Monthly'!$V$11</f>
        <v>-789653.80298584502</v>
      </c>
      <c r="O64" s="18">
        <f>H64*'GS&lt;50 Predicted Monthly'!$V$12</f>
        <v>8349205.4233871475</v>
      </c>
      <c r="P64" s="18">
        <f>I64*'GS&lt;50 Predicted Monthly'!$V$13</f>
        <v>6414025.0326649491</v>
      </c>
      <c r="Q64" s="280">
        <f t="shared" ca="1" si="5"/>
        <v>10958860.653648723</v>
      </c>
    </row>
    <row r="65" spans="1:17" x14ac:dyDescent="0.25">
      <c r="A65" s="3">
        <f>'Monthly Data'!A65</f>
        <v>43922</v>
      </c>
      <c r="B65" s="1">
        <f t="shared" si="1"/>
        <v>2020</v>
      </c>
      <c r="C65" s="1">
        <f t="shared" si="2"/>
        <v>4</v>
      </c>
      <c r="D65" s="268">
        <f>'Monthly Data'!J65</f>
        <v>8512616.9184663724</v>
      </c>
      <c r="E65" s="278">
        <f t="shared" ca="1" si="6"/>
        <v>292.81107954545462</v>
      </c>
      <c r="F65" s="278">
        <f t="shared" ca="1" si="6"/>
        <v>2.1908333333333347</v>
      </c>
      <c r="G65" s="18">
        <f>'Monthly Data'!CG65</f>
        <v>1</v>
      </c>
      <c r="H65" s="4">
        <f>'Monthly Data'!CD65</f>
        <v>30</v>
      </c>
      <c r="I65" s="24">
        <f>'Monthly Data'!K65</f>
        <v>4201</v>
      </c>
      <c r="K65" s="18">
        <f>'GS&lt;50 Predicted Monthly'!$V$8</f>
        <v>-5629453.6994364997</v>
      </c>
      <c r="L65" s="18">
        <f ca="1">E65*'GS&lt;50 Predicted Monthly'!$V$9</f>
        <v>1581433.5851103917</v>
      </c>
      <c r="M65" s="18">
        <f ca="1">F65*'GS&lt;50 Predicted Monthly'!$V$10</f>
        <v>27644.860978399032</v>
      </c>
      <c r="N65" s="18">
        <f>G65*'GS&lt;50 Predicted Monthly'!$V$11</f>
        <v>-1579307.60597169</v>
      </c>
      <c r="O65" s="18">
        <f>H65*'GS&lt;50 Predicted Monthly'!$V$12</f>
        <v>8079876.2161811106</v>
      </c>
      <c r="P65" s="18">
        <f>I65*'GS&lt;50 Predicted Monthly'!$V$13</f>
        <v>6412498.6107152421</v>
      </c>
      <c r="Q65" s="280">
        <f t="shared" ca="1" si="5"/>
        <v>8892691.9675769545</v>
      </c>
    </row>
    <row r="66" spans="1:17" x14ac:dyDescent="0.25">
      <c r="A66" s="3">
        <f>'Monthly Data'!A66</f>
        <v>43952</v>
      </c>
      <c r="B66" s="1">
        <f t="shared" si="1"/>
        <v>2020</v>
      </c>
      <c r="C66" s="1">
        <f t="shared" si="2"/>
        <v>5</v>
      </c>
      <c r="D66" s="268">
        <f>'Monthly Data'!J66</f>
        <v>8422331.1027372573</v>
      </c>
      <c r="E66" s="278">
        <f t="shared" ca="1" si="6"/>
        <v>103.25939244851259</v>
      </c>
      <c r="F66" s="278">
        <f t="shared" ca="1" si="6"/>
        <v>52.487435064935063</v>
      </c>
      <c r="G66" s="18">
        <f>'Monthly Data'!CG66</f>
        <v>1</v>
      </c>
      <c r="H66" s="4">
        <f>'Monthly Data'!CD66</f>
        <v>31</v>
      </c>
      <c r="I66" s="24">
        <f>'Monthly Data'!K66</f>
        <v>4201</v>
      </c>
      <c r="K66" s="18">
        <f>'GS&lt;50 Predicted Monthly'!$V$8</f>
        <v>-5629453.6994364997</v>
      </c>
      <c r="L66" s="18">
        <f ca="1">E66*'GS&lt;50 Predicted Monthly'!$V$9</f>
        <v>557690.20574517769</v>
      </c>
      <c r="M66" s="18">
        <f ca="1">F66*'GS&lt;50 Predicted Monthly'!$V$10</f>
        <v>662308.64000739844</v>
      </c>
      <c r="N66" s="18">
        <f>G66*'GS&lt;50 Predicted Monthly'!$V$11</f>
        <v>-1579307.60597169</v>
      </c>
      <c r="O66" s="18">
        <f>H66*'GS&lt;50 Predicted Monthly'!$V$12</f>
        <v>8349205.4233871475</v>
      </c>
      <c r="P66" s="18">
        <f>I66*'GS&lt;50 Predicted Monthly'!$V$13</f>
        <v>6412498.6107152421</v>
      </c>
      <c r="Q66" s="280">
        <f t="shared" ref="Q66:Q97" ca="1" si="7">SUM(K66:P66)</f>
        <v>8772941.574446775</v>
      </c>
    </row>
    <row r="67" spans="1:17" x14ac:dyDescent="0.25">
      <c r="A67" s="3">
        <f>'Monthly Data'!A67</f>
        <v>43983</v>
      </c>
      <c r="B67" s="1">
        <f t="shared" si="1"/>
        <v>2020</v>
      </c>
      <c r="C67" s="1">
        <f t="shared" si="2"/>
        <v>6</v>
      </c>
      <c r="D67" s="268">
        <f>'Monthly Data'!J67</f>
        <v>9420600.9622815214</v>
      </c>
      <c r="E67" s="278">
        <f t="shared" ca="1" si="6"/>
        <v>11.89069871794872</v>
      </c>
      <c r="F67" s="278">
        <f t="shared" ca="1" si="6"/>
        <v>137.65451754405018</v>
      </c>
      <c r="G67" s="18">
        <f>'Monthly Data'!CG67</f>
        <v>0.5</v>
      </c>
      <c r="H67" s="4">
        <f>'Monthly Data'!CD67</f>
        <v>30</v>
      </c>
      <c r="I67" s="24">
        <f>'Monthly Data'!K67</f>
        <v>4205</v>
      </c>
      <c r="K67" s="18">
        <f>'GS&lt;50 Predicted Monthly'!$V$8</f>
        <v>-5629453.6994364997</v>
      </c>
      <c r="L67" s="18">
        <f ca="1">E67*'GS&lt;50 Predicted Monthly'!$V$9</f>
        <v>64220.077779106323</v>
      </c>
      <c r="M67" s="18">
        <f ca="1">F67*'GS&lt;50 Predicted Monthly'!$V$10</f>
        <v>1736982.8834783668</v>
      </c>
      <c r="N67" s="18">
        <f>G67*'GS&lt;50 Predicted Monthly'!$V$11</f>
        <v>-789653.80298584502</v>
      </c>
      <c r="O67" s="18">
        <f>H67*'GS&lt;50 Predicted Monthly'!$V$12</f>
        <v>8079876.2161811106</v>
      </c>
      <c r="P67" s="18">
        <f>I67*'GS&lt;50 Predicted Monthly'!$V$13</f>
        <v>6418604.2985140672</v>
      </c>
      <c r="Q67" s="280">
        <f t="shared" ca="1" si="7"/>
        <v>9880575.9735303055</v>
      </c>
    </row>
    <row r="68" spans="1:17" x14ac:dyDescent="0.25">
      <c r="A68" s="3">
        <f>'Monthly Data'!A68</f>
        <v>44013</v>
      </c>
      <c r="B68" s="1">
        <f t="shared" si="1"/>
        <v>2020</v>
      </c>
      <c r="C68" s="1">
        <f t="shared" si="2"/>
        <v>7</v>
      </c>
      <c r="D68" s="268">
        <f>'Monthly Data'!J68</f>
        <v>11675848.915550508</v>
      </c>
      <c r="E68" s="278">
        <f t="shared" ca="1" si="6"/>
        <v>7.4583333333333002E-2</v>
      </c>
      <c r="F68" s="278">
        <f t="shared" ca="1" si="6"/>
        <v>235.94737858727848</v>
      </c>
      <c r="G68" s="18">
        <f>'Monthly Data'!CG68</f>
        <v>0.5</v>
      </c>
      <c r="H68" s="4">
        <f>'Monthly Data'!CD68</f>
        <v>31</v>
      </c>
      <c r="I68" s="24">
        <f>'Monthly Data'!K68</f>
        <v>4208</v>
      </c>
      <c r="K68" s="18">
        <f>'GS&lt;50 Predicted Monthly'!$V$8</f>
        <v>-5629453.6994364997</v>
      </c>
      <c r="L68" s="18">
        <f ca="1">E68*'GS&lt;50 Predicted Monthly'!$V$9</f>
        <v>402.81463531336908</v>
      </c>
      <c r="M68" s="18">
        <f ca="1">F68*'GS&lt;50 Predicted Monthly'!$V$10</f>
        <v>2977283.7486175704</v>
      </c>
      <c r="N68" s="18">
        <f>G68*'GS&lt;50 Predicted Monthly'!$V$11</f>
        <v>-789653.80298584502</v>
      </c>
      <c r="O68" s="18">
        <f>H68*'GS&lt;50 Predicted Monthly'!$V$12</f>
        <v>8349205.4233871475</v>
      </c>
      <c r="P68" s="18">
        <f>I68*'GS&lt;50 Predicted Monthly'!$V$13</f>
        <v>6423183.5643631853</v>
      </c>
      <c r="Q68" s="280">
        <f t="shared" ca="1" si="7"/>
        <v>11330968.048580872</v>
      </c>
    </row>
    <row r="69" spans="1:17" x14ac:dyDescent="0.25">
      <c r="A69" s="3">
        <f>'Monthly Data'!A69</f>
        <v>44044</v>
      </c>
      <c r="B69" s="1">
        <f t="shared" si="1"/>
        <v>2020</v>
      </c>
      <c r="C69" s="1">
        <f t="shared" si="2"/>
        <v>8</v>
      </c>
      <c r="D69" s="268">
        <f>'Monthly Data'!J69</f>
        <v>10788969.833497668</v>
      </c>
      <c r="E69" s="278">
        <f t="shared" ca="1" si="6"/>
        <v>0.75041666666666718</v>
      </c>
      <c r="F69" s="278">
        <f t="shared" ca="1" si="6"/>
        <v>210.96558794466404</v>
      </c>
      <c r="G69" s="18">
        <f>'Monthly Data'!CG69</f>
        <v>0.5</v>
      </c>
      <c r="H69" s="4">
        <f>'Monthly Data'!CD69</f>
        <v>31</v>
      </c>
      <c r="I69" s="24">
        <f>'Monthly Data'!K69</f>
        <v>4205</v>
      </c>
      <c r="K69" s="18">
        <f>'GS&lt;50 Predicted Monthly'!$V$8</f>
        <v>-5629453.6994364997</v>
      </c>
      <c r="L69" s="18">
        <f ca="1">E69*'GS&lt;50 Predicted Monthly'!$V$9</f>
        <v>4052.9003251362087</v>
      </c>
      <c r="M69" s="18">
        <f ca="1">F69*'GS&lt;50 Predicted Monthly'!$V$10</f>
        <v>2662052.9554765075</v>
      </c>
      <c r="N69" s="18">
        <f>G69*'GS&lt;50 Predicted Monthly'!$V$11</f>
        <v>-789653.80298584502</v>
      </c>
      <c r="O69" s="18">
        <f>H69*'GS&lt;50 Predicted Monthly'!$V$12</f>
        <v>8349205.4233871475</v>
      </c>
      <c r="P69" s="18">
        <f>I69*'GS&lt;50 Predicted Monthly'!$V$13</f>
        <v>6418604.2985140672</v>
      </c>
      <c r="Q69" s="280">
        <f t="shared" ca="1" si="7"/>
        <v>11014808.075280514</v>
      </c>
    </row>
    <row r="70" spans="1:17" x14ac:dyDescent="0.25">
      <c r="A70" s="3">
        <f>'Monthly Data'!A70</f>
        <v>44075</v>
      </c>
      <c r="B70" s="1">
        <f t="shared" ref="B70:B85" si="8">YEAR(A70)</f>
        <v>2020</v>
      </c>
      <c r="C70" s="1">
        <f t="shared" ref="C70:C85" si="9">MONTH(A70)</f>
        <v>9</v>
      </c>
      <c r="D70" s="268">
        <f>'Monthly Data'!J70</f>
        <v>9145054.428370472</v>
      </c>
      <c r="E70" s="278">
        <f t="shared" ca="1" si="6"/>
        <v>26.342536231884061</v>
      </c>
      <c r="F70" s="278">
        <f t="shared" ca="1" si="6"/>
        <v>106.4160119047619</v>
      </c>
      <c r="G70" s="18">
        <f>'Monthly Data'!CG70</f>
        <v>0.5</v>
      </c>
      <c r="H70" s="4">
        <f>'Monthly Data'!CD70</f>
        <v>30</v>
      </c>
      <c r="I70" s="24">
        <f>'Monthly Data'!K70</f>
        <v>4229</v>
      </c>
      <c r="K70" s="18">
        <f>'GS&lt;50 Predicted Monthly'!$V$8</f>
        <v>-5629453.6994364997</v>
      </c>
      <c r="L70" s="18">
        <f ca="1">E70*'GS&lt;50 Predicted Monthly'!$V$9</f>
        <v>142272.52458738282</v>
      </c>
      <c r="M70" s="18">
        <f ca="1">F70*'GS&lt;50 Predicted Monthly'!$V$10</f>
        <v>1342802.2160438786</v>
      </c>
      <c r="N70" s="18">
        <f>G70*'GS&lt;50 Predicted Monthly'!$V$11</f>
        <v>-789653.80298584502</v>
      </c>
      <c r="O70" s="18">
        <f>H70*'GS&lt;50 Predicted Monthly'!$V$12</f>
        <v>8079876.2161811106</v>
      </c>
      <c r="P70" s="18">
        <f>I70*'GS&lt;50 Predicted Monthly'!$V$13</f>
        <v>6455238.4253070131</v>
      </c>
      <c r="Q70" s="280">
        <f t="shared" ca="1" si="7"/>
        <v>9601081.8796970397</v>
      </c>
    </row>
    <row r="71" spans="1:17" x14ac:dyDescent="0.25">
      <c r="A71" s="3">
        <f>'Monthly Data'!A71</f>
        <v>44105</v>
      </c>
      <c r="B71" s="1">
        <f t="shared" si="8"/>
        <v>2020</v>
      </c>
      <c r="C71" s="1">
        <f t="shared" si="9"/>
        <v>10</v>
      </c>
      <c r="D71" s="268">
        <f>'Monthly Data'!J71</f>
        <v>9117151.9850432202</v>
      </c>
      <c r="E71" s="278">
        <f t="shared" ca="1" si="6"/>
        <v>181.36347826086953</v>
      </c>
      <c r="F71" s="278">
        <f t="shared" ca="1" si="6"/>
        <v>17.987083333333334</v>
      </c>
      <c r="G71" s="18">
        <f>'Monthly Data'!CG71</f>
        <v>0.5</v>
      </c>
      <c r="H71" s="4">
        <f>'Monthly Data'!CD71</f>
        <v>31</v>
      </c>
      <c r="I71" s="24">
        <f>'Monthly Data'!K71</f>
        <v>4208</v>
      </c>
      <c r="K71" s="18">
        <f>'GS&lt;50 Predicted Monthly'!$V$8</f>
        <v>-5629453.6994364997</v>
      </c>
      <c r="L71" s="18">
        <f ca="1">E71*'GS&lt;50 Predicted Monthly'!$V$9</f>
        <v>979519.95559530659</v>
      </c>
      <c r="M71" s="18">
        <f ca="1">F71*'GS&lt;50 Predicted Monthly'!$V$10</f>
        <v>226968.61992706486</v>
      </c>
      <c r="N71" s="18">
        <f>G71*'GS&lt;50 Predicted Monthly'!$V$11</f>
        <v>-789653.80298584502</v>
      </c>
      <c r="O71" s="18">
        <f>H71*'GS&lt;50 Predicted Monthly'!$V$12</f>
        <v>8349205.4233871475</v>
      </c>
      <c r="P71" s="18">
        <f>I71*'GS&lt;50 Predicted Monthly'!$V$13</f>
        <v>6423183.5643631853</v>
      </c>
      <c r="Q71" s="280">
        <f t="shared" ca="1" si="7"/>
        <v>9559770.0608503595</v>
      </c>
    </row>
    <row r="72" spans="1:17" x14ac:dyDescent="0.25">
      <c r="A72" s="3">
        <f>'Monthly Data'!A72</f>
        <v>44136</v>
      </c>
      <c r="B72" s="1">
        <f t="shared" si="8"/>
        <v>2020</v>
      </c>
      <c r="C72" s="1">
        <f t="shared" si="9"/>
        <v>11</v>
      </c>
      <c r="D72" s="268">
        <f>'Monthly Data'!J72</f>
        <v>9609320.7237130906</v>
      </c>
      <c r="E72" s="278">
        <f t="shared" ca="1" si="6"/>
        <v>366.78033055712399</v>
      </c>
      <c r="F72" s="278">
        <f t="shared" ca="1" si="6"/>
        <v>0.8083333333333329</v>
      </c>
      <c r="G72" s="18">
        <f>'Monthly Data'!CG72</f>
        <v>0.5</v>
      </c>
      <c r="H72" s="4">
        <f>'Monthly Data'!CD72</f>
        <v>30</v>
      </c>
      <c r="I72" s="24">
        <f>'Monthly Data'!K72</f>
        <v>4241</v>
      </c>
      <c r="K72" s="18">
        <f>'GS&lt;50 Predicted Monthly'!$V$8</f>
        <v>-5629453.6994364997</v>
      </c>
      <c r="L72" s="18">
        <f ca="1">E72*'GS&lt;50 Predicted Monthly'!$V$9</f>
        <v>1980931.6437115376</v>
      </c>
      <c r="M72" s="18">
        <f ca="1">F72*'GS&lt;50 Predicted Monthly'!$V$10</f>
        <v>10199.891650455318</v>
      </c>
      <c r="N72" s="18">
        <f>G72*'GS&lt;50 Predicted Monthly'!$V$11</f>
        <v>-789653.80298584502</v>
      </c>
      <c r="O72" s="18">
        <f>H72*'GS&lt;50 Predicted Monthly'!$V$12</f>
        <v>8079876.2161811106</v>
      </c>
      <c r="P72" s="18">
        <f>I72*'GS&lt;50 Predicted Monthly'!$V$13</f>
        <v>6473555.4887034856</v>
      </c>
      <c r="Q72" s="280">
        <f t="shared" ca="1" si="7"/>
        <v>10125455.737824244</v>
      </c>
    </row>
    <row r="73" spans="1:17" x14ac:dyDescent="0.25">
      <c r="A73" s="3">
        <f>'Monthly Data'!A73</f>
        <v>44166</v>
      </c>
      <c r="B73" s="1">
        <f t="shared" si="8"/>
        <v>2020</v>
      </c>
      <c r="C73" s="1">
        <f t="shared" si="9"/>
        <v>12</v>
      </c>
      <c r="D73" s="268">
        <f>'Monthly Data'!J73</f>
        <v>10889770.675347887</v>
      </c>
      <c r="E73" s="278">
        <f t="shared" ca="1" si="6"/>
        <v>515.92800724637686</v>
      </c>
      <c r="F73" s="278">
        <f t="shared" ca="1" si="6"/>
        <v>0</v>
      </c>
      <c r="G73" s="18">
        <f>'Monthly Data'!CG73</f>
        <v>0.5</v>
      </c>
      <c r="H73" s="4">
        <f>'Monthly Data'!CD73</f>
        <v>31</v>
      </c>
      <c r="I73" s="24">
        <f>'Monthly Data'!K73</f>
        <v>4248</v>
      </c>
      <c r="K73" s="18">
        <f>'GS&lt;50 Predicted Monthly'!$V$8</f>
        <v>-5629453.6994364997</v>
      </c>
      <c r="L73" s="18">
        <f ca="1">E73*'GS&lt;50 Predicted Monthly'!$V$9</f>
        <v>2786458.3520031748</v>
      </c>
      <c r="M73" s="18">
        <f ca="1">F73*'GS&lt;50 Predicted Monthly'!$V$10</f>
        <v>0</v>
      </c>
      <c r="N73" s="18">
        <f>G73*'GS&lt;50 Predicted Monthly'!$V$11</f>
        <v>-789653.80298584502</v>
      </c>
      <c r="O73" s="18">
        <f>H73*'GS&lt;50 Predicted Monthly'!$V$12</f>
        <v>8349205.4233871475</v>
      </c>
      <c r="P73" s="18">
        <f>I73*'GS&lt;50 Predicted Monthly'!$V$13</f>
        <v>6484240.4423514279</v>
      </c>
      <c r="Q73" s="280">
        <f t="shared" ca="1" si="7"/>
        <v>11200796.715319406</v>
      </c>
    </row>
    <row r="74" spans="1:17" x14ac:dyDescent="0.25">
      <c r="A74" s="3">
        <f>'Monthly Data'!A74</f>
        <v>44197</v>
      </c>
      <c r="B74" s="1">
        <f t="shared" si="8"/>
        <v>2021</v>
      </c>
      <c r="C74" s="1">
        <f t="shared" si="9"/>
        <v>1</v>
      </c>
      <c r="D74" s="268">
        <f>'Monthly Data'!J74</f>
        <v>10756355.603735784</v>
      </c>
      <c r="E74" s="278">
        <f t="shared" ref="E74:F93" ca="1" si="10">E62</f>
        <v>635.33418478260876</v>
      </c>
      <c r="F74" s="278">
        <f t="shared" ca="1" si="10"/>
        <v>0</v>
      </c>
      <c r="G74" s="18">
        <f>'Monthly Data'!CG74</f>
        <v>0.5</v>
      </c>
      <c r="H74" s="4">
        <f>'Monthly Data'!CD74</f>
        <v>31</v>
      </c>
      <c r="I74" s="24">
        <f>'Monthly Data'!K74</f>
        <v>4251</v>
      </c>
      <c r="K74" s="18">
        <f>'GS&lt;50 Predicted Monthly'!$V$8</f>
        <v>-5629453.6994364997</v>
      </c>
      <c r="L74" s="18">
        <f ca="1">E74*'GS&lt;50 Predicted Monthly'!$V$9</f>
        <v>3431355.1903283708</v>
      </c>
      <c r="M74" s="18">
        <f ca="1">F74*'GS&lt;50 Predicted Monthly'!$V$10</f>
        <v>0</v>
      </c>
      <c r="N74" s="18">
        <f>G74*'GS&lt;50 Predicted Monthly'!$V$11</f>
        <v>-789653.80298584502</v>
      </c>
      <c r="O74" s="18">
        <f>H74*'GS&lt;50 Predicted Monthly'!$V$12</f>
        <v>8349205.4233871475</v>
      </c>
      <c r="P74" s="18">
        <f>I74*'GS&lt;50 Predicted Monthly'!$V$13</f>
        <v>6488819.7082005469</v>
      </c>
      <c r="Q74" s="280">
        <f t="shared" ca="1" si="7"/>
        <v>11850272.81949372</v>
      </c>
    </row>
    <row r="75" spans="1:17" x14ac:dyDescent="0.25">
      <c r="A75" s="3">
        <f>'Monthly Data'!A75</f>
        <v>44228</v>
      </c>
      <c r="B75" s="1">
        <f t="shared" si="8"/>
        <v>2021</v>
      </c>
      <c r="C75" s="1">
        <f t="shared" si="9"/>
        <v>2</v>
      </c>
      <c r="D75" s="268">
        <f>'Monthly Data'!J75</f>
        <v>10124243.37225813</v>
      </c>
      <c r="E75" s="278">
        <f t="shared" ca="1" si="10"/>
        <v>567.65501811594208</v>
      </c>
      <c r="F75" s="278">
        <f t="shared" ca="1" si="10"/>
        <v>0</v>
      </c>
      <c r="G75" s="18">
        <f>'Monthly Data'!CG75</f>
        <v>0.5</v>
      </c>
      <c r="H75" s="4">
        <f>'Monthly Data'!CD75</f>
        <v>28</v>
      </c>
      <c r="I75" s="24">
        <f>'Monthly Data'!K75</f>
        <v>4260</v>
      </c>
      <c r="K75" s="18">
        <f>'GS&lt;50 Predicted Monthly'!$V$8</f>
        <v>-5629453.6994364997</v>
      </c>
      <c r="L75" s="18">
        <f ca="1">E75*'GS&lt;50 Predicted Monthly'!$V$9</f>
        <v>3065829.0382951256</v>
      </c>
      <c r="M75" s="18">
        <f ca="1">F75*'GS&lt;50 Predicted Monthly'!$V$10</f>
        <v>0</v>
      </c>
      <c r="N75" s="18">
        <f>G75*'GS&lt;50 Predicted Monthly'!$V$11</f>
        <v>-789653.80298584502</v>
      </c>
      <c r="O75" s="18">
        <f>H75*'GS&lt;50 Predicted Monthly'!$V$12</f>
        <v>7541217.8017690368</v>
      </c>
      <c r="P75" s="18">
        <f>I75*'GS&lt;50 Predicted Monthly'!$V$13</f>
        <v>6502557.5057479013</v>
      </c>
      <c r="Q75" s="280">
        <f t="shared" ca="1" si="7"/>
        <v>10690496.84338972</v>
      </c>
    </row>
    <row r="76" spans="1:17" x14ac:dyDescent="0.25">
      <c r="A76" s="3">
        <f>'Monthly Data'!A76</f>
        <v>44256</v>
      </c>
      <c r="B76" s="1">
        <f t="shared" si="8"/>
        <v>2021</v>
      </c>
      <c r="C76" s="1">
        <f t="shared" si="9"/>
        <v>3</v>
      </c>
      <c r="D76" s="268">
        <f>'Monthly Data'!J76</f>
        <v>11683964.166895431</v>
      </c>
      <c r="E76" s="278">
        <f t="shared" ca="1" si="10"/>
        <v>484.13298913043479</v>
      </c>
      <c r="F76" s="278">
        <f t="shared" ca="1" si="10"/>
        <v>0</v>
      </c>
      <c r="G76" s="18">
        <f>'Monthly Data'!CG76</f>
        <v>0.5</v>
      </c>
      <c r="H76" s="4">
        <f>'Monthly Data'!CD76</f>
        <v>31</v>
      </c>
      <c r="I76" s="24">
        <f>'Monthly Data'!K76</f>
        <v>4267</v>
      </c>
      <c r="K76" s="18">
        <f>'GS&lt;50 Predicted Monthly'!$V$8</f>
        <v>-5629453.6994364997</v>
      </c>
      <c r="L76" s="18">
        <f ca="1">E76*'GS&lt;50 Predicted Monthly'!$V$9</f>
        <v>2614737.7000189708</v>
      </c>
      <c r="M76" s="18">
        <f ca="1">F76*'GS&lt;50 Predicted Monthly'!$V$10</f>
        <v>0</v>
      </c>
      <c r="N76" s="18">
        <f>G76*'GS&lt;50 Predicted Monthly'!$V$11</f>
        <v>-789653.80298584502</v>
      </c>
      <c r="O76" s="18">
        <f>H76*'GS&lt;50 Predicted Monthly'!$V$12</f>
        <v>8349205.4233871475</v>
      </c>
      <c r="P76" s="18">
        <f>I76*'GS&lt;50 Predicted Monthly'!$V$13</f>
        <v>6513242.4593958436</v>
      </c>
      <c r="Q76" s="280">
        <f t="shared" ca="1" si="7"/>
        <v>11058078.080379616</v>
      </c>
    </row>
    <row r="77" spans="1:17" x14ac:dyDescent="0.25">
      <c r="A77" s="3">
        <f>'Monthly Data'!A77</f>
        <v>44287</v>
      </c>
      <c r="B77" s="1">
        <f t="shared" si="8"/>
        <v>2021</v>
      </c>
      <c r="C77" s="1">
        <f t="shared" si="9"/>
        <v>4</v>
      </c>
      <c r="D77" s="268">
        <f>'Monthly Data'!J77</f>
        <v>9317165.6293833423</v>
      </c>
      <c r="E77" s="278">
        <f t="shared" ca="1" si="10"/>
        <v>292.81107954545462</v>
      </c>
      <c r="F77" s="278">
        <f t="shared" ca="1" si="10"/>
        <v>2.1908333333333347</v>
      </c>
      <c r="G77" s="18">
        <f>'Monthly Data'!CG77</f>
        <v>0.5</v>
      </c>
      <c r="H77" s="4">
        <f>'Monthly Data'!CD77</f>
        <v>30</v>
      </c>
      <c r="I77" s="24">
        <f>'Monthly Data'!K77</f>
        <v>4264</v>
      </c>
      <c r="K77" s="18">
        <f>'GS&lt;50 Predicted Monthly'!$V$8</f>
        <v>-5629453.6994364997</v>
      </c>
      <c r="L77" s="18">
        <f ca="1">E77*'GS&lt;50 Predicted Monthly'!$V$9</f>
        <v>1581433.5851103917</v>
      </c>
      <c r="M77" s="18">
        <f ca="1">F77*'GS&lt;50 Predicted Monthly'!$V$10</f>
        <v>27644.860978399032</v>
      </c>
      <c r="N77" s="18">
        <f>G77*'GS&lt;50 Predicted Monthly'!$V$11</f>
        <v>-789653.80298584502</v>
      </c>
      <c r="O77" s="18">
        <f>H77*'GS&lt;50 Predicted Monthly'!$V$12</f>
        <v>8079876.2161811106</v>
      </c>
      <c r="P77" s="18">
        <f>I77*'GS&lt;50 Predicted Monthly'!$V$13</f>
        <v>6508663.1935467254</v>
      </c>
      <c r="Q77" s="280">
        <f t="shared" ca="1" si="7"/>
        <v>9778510.3533942811</v>
      </c>
    </row>
    <row r="78" spans="1:17" x14ac:dyDescent="0.25">
      <c r="A78" s="3">
        <f>'Monthly Data'!A78</f>
        <v>44317</v>
      </c>
      <c r="B78" s="1">
        <f t="shared" si="8"/>
        <v>2021</v>
      </c>
      <c r="C78" s="1">
        <f t="shared" si="9"/>
        <v>5</v>
      </c>
      <c r="D78" s="268">
        <f>'Monthly Data'!J78</f>
        <v>9001778.8454272039</v>
      </c>
      <c r="E78" s="278">
        <f t="shared" ca="1" si="10"/>
        <v>103.25939244851259</v>
      </c>
      <c r="F78" s="278">
        <f t="shared" ca="1" si="10"/>
        <v>52.487435064935063</v>
      </c>
      <c r="G78" s="18">
        <f>'Monthly Data'!CG78</f>
        <v>0.5</v>
      </c>
      <c r="H78" s="4">
        <f>'Monthly Data'!CD78</f>
        <v>31</v>
      </c>
      <c r="I78" s="24">
        <f>'Monthly Data'!K78</f>
        <v>4268</v>
      </c>
      <c r="K78" s="18">
        <f>'GS&lt;50 Predicted Monthly'!$V$8</f>
        <v>-5629453.6994364997</v>
      </c>
      <c r="L78" s="18">
        <f ca="1">E78*'GS&lt;50 Predicted Monthly'!$V$9</f>
        <v>557690.20574517769</v>
      </c>
      <c r="M78" s="18">
        <f ca="1">F78*'GS&lt;50 Predicted Monthly'!$V$10</f>
        <v>662308.64000739844</v>
      </c>
      <c r="N78" s="18">
        <f>G78*'GS&lt;50 Predicted Monthly'!$V$11</f>
        <v>-789653.80298584502</v>
      </c>
      <c r="O78" s="18">
        <f>H78*'GS&lt;50 Predicted Monthly'!$V$12</f>
        <v>8349205.4233871475</v>
      </c>
      <c r="P78" s="18">
        <f>I78*'GS&lt;50 Predicted Monthly'!$V$13</f>
        <v>6514768.8813455496</v>
      </c>
      <c r="Q78" s="280">
        <f t="shared" ca="1" si="7"/>
        <v>9664865.6480629276</v>
      </c>
    </row>
    <row r="79" spans="1:17" x14ac:dyDescent="0.25">
      <c r="A79" s="3">
        <f>'Monthly Data'!A79</f>
        <v>44348</v>
      </c>
      <c r="B79" s="1">
        <f t="shared" si="8"/>
        <v>2021</v>
      </c>
      <c r="C79" s="1">
        <f t="shared" si="9"/>
        <v>6</v>
      </c>
      <c r="D79" s="268">
        <f>'Monthly Data'!J79</f>
        <v>10147787.796347724</v>
      </c>
      <c r="E79" s="278">
        <f t="shared" ca="1" si="10"/>
        <v>11.89069871794872</v>
      </c>
      <c r="F79" s="278">
        <f t="shared" ca="1" si="10"/>
        <v>137.65451754405018</v>
      </c>
      <c r="G79" s="18">
        <f>'Monthly Data'!CG79</f>
        <v>0.5</v>
      </c>
      <c r="H79" s="4">
        <f>'Monthly Data'!CD79</f>
        <v>30</v>
      </c>
      <c r="I79" s="24">
        <f>'Monthly Data'!K79</f>
        <v>4270</v>
      </c>
      <c r="K79" s="18">
        <f>'GS&lt;50 Predicted Monthly'!$V$8</f>
        <v>-5629453.6994364997</v>
      </c>
      <c r="L79" s="18">
        <f ca="1">E79*'GS&lt;50 Predicted Monthly'!$V$9</f>
        <v>64220.077779106323</v>
      </c>
      <c r="M79" s="18">
        <f ca="1">F79*'GS&lt;50 Predicted Monthly'!$V$10</f>
        <v>1736982.8834783668</v>
      </c>
      <c r="N79" s="18">
        <f>G79*'GS&lt;50 Predicted Monthly'!$V$11</f>
        <v>-789653.80298584502</v>
      </c>
      <c r="O79" s="18">
        <f>H79*'GS&lt;50 Predicted Monthly'!$V$12</f>
        <v>8079876.2161811106</v>
      </c>
      <c r="P79" s="18">
        <f>I79*'GS&lt;50 Predicted Monthly'!$V$13</f>
        <v>6517821.7252449617</v>
      </c>
      <c r="Q79" s="280">
        <f t="shared" ca="1" si="7"/>
        <v>9979793.400261201</v>
      </c>
    </row>
    <row r="80" spans="1:17" x14ac:dyDescent="0.25">
      <c r="A80" s="3">
        <f>'Monthly Data'!A80</f>
        <v>44378</v>
      </c>
      <c r="B80" s="1">
        <f t="shared" si="8"/>
        <v>2021</v>
      </c>
      <c r="C80" s="1">
        <f t="shared" si="9"/>
        <v>7</v>
      </c>
      <c r="D80" s="268">
        <f>'Monthly Data'!J80</f>
        <v>10919033.21209087</v>
      </c>
      <c r="E80" s="278">
        <f t="shared" ca="1" si="10"/>
        <v>7.4583333333333002E-2</v>
      </c>
      <c r="F80" s="278">
        <f t="shared" ca="1" si="10"/>
        <v>235.94737858727848</v>
      </c>
      <c r="G80" s="18">
        <f>'Monthly Data'!CG80</f>
        <v>0.5</v>
      </c>
      <c r="H80" s="4">
        <f>'Monthly Data'!CD80</f>
        <v>31</v>
      </c>
      <c r="I80" s="24">
        <f>'Monthly Data'!K80</f>
        <v>4273</v>
      </c>
      <c r="K80" s="18">
        <f>'GS&lt;50 Predicted Monthly'!$V$8</f>
        <v>-5629453.6994364997</v>
      </c>
      <c r="L80" s="18">
        <f ca="1">E80*'GS&lt;50 Predicted Monthly'!$V$9</f>
        <v>402.81463531336908</v>
      </c>
      <c r="M80" s="18">
        <f ca="1">F80*'GS&lt;50 Predicted Monthly'!$V$10</f>
        <v>2977283.7486175704</v>
      </c>
      <c r="N80" s="18">
        <f>G80*'GS&lt;50 Predicted Monthly'!$V$11</f>
        <v>-789653.80298584502</v>
      </c>
      <c r="O80" s="18">
        <f>H80*'GS&lt;50 Predicted Monthly'!$V$12</f>
        <v>8349205.4233871475</v>
      </c>
      <c r="P80" s="18">
        <f>I80*'GS&lt;50 Predicted Monthly'!$V$13</f>
        <v>6522400.9910940807</v>
      </c>
      <c r="Q80" s="280">
        <f t="shared" ca="1" si="7"/>
        <v>11430185.475311767</v>
      </c>
    </row>
    <row r="81" spans="1:17" x14ac:dyDescent="0.25">
      <c r="A81" s="3">
        <f>'Monthly Data'!A81</f>
        <v>44409</v>
      </c>
      <c r="B81" s="1">
        <f t="shared" si="8"/>
        <v>2021</v>
      </c>
      <c r="C81" s="1">
        <f t="shared" si="9"/>
        <v>8</v>
      </c>
      <c r="D81" s="268">
        <f>'Monthly Data'!J81</f>
        <v>12092428.744730394</v>
      </c>
      <c r="E81" s="278">
        <f t="shared" ca="1" si="10"/>
        <v>0.75041666666666718</v>
      </c>
      <c r="F81" s="278">
        <f t="shared" ca="1" si="10"/>
        <v>210.96558794466404</v>
      </c>
      <c r="G81" s="18">
        <f>'Monthly Data'!CG81</f>
        <v>0.5</v>
      </c>
      <c r="H81" s="4">
        <f>'Monthly Data'!CD81</f>
        <v>31</v>
      </c>
      <c r="I81" s="24">
        <f>'Monthly Data'!K81</f>
        <v>4277</v>
      </c>
      <c r="K81" s="18">
        <f>'GS&lt;50 Predicted Monthly'!$V$8</f>
        <v>-5629453.6994364997</v>
      </c>
      <c r="L81" s="18">
        <f ca="1">E81*'GS&lt;50 Predicted Monthly'!$V$9</f>
        <v>4052.9003251362087</v>
      </c>
      <c r="M81" s="18">
        <f ca="1">F81*'GS&lt;50 Predicted Monthly'!$V$10</f>
        <v>2662052.9554765075</v>
      </c>
      <c r="N81" s="18">
        <f>G81*'GS&lt;50 Predicted Monthly'!$V$11</f>
        <v>-789653.80298584502</v>
      </c>
      <c r="O81" s="18">
        <f>H81*'GS&lt;50 Predicted Monthly'!$V$12</f>
        <v>8349205.4233871475</v>
      </c>
      <c r="P81" s="18">
        <f>I81*'GS&lt;50 Predicted Monthly'!$V$13</f>
        <v>6528506.6788929049</v>
      </c>
      <c r="Q81" s="280">
        <f t="shared" ca="1" si="7"/>
        <v>11124710.455659352</v>
      </c>
    </row>
    <row r="82" spans="1:17" x14ac:dyDescent="0.25">
      <c r="A82" s="3">
        <f>'Monthly Data'!A82</f>
        <v>44440</v>
      </c>
      <c r="B82" s="1">
        <f t="shared" si="8"/>
        <v>2021</v>
      </c>
      <c r="C82" s="1">
        <f t="shared" si="9"/>
        <v>9</v>
      </c>
      <c r="D82" s="268">
        <f>'Monthly Data'!J82</f>
        <v>9932104.6989375129</v>
      </c>
      <c r="E82" s="278">
        <f t="shared" ca="1" si="10"/>
        <v>26.342536231884061</v>
      </c>
      <c r="F82" s="278">
        <f t="shared" ca="1" si="10"/>
        <v>106.4160119047619</v>
      </c>
      <c r="G82" s="18">
        <f>'Monthly Data'!CG82</f>
        <v>0.5</v>
      </c>
      <c r="H82" s="4">
        <f>'Monthly Data'!CD82</f>
        <v>30</v>
      </c>
      <c r="I82" s="24">
        <f>'Monthly Data'!K82</f>
        <v>4283</v>
      </c>
      <c r="K82" s="18">
        <f>'GS&lt;50 Predicted Monthly'!$V$8</f>
        <v>-5629453.6994364997</v>
      </c>
      <c r="L82" s="18">
        <f ca="1">E82*'GS&lt;50 Predicted Monthly'!$V$9</f>
        <v>142272.52458738282</v>
      </c>
      <c r="M82" s="18">
        <f ca="1">F82*'GS&lt;50 Predicted Monthly'!$V$10</f>
        <v>1342802.2160438786</v>
      </c>
      <c r="N82" s="18">
        <f>G82*'GS&lt;50 Predicted Monthly'!$V$11</f>
        <v>-789653.80298584502</v>
      </c>
      <c r="O82" s="18">
        <f>H82*'GS&lt;50 Predicted Monthly'!$V$12</f>
        <v>8079876.2161811106</v>
      </c>
      <c r="P82" s="18">
        <f>I82*'GS&lt;50 Predicted Monthly'!$V$13</f>
        <v>6537665.2105911411</v>
      </c>
      <c r="Q82" s="280">
        <f t="shared" ca="1" si="7"/>
        <v>9683508.6649811678</v>
      </c>
    </row>
    <row r="83" spans="1:17" x14ac:dyDescent="0.25">
      <c r="A83" s="3">
        <f>'Monthly Data'!A83</f>
        <v>44470</v>
      </c>
      <c r="B83" s="1">
        <f t="shared" si="8"/>
        <v>2021</v>
      </c>
      <c r="C83" s="1">
        <f t="shared" si="9"/>
        <v>10</v>
      </c>
      <c r="D83" s="268">
        <f>'Monthly Data'!J83</f>
        <v>9618545.1704564132</v>
      </c>
      <c r="E83" s="278">
        <f t="shared" ca="1" si="10"/>
        <v>181.36347826086953</v>
      </c>
      <c r="F83" s="278">
        <f t="shared" ca="1" si="10"/>
        <v>17.987083333333334</v>
      </c>
      <c r="G83" s="18">
        <f>'Monthly Data'!CG83</f>
        <v>0.5</v>
      </c>
      <c r="H83" s="4">
        <f>'Monthly Data'!CD83</f>
        <v>31</v>
      </c>
      <c r="I83" s="24">
        <f>'Monthly Data'!K83</f>
        <v>4282</v>
      </c>
      <c r="K83" s="18">
        <f>'GS&lt;50 Predicted Monthly'!$V$8</f>
        <v>-5629453.6994364997</v>
      </c>
      <c r="L83" s="18">
        <f ca="1">E83*'GS&lt;50 Predicted Monthly'!$V$9</f>
        <v>979519.95559530659</v>
      </c>
      <c r="M83" s="18">
        <f ca="1">F83*'GS&lt;50 Predicted Monthly'!$V$10</f>
        <v>226968.61992706486</v>
      </c>
      <c r="N83" s="18">
        <f>G83*'GS&lt;50 Predicted Monthly'!$V$11</f>
        <v>-789653.80298584502</v>
      </c>
      <c r="O83" s="18">
        <f>H83*'GS&lt;50 Predicted Monthly'!$V$12</f>
        <v>8349205.4233871475</v>
      </c>
      <c r="P83" s="18">
        <f>I83*'GS&lt;50 Predicted Monthly'!$V$13</f>
        <v>6536138.7886414351</v>
      </c>
      <c r="Q83" s="280">
        <f t="shared" ca="1" si="7"/>
        <v>9672725.2851286083</v>
      </c>
    </row>
    <row r="84" spans="1:17" x14ac:dyDescent="0.25">
      <c r="A84" s="3">
        <f>'Monthly Data'!A84</f>
        <v>44501</v>
      </c>
      <c r="B84" s="1">
        <f t="shared" si="8"/>
        <v>2021</v>
      </c>
      <c r="C84" s="1">
        <f t="shared" si="9"/>
        <v>11</v>
      </c>
      <c r="D84" s="268">
        <f>'Monthly Data'!J84</f>
        <v>10309263.288912244</v>
      </c>
      <c r="E84" s="278">
        <f t="shared" ca="1" si="10"/>
        <v>366.78033055712399</v>
      </c>
      <c r="F84" s="278">
        <f t="shared" ca="1" si="10"/>
        <v>0.8083333333333329</v>
      </c>
      <c r="G84" s="18">
        <f>'Monthly Data'!CG84</f>
        <v>0.5</v>
      </c>
      <c r="H84" s="4">
        <f>'Monthly Data'!CD84</f>
        <v>30</v>
      </c>
      <c r="I84" s="24">
        <f>'Monthly Data'!K84</f>
        <v>4281</v>
      </c>
      <c r="K84" s="18">
        <f>'GS&lt;50 Predicted Monthly'!$V$8</f>
        <v>-5629453.6994364997</v>
      </c>
      <c r="L84" s="18">
        <f ca="1">E84*'GS&lt;50 Predicted Monthly'!$V$9</f>
        <v>1980931.6437115376</v>
      </c>
      <c r="M84" s="18">
        <f ca="1">F84*'GS&lt;50 Predicted Monthly'!$V$10</f>
        <v>10199.891650455318</v>
      </c>
      <c r="N84" s="18">
        <f>G84*'GS&lt;50 Predicted Monthly'!$V$11</f>
        <v>-789653.80298584502</v>
      </c>
      <c r="O84" s="18">
        <f>H84*'GS&lt;50 Predicted Monthly'!$V$12</f>
        <v>8079876.2161811106</v>
      </c>
      <c r="P84" s="18">
        <f>I84*'GS&lt;50 Predicted Monthly'!$V$13</f>
        <v>6534612.3666917291</v>
      </c>
      <c r="Q84" s="280">
        <f t="shared" ca="1" si="7"/>
        <v>10186512.615812488</v>
      </c>
    </row>
    <row r="85" spans="1:17" x14ac:dyDescent="0.25">
      <c r="A85" s="3">
        <f>'Monthly Data'!A85</f>
        <v>44531</v>
      </c>
      <c r="B85" s="1">
        <f t="shared" si="8"/>
        <v>2021</v>
      </c>
      <c r="C85" s="1">
        <f t="shared" si="9"/>
        <v>12</v>
      </c>
      <c r="D85" s="268">
        <f>'Monthly Data'!J85</f>
        <v>12066287.994782832</v>
      </c>
      <c r="E85" s="278">
        <f t="shared" ca="1" si="10"/>
        <v>515.92800724637686</v>
      </c>
      <c r="F85" s="278">
        <f t="shared" ca="1" si="10"/>
        <v>0</v>
      </c>
      <c r="G85" s="18">
        <f>'Monthly Data'!CG85</f>
        <v>0.5</v>
      </c>
      <c r="H85" s="4">
        <f>'Monthly Data'!CD85</f>
        <v>31</v>
      </c>
      <c r="I85" s="24">
        <f>'Monthly Data'!K85</f>
        <v>4277</v>
      </c>
      <c r="K85" s="18">
        <f>'GS&lt;50 Predicted Monthly'!$V$8</f>
        <v>-5629453.6994364997</v>
      </c>
      <c r="L85" s="18">
        <f ca="1">E85*'GS&lt;50 Predicted Monthly'!$V$9</f>
        <v>2786458.3520031748</v>
      </c>
      <c r="M85" s="18">
        <f ca="1">F85*'GS&lt;50 Predicted Monthly'!$V$10</f>
        <v>0</v>
      </c>
      <c r="N85" s="18">
        <f>G85*'GS&lt;50 Predicted Monthly'!$V$11</f>
        <v>-789653.80298584502</v>
      </c>
      <c r="O85" s="18">
        <f>H85*'GS&lt;50 Predicted Monthly'!$V$12</f>
        <v>8349205.4233871475</v>
      </c>
      <c r="P85" s="18">
        <f>I85*'GS&lt;50 Predicted Monthly'!$V$13</f>
        <v>6528506.6788929049</v>
      </c>
      <c r="Q85" s="280">
        <f t="shared" ca="1" si="7"/>
        <v>11245062.951860882</v>
      </c>
    </row>
    <row r="86" spans="1:17" x14ac:dyDescent="0.25">
      <c r="A86" s="3">
        <f>'Monthly Data'!A86</f>
        <v>44562</v>
      </c>
      <c r="B86" s="1">
        <f t="shared" ref="B86:B145" si="11">YEAR(A86)</f>
        <v>2022</v>
      </c>
      <c r="C86" s="1">
        <f t="shared" ref="C86:C145" si="12">MONTH(A86)</f>
        <v>1</v>
      </c>
      <c r="D86" s="268">
        <f>'Monthly Data'!J86</f>
        <v>12638454.910089087</v>
      </c>
      <c r="E86" s="278">
        <f t="shared" ca="1" si="10"/>
        <v>635.33418478260876</v>
      </c>
      <c r="F86" s="278">
        <f t="shared" ca="1" si="10"/>
        <v>0</v>
      </c>
      <c r="G86" s="18">
        <f>'Monthly Data'!CG86</f>
        <v>0.25</v>
      </c>
      <c r="H86" s="4">
        <f>'Monthly Data'!CD86</f>
        <v>31</v>
      </c>
      <c r="I86" s="24">
        <f>'Monthly Data'!K86</f>
        <v>4288</v>
      </c>
      <c r="K86" s="18">
        <f>'GS&lt;50 Predicted Monthly'!$V$8</f>
        <v>-5629453.6994364997</v>
      </c>
      <c r="L86" s="18">
        <f ca="1">E86*'GS&lt;50 Predicted Monthly'!$V$9</f>
        <v>3431355.1903283708</v>
      </c>
      <c r="M86" s="18">
        <f ca="1">F86*'GS&lt;50 Predicted Monthly'!$V$10</f>
        <v>0</v>
      </c>
      <c r="N86" s="18">
        <f>G86*'GS&lt;50 Predicted Monthly'!$V$11</f>
        <v>-394826.90149292251</v>
      </c>
      <c r="O86" s="18">
        <f>H86*'GS&lt;50 Predicted Monthly'!$V$12</f>
        <v>8349205.4233871475</v>
      </c>
      <c r="P86" s="18">
        <f>I86*'GS&lt;50 Predicted Monthly'!$V$13</f>
        <v>6545297.3203396713</v>
      </c>
      <c r="Q86" s="280">
        <f t="shared" ca="1" si="7"/>
        <v>12301577.333125766</v>
      </c>
    </row>
    <row r="87" spans="1:17" x14ac:dyDescent="0.25">
      <c r="A87" s="3">
        <f>'Monthly Data'!A87</f>
        <v>44593</v>
      </c>
      <c r="B87" s="1">
        <f t="shared" si="11"/>
        <v>2022</v>
      </c>
      <c r="C87" s="1">
        <f t="shared" si="12"/>
        <v>2</v>
      </c>
      <c r="D87" s="268">
        <f>'Monthly Data'!J87</f>
        <v>11611870.017274158</v>
      </c>
      <c r="E87" s="278">
        <f t="shared" ca="1" si="10"/>
        <v>567.65501811594208</v>
      </c>
      <c r="F87" s="278">
        <f t="shared" ca="1" si="10"/>
        <v>0</v>
      </c>
      <c r="G87" s="18">
        <f>'Monthly Data'!CG87</f>
        <v>0.25</v>
      </c>
      <c r="H87" s="4">
        <f>'Monthly Data'!CD87</f>
        <v>28</v>
      </c>
      <c r="I87" s="24">
        <f>'Monthly Data'!K87</f>
        <v>4294</v>
      </c>
      <c r="K87" s="18">
        <f>'GS&lt;50 Predicted Monthly'!$V$8</f>
        <v>-5629453.6994364997</v>
      </c>
      <c r="L87" s="18">
        <f ca="1">E87*'GS&lt;50 Predicted Monthly'!$V$9</f>
        <v>3065829.0382951256</v>
      </c>
      <c r="M87" s="18">
        <f ca="1">F87*'GS&lt;50 Predicted Monthly'!$V$10</f>
        <v>0</v>
      </c>
      <c r="N87" s="18">
        <f>G87*'GS&lt;50 Predicted Monthly'!$V$11</f>
        <v>-394826.90149292251</v>
      </c>
      <c r="O87" s="18">
        <f>H87*'GS&lt;50 Predicted Monthly'!$V$12</f>
        <v>7541217.8017690368</v>
      </c>
      <c r="P87" s="18">
        <f>I87*'GS&lt;50 Predicted Monthly'!$V$13</f>
        <v>6554455.8520379076</v>
      </c>
      <c r="Q87" s="280">
        <f t="shared" ca="1" si="7"/>
        <v>11137222.091172647</v>
      </c>
    </row>
    <row r="88" spans="1:17" x14ac:dyDescent="0.25">
      <c r="A88" s="3">
        <f>'Monthly Data'!A88</f>
        <v>44621</v>
      </c>
      <c r="B88" s="1">
        <f t="shared" si="11"/>
        <v>2022</v>
      </c>
      <c r="C88" s="1">
        <f t="shared" si="12"/>
        <v>3</v>
      </c>
      <c r="D88" s="268">
        <f>'Monthly Data'!J88</f>
        <v>11884883.351506501</v>
      </c>
      <c r="E88" s="278">
        <f t="shared" ca="1" si="10"/>
        <v>484.13298913043479</v>
      </c>
      <c r="F88" s="278">
        <f t="shared" ca="1" si="10"/>
        <v>0</v>
      </c>
      <c r="G88" s="18">
        <f>'Monthly Data'!CG88</f>
        <v>0.25</v>
      </c>
      <c r="H88" s="4">
        <f>'Monthly Data'!CD88</f>
        <v>31</v>
      </c>
      <c r="I88" s="24">
        <f>'Monthly Data'!K88</f>
        <v>4283</v>
      </c>
      <c r="K88" s="18">
        <f>'GS&lt;50 Predicted Monthly'!$V$8</f>
        <v>-5629453.6994364997</v>
      </c>
      <c r="L88" s="18">
        <f ca="1">E88*'GS&lt;50 Predicted Monthly'!$V$9</f>
        <v>2614737.7000189708</v>
      </c>
      <c r="M88" s="18">
        <f ca="1">F88*'GS&lt;50 Predicted Monthly'!$V$10</f>
        <v>0</v>
      </c>
      <c r="N88" s="18">
        <f>G88*'GS&lt;50 Predicted Monthly'!$V$11</f>
        <v>-394826.90149292251</v>
      </c>
      <c r="O88" s="18">
        <f>H88*'GS&lt;50 Predicted Monthly'!$V$12</f>
        <v>8349205.4233871475</v>
      </c>
      <c r="P88" s="18">
        <f>I88*'GS&lt;50 Predicted Monthly'!$V$13</f>
        <v>6537665.2105911411</v>
      </c>
      <c r="Q88" s="280">
        <f t="shared" ca="1" si="7"/>
        <v>11477327.733067837</v>
      </c>
    </row>
    <row r="89" spans="1:17" x14ac:dyDescent="0.25">
      <c r="A89" s="3">
        <f>'Monthly Data'!A89</f>
        <v>44652</v>
      </c>
      <c r="B89" s="1">
        <f t="shared" si="11"/>
        <v>2022</v>
      </c>
      <c r="C89" s="1">
        <f t="shared" si="12"/>
        <v>4</v>
      </c>
      <c r="D89" s="268">
        <f>'Monthly Data'!J89</f>
        <v>10215325.022601429</v>
      </c>
      <c r="E89" s="278">
        <f t="shared" ca="1" si="10"/>
        <v>292.81107954545462</v>
      </c>
      <c r="F89" s="278">
        <f t="shared" ca="1" si="10"/>
        <v>2.1908333333333347</v>
      </c>
      <c r="G89" s="18">
        <f>'Monthly Data'!CG89</f>
        <v>0.25</v>
      </c>
      <c r="H89" s="4">
        <f>'Monthly Data'!CD89</f>
        <v>30</v>
      </c>
      <c r="I89" s="24">
        <f>'Monthly Data'!K89</f>
        <v>4284</v>
      </c>
      <c r="K89" s="18">
        <f>'GS&lt;50 Predicted Monthly'!$V$8</f>
        <v>-5629453.6994364997</v>
      </c>
      <c r="L89" s="18">
        <f ca="1">E89*'GS&lt;50 Predicted Monthly'!$V$9</f>
        <v>1581433.5851103917</v>
      </c>
      <c r="M89" s="18">
        <f ca="1">F89*'GS&lt;50 Predicted Monthly'!$V$10</f>
        <v>27644.860978399032</v>
      </c>
      <c r="N89" s="18">
        <f>G89*'GS&lt;50 Predicted Monthly'!$V$11</f>
        <v>-394826.90149292251</v>
      </c>
      <c r="O89" s="18">
        <f>H89*'GS&lt;50 Predicted Monthly'!$V$12</f>
        <v>8079876.2161811106</v>
      </c>
      <c r="P89" s="18">
        <f>I89*'GS&lt;50 Predicted Monthly'!$V$13</f>
        <v>6539191.6325408472</v>
      </c>
      <c r="Q89" s="280">
        <f t="shared" ca="1" si="7"/>
        <v>10203865.693881325</v>
      </c>
    </row>
    <row r="90" spans="1:17" x14ac:dyDescent="0.25">
      <c r="A90" s="3">
        <f>'Monthly Data'!A90</f>
        <v>44682</v>
      </c>
      <c r="B90" s="1">
        <f t="shared" si="11"/>
        <v>2022</v>
      </c>
      <c r="C90" s="1">
        <f t="shared" si="12"/>
        <v>5</v>
      </c>
      <c r="D90" s="268">
        <f>'Monthly Data'!J90</f>
        <v>10135011.499984067</v>
      </c>
      <c r="E90" s="278">
        <f t="shared" ca="1" si="10"/>
        <v>103.25939244851259</v>
      </c>
      <c r="F90" s="278">
        <f t="shared" ca="1" si="10"/>
        <v>52.487435064935063</v>
      </c>
      <c r="G90" s="18">
        <f>'Monthly Data'!CG90</f>
        <v>0.25</v>
      </c>
      <c r="H90" s="4">
        <f>'Monthly Data'!CD90</f>
        <v>31</v>
      </c>
      <c r="I90" s="24">
        <f>'Monthly Data'!K90</f>
        <v>4290</v>
      </c>
      <c r="K90" s="18">
        <f>'GS&lt;50 Predicted Monthly'!$V$8</f>
        <v>-5629453.6994364997</v>
      </c>
      <c r="L90" s="18">
        <f ca="1">E90*'GS&lt;50 Predicted Monthly'!$V$9</f>
        <v>557690.20574517769</v>
      </c>
      <c r="M90" s="18">
        <f ca="1">F90*'GS&lt;50 Predicted Monthly'!$V$10</f>
        <v>662308.64000739844</v>
      </c>
      <c r="N90" s="18">
        <f>G90*'GS&lt;50 Predicted Monthly'!$V$11</f>
        <v>-394826.90149292251</v>
      </c>
      <c r="O90" s="18">
        <f>H90*'GS&lt;50 Predicted Monthly'!$V$12</f>
        <v>8349205.4233871475</v>
      </c>
      <c r="P90" s="18">
        <f>I90*'GS&lt;50 Predicted Monthly'!$V$13</f>
        <v>6548350.1642390834</v>
      </c>
      <c r="Q90" s="280">
        <f t="shared" ca="1" si="7"/>
        <v>10093273.832449384</v>
      </c>
    </row>
    <row r="91" spans="1:17" x14ac:dyDescent="0.25">
      <c r="A91" s="3">
        <f>'Monthly Data'!A91</f>
        <v>44713</v>
      </c>
      <c r="B91" s="1">
        <f t="shared" si="11"/>
        <v>2022</v>
      </c>
      <c r="C91" s="1">
        <f t="shared" si="12"/>
        <v>6</v>
      </c>
      <c r="D91" s="268">
        <f>'Monthly Data'!J91</f>
        <v>10454406.76599817</v>
      </c>
      <c r="E91" s="278">
        <f t="shared" ca="1" si="10"/>
        <v>11.89069871794872</v>
      </c>
      <c r="F91" s="278">
        <f t="shared" ca="1" si="10"/>
        <v>137.65451754405018</v>
      </c>
      <c r="G91" s="18">
        <f>'Monthly Data'!CG91</f>
        <v>0.25</v>
      </c>
      <c r="H91" s="4">
        <f>'Monthly Data'!CD91</f>
        <v>30</v>
      </c>
      <c r="I91" s="24">
        <f>'Monthly Data'!K91</f>
        <v>4306</v>
      </c>
      <c r="K91" s="18">
        <f>'GS&lt;50 Predicted Monthly'!$V$8</f>
        <v>-5629453.6994364997</v>
      </c>
      <c r="L91" s="18">
        <f ca="1">E91*'GS&lt;50 Predicted Monthly'!$V$9</f>
        <v>64220.077779106323</v>
      </c>
      <c r="M91" s="18">
        <f ca="1">F91*'GS&lt;50 Predicted Monthly'!$V$10</f>
        <v>1736982.8834783668</v>
      </c>
      <c r="N91" s="18">
        <f>G91*'GS&lt;50 Predicted Monthly'!$V$11</f>
        <v>-394826.90149292251</v>
      </c>
      <c r="O91" s="18">
        <f>H91*'GS&lt;50 Predicted Monthly'!$V$12</f>
        <v>8079876.2161811106</v>
      </c>
      <c r="P91" s="18">
        <f>I91*'GS&lt;50 Predicted Monthly'!$V$13</f>
        <v>6572772.915434381</v>
      </c>
      <c r="Q91" s="280">
        <f t="shared" ca="1" si="7"/>
        <v>10429571.491943542</v>
      </c>
    </row>
    <row r="92" spans="1:17" x14ac:dyDescent="0.25">
      <c r="A92" s="3">
        <f>'Monthly Data'!A92</f>
        <v>44743</v>
      </c>
      <c r="B92" s="1">
        <f t="shared" si="11"/>
        <v>2022</v>
      </c>
      <c r="C92" s="1">
        <f t="shared" si="12"/>
        <v>7</v>
      </c>
      <c r="D92" s="268">
        <f>'Monthly Data'!J92</f>
        <v>11689555.982580787</v>
      </c>
      <c r="E92" s="278">
        <f t="shared" ca="1" si="10"/>
        <v>7.4583333333333002E-2</v>
      </c>
      <c r="F92" s="278">
        <f t="shared" ca="1" si="10"/>
        <v>235.94737858727848</v>
      </c>
      <c r="G92" s="18">
        <f>'Monthly Data'!CG92</f>
        <v>0.25</v>
      </c>
      <c r="H92" s="4">
        <f>'Monthly Data'!CD92</f>
        <v>31</v>
      </c>
      <c r="I92" s="24">
        <f>'Monthly Data'!K92</f>
        <v>4310</v>
      </c>
      <c r="K92" s="18">
        <f>'GS&lt;50 Predicted Monthly'!$V$8</f>
        <v>-5629453.6994364997</v>
      </c>
      <c r="L92" s="18">
        <f ca="1">E92*'GS&lt;50 Predicted Monthly'!$V$9</f>
        <v>402.81463531336908</v>
      </c>
      <c r="M92" s="18">
        <f ca="1">F92*'GS&lt;50 Predicted Monthly'!$V$10</f>
        <v>2977283.7486175704</v>
      </c>
      <c r="N92" s="18">
        <f>G92*'GS&lt;50 Predicted Monthly'!$V$11</f>
        <v>-394826.90149292251</v>
      </c>
      <c r="O92" s="18">
        <f>H92*'GS&lt;50 Predicted Monthly'!$V$12</f>
        <v>8349205.4233871475</v>
      </c>
      <c r="P92" s="18">
        <f>I92*'GS&lt;50 Predicted Monthly'!$V$13</f>
        <v>6578878.6032332052</v>
      </c>
      <c r="Q92" s="280">
        <f t="shared" ca="1" si="7"/>
        <v>11881489.988943813</v>
      </c>
    </row>
    <row r="93" spans="1:17" x14ac:dyDescent="0.25">
      <c r="A93" s="3">
        <f>'Monthly Data'!A93</f>
        <v>44774</v>
      </c>
      <c r="B93" s="1">
        <f t="shared" si="11"/>
        <v>2022</v>
      </c>
      <c r="C93" s="1">
        <f t="shared" si="12"/>
        <v>8</v>
      </c>
      <c r="D93" s="268">
        <f>'Monthly Data'!J93</f>
        <v>12151700.400896436</v>
      </c>
      <c r="E93" s="278">
        <f t="shared" ca="1" si="10"/>
        <v>0.75041666666666718</v>
      </c>
      <c r="F93" s="278">
        <f t="shared" ca="1" si="10"/>
        <v>210.96558794466404</v>
      </c>
      <c r="G93" s="18">
        <f>'Monthly Data'!CG93</f>
        <v>0.25</v>
      </c>
      <c r="H93" s="4">
        <f>'Monthly Data'!CD93</f>
        <v>31</v>
      </c>
      <c r="I93" s="24">
        <f>'Monthly Data'!K93</f>
        <v>4310</v>
      </c>
      <c r="K93" s="18">
        <f>'GS&lt;50 Predicted Monthly'!$V$8</f>
        <v>-5629453.6994364997</v>
      </c>
      <c r="L93" s="18">
        <f ca="1">E93*'GS&lt;50 Predicted Monthly'!$V$9</f>
        <v>4052.9003251362087</v>
      </c>
      <c r="M93" s="18">
        <f ca="1">F93*'GS&lt;50 Predicted Monthly'!$V$10</f>
        <v>2662052.9554765075</v>
      </c>
      <c r="N93" s="18">
        <f>G93*'GS&lt;50 Predicted Monthly'!$V$11</f>
        <v>-394826.90149292251</v>
      </c>
      <c r="O93" s="18">
        <f>H93*'GS&lt;50 Predicted Monthly'!$V$12</f>
        <v>8349205.4233871475</v>
      </c>
      <c r="P93" s="18">
        <f>I93*'GS&lt;50 Predicted Monthly'!$V$13</f>
        <v>6578878.6032332052</v>
      </c>
      <c r="Q93" s="280">
        <f t="shared" ca="1" si="7"/>
        <v>11569909.281492574</v>
      </c>
    </row>
    <row r="94" spans="1:17" x14ac:dyDescent="0.25">
      <c r="A94" s="3">
        <f>'Monthly Data'!A94</f>
        <v>44805</v>
      </c>
      <c r="B94" s="1">
        <f t="shared" si="11"/>
        <v>2022</v>
      </c>
      <c r="C94" s="1">
        <f t="shared" si="12"/>
        <v>9</v>
      </c>
      <c r="D94" s="268">
        <f>'Monthly Data'!J94</f>
        <v>10411655.904462164</v>
      </c>
      <c r="E94" s="278">
        <f t="shared" ref="E94:F113" ca="1" si="13">E82</f>
        <v>26.342536231884061</v>
      </c>
      <c r="F94" s="278">
        <f t="shared" ca="1" si="13"/>
        <v>106.4160119047619</v>
      </c>
      <c r="G94" s="18">
        <f>'Monthly Data'!CG94</f>
        <v>0.25</v>
      </c>
      <c r="H94" s="4">
        <f>'Monthly Data'!CD94</f>
        <v>30</v>
      </c>
      <c r="I94" s="24">
        <f>'Monthly Data'!K94</f>
        <v>4317</v>
      </c>
      <c r="K94" s="18">
        <f>'GS&lt;50 Predicted Monthly'!$V$8</f>
        <v>-5629453.6994364997</v>
      </c>
      <c r="L94" s="18">
        <f ca="1">E94*'GS&lt;50 Predicted Monthly'!$V$9</f>
        <v>142272.52458738282</v>
      </c>
      <c r="M94" s="18">
        <f ca="1">F94*'GS&lt;50 Predicted Monthly'!$V$10</f>
        <v>1342802.2160438786</v>
      </c>
      <c r="N94" s="18">
        <f>G94*'GS&lt;50 Predicted Monthly'!$V$11</f>
        <v>-394826.90149292251</v>
      </c>
      <c r="O94" s="18">
        <f>H94*'GS&lt;50 Predicted Monthly'!$V$12</f>
        <v>8079876.2161811106</v>
      </c>
      <c r="P94" s="18">
        <f>I94*'GS&lt;50 Predicted Monthly'!$V$13</f>
        <v>6589563.5568811474</v>
      </c>
      <c r="Q94" s="280">
        <f t="shared" ca="1" si="7"/>
        <v>10130233.912764097</v>
      </c>
    </row>
    <row r="95" spans="1:17" x14ac:dyDescent="0.25">
      <c r="A95" s="3">
        <f>'Monthly Data'!A95</f>
        <v>44835</v>
      </c>
      <c r="B95" s="1">
        <f t="shared" si="11"/>
        <v>2022</v>
      </c>
      <c r="C95" s="1">
        <f t="shared" si="12"/>
        <v>10</v>
      </c>
      <c r="D95" s="268">
        <f>'Monthly Data'!J95</f>
        <v>9828046.4671053123</v>
      </c>
      <c r="E95" s="278">
        <f t="shared" ca="1" si="13"/>
        <v>181.36347826086953</v>
      </c>
      <c r="F95" s="278">
        <f t="shared" ca="1" si="13"/>
        <v>17.987083333333334</v>
      </c>
      <c r="G95" s="18">
        <f>'Monthly Data'!CG95</f>
        <v>0.25</v>
      </c>
      <c r="H95" s="4">
        <f>'Monthly Data'!CD95</f>
        <v>31</v>
      </c>
      <c r="I95" s="24">
        <f>'Monthly Data'!K95</f>
        <v>4318</v>
      </c>
      <c r="K95" s="18">
        <f>'GS&lt;50 Predicted Monthly'!$V$8</f>
        <v>-5629453.6994364997</v>
      </c>
      <c r="L95" s="18">
        <f ca="1">E95*'GS&lt;50 Predicted Monthly'!$V$9</f>
        <v>979519.95559530659</v>
      </c>
      <c r="M95" s="18">
        <f ca="1">F95*'GS&lt;50 Predicted Monthly'!$V$10</f>
        <v>226968.61992706486</v>
      </c>
      <c r="N95" s="18">
        <f>G95*'GS&lt;50 Predicted Monthly'!$V$11</f>
        <v>-394826.90149292251</v>
      </c>
      <c r="O95" s="18">
        <f>H95*'GS&lt;50 Predicted Monthly'!$V$12</f>
        <v>8349205.4233871475</v>
      </c>
      <c r="P95" s="18">
        <f>I95*'GS&lt;50 Predicted Monthly'!$V$13</f>
        <v>6591089.9788308535</v>
      </c>
      <c r="Q95" s="280">
        <f t="shared" ca="1" si="7"/>
        <v>10122503.376810949</v>
      </c>
    </row>
    <row r="96" spans="1:17" x14ac:dyDescent="0.25">
      <c r="A96" s="3">
        <f>'Monthly Data'!A96</f>
        <v>44866</v>
      </c>
      <c r="B96" s="1">
        <f t="shared" si="11"/>
        <v>2022</v>
      </c>
      <c r="C96" s="1">
        <f t="shared" si="12"/>
        <v>11</v>
      </c>
      <c r="D96" s="268">
        <f>'Monthly Data'!J96</f>
        <v>10674195.491496757</v>
      </c>
      <c r="E96" s="278">
        <f t="shared" ca="1" si="13"/>
        <v>366.78033055712399</v>
      </c>
      <c r="F96" s="278">
        <f t="shared" ca="1" si="13"/>
        <v>0.8083333333333329</v>
      </c>
      <c r="G96" s="18">
        <f>'Monthly Data'!CG96</f>
        <v>0.25</v>
      </c>
      <c r="H96" s="4">
        <f>'Monthly Data'!CD96</f>
        <v>30</v>
      </c>
      <c r="I96" s="24">
        <f>'Monthly Data'!K96</f>
        <v>4330</v>
      </c>
      <c r="K96" s="18">
        <f>'GS&lt;50 Predicted Monthly'!$V$8</f>
        <v>-5629453.6994364997</v>
      </c>
      <c r="L96" s="18">
        <f ca="1">E96*'GS&lt;50 Predicted Monthly'!$V$9</f>
        <v>1980931.6437115376</v>
      </c>
      <c r="M96" s="18">
        <f ca="1">F96*'GS&lt;50 Predicted Monthly'!$V$10</f>
        <v>10199.891650455318</v>
      </c>
      <c r="N96" s="18">
        <f>G96*'GS&lt;50 Predicted Monthly'!$V$11</f>
        <v>-394826.90149292251</v>
      </c>
      <c r="O96" s="18">
        <f>H96*'GS&lt;50 Predicted Monthly'!$V$12</f>
        <v>8079876.2161811106</v>
      </c>
      <c r="P96" s="18">
        <f>I96*'GS&lt;50 Predicted Monthly'!$V$13</f>
        <v>6609407.0422273269</v>
      </c>
      <c r="Q96" s="280">
        <f t="shared" ca="1" si="7"/>
        <v>10656134.192841008</v>
      </c>
    </row>
    <row r="97" spans="1:21" x14ac:dyDescent="0.25">
      <c r="A97" s="3">
        <f>'Monthly Data'!A97</f>
        <v>44896</v>
      </c>
      <c r="B97" s="1">
        <f t="shared" si="11"/>
        <v>2022</v>
      </c>
      <c r="C97" s="1">
        <f t="shared" si="12"/>
        <v>12</v>
      </c>
      <c r="D97" s="268">
        <f>'Monthly Data'!J97</f>
        <v>12137450.090663463</v>
      </c>
      <c r="E97" s="278">
        <f t="shared" ca="1" si="13"/>
        <v>515.92800724637686</v>
      </c>
      <c r="F97" s="278">
        <f t="shared" ca="1" si="13"/>
        <v>0</v>
      </c>
      <c r="G97" s="18">
        <f>'Monthly Data'!CG97</f>
        <v>0.25</v>
      </c>
      <c r="H97" s="4">
        <f>'Monthly Data'!CD97</f>
        <v>31</v>
      </c>
      <c r="I97" s="24">
        <f>'Monthly Data'!K97</f>
        <v>4328</v>
      </c>
      <c r="K97" s="18">
        <f>'GS&lt;50 Predicted Monthly'!$V$8</f>
        <v>-5629453.6994364997</v>
      </c>
      <c r="L97" s="18">
        <f ca="1">E97*'GS&lt;50 Predicted Monthly'!$V$9</f>
        <v>2786458.3520031748</v>
      </c>
      <c r="M97" s="18">
        <f ca="1">F97*'GS&lt;50 Predicted Monthly'!$V$10</f>
        <v>0</v>
      </c>
      <c r="N97" s="18">
        <f>G97*'GS&lt;50 Predicted Monthly'!$V$11</f>
        <v>-394826.90149292251</v>
      </c>
      <c r="O97" s="18">
        <f>H97*'GS&lt;50 Predicted Monthly'!$V$12</f>
        <v>8349205.4233871475</v>
      </c>
      <c r="P97" s="18">
        <f>I97*'GS&lt;50 Predicted Monthly'!$V$13</f>
        <v>6606354.1983279148</v>
      </c>
      <c r="Q97" s="280">
        <f t="shared" ca="1" si="7"/>
        <v>11717737.372788815</v>
      </c>
    </row>
    <row r="98" spans="1:21" x14ac:dyDescent="0.25">
      <c r="A98" s="3">
        <f>'Monthly Data'!A98</f>
        <v>44927</v>
      </c>
      <c r="B98" s="1">
        <f t="shared" si="11"/>
        <v>2023</v>
      </c>
      <c r="C98" s="1">
        <f t="shared" si="12"/>
        <v>1</v>
      </c>
      <c r="D98" s="268">
        <f>'Monthly Data'!J98</f>
        <v>11900920.75694887</v>
      </c>
      <c r="E98" s="278">
        <f t="shared" ca="1" si="13"/>
        <v>635.33418478260876</v>
      </c>
      <c r="F98" s="278">
        <f t="shared" ca="1" si="13"/>
        <v>0</v>
      </c>
      <c r="G98" s="18">
        <f>'Monthly Data'!CG98</f>
        <v>0</v>
      </c>
      <c r="H98" s="4">
        <f>'Monthly Data'!CD98</f>
        <v>31</v>
      </c>
      <c r="I98" s="24">
        <f>'Monthly Data'!K98</f>
        <v>4326</v>
      </c>
      <c r="K98" s="18">
        <f>'GS&lt;50 Predicted Monthly'!$V$8</f>
        <v>-5629453.6994364997</v>
      </c>
      <c r="L98" s="18">
        <f ca="1">E98*'GS&lt;50 Predicted Monthly'!$V$9</f>
        <v>3431355.1903283708</v>
      </c>
      <c r="M98" s="18">
        <f ca="1">F98*'GS&lt;50 Predicted Monthly'!$V$10</f>
        <v>0</v>
      </c>
      <c r="N98" s="18">
        <f>G98*'GS&lt;50 Predicted Monthly'!$V$11</f>
        <v>0</v>
      </c>
      <c r="O98" s="18">
        <f>H98*'GS&lt;50 Predicted Monthly'!$V$12</f>
        <v>8349205.4233871475</v>
      </c>
      <c r="P98" s="18">
        <f>I98*'GS&lt;50 Predicted Monthly'!$V$13</f>
        <v>6603301.3544285027</v>
      </c>
      <c r="Q98" s="280">
        <f t="shared" ref="Q98:Q129" ca="1" si="14">SUM(K98:P98)</f>
        <v>12754408.268707521</v>
      </c>
    </row>
    <row r="99" spans="1:21" x14ac:dyDescent="0.25">
      <c r="A99" s="3">
        <f>'Monthly Data'!A99</f>
        <v>44958</v>
      </c>
      <c r="B99" s="1">
        <f t="shared" si="11"/>
        <v>2023</v>
      </c>
      <c r="C99" s="1">
        <f t="shared" si="12"/>
        <v>2</v>
      </c>
      <c r="D99" s="268">
        <f>'Monthly Data'!J99</f>
        <v>11268388.96174559</v>
      </c>
      <c r="E99" s="278">
        <f t="shared" ca="1" si="13"/>
        <v>567.65501811594208</v>
      </c>
      <c r="F99" s="278">
        <f t="shared" ca="1" si="13"/>
        <v>0</v>
      </c>
      <c r="G99" s="18">
        <f>'Monthly Data'!CG99</f>
        <v>0</v>
      </c>
      <c r="H99" s="4">
        <f>'Monthly Data'!CD99</f>
        <v>28</v>
      </c>
      <c r="I99" s="24">
        <f>'Monthly Data'!K99</f>
        <v>4326</v>
      </c>
      <c r="K99" s="18">
        <f>'GS&lt;50 Predicted Monthly'!$V$8</f>
        <v>-5629453.6994364997</v>
      </c>
      <c r="L99" s="18">
        <f ca="1">E99*'GS&lt;50 Predicted Monthly'!$V$9</f>
        <v>3065829.0382951256</v>
      </c>
      <c r="M99" s="18">
        <f ca="1">F99*'GS&lt;50 Predicted Monthly'!$V$10</f>
        <v>0</v>
      </c>
      <c r="N99" s="18">
        <f>G99*'GS&lt;50 Predicted Monthly'!$V$11</f>
        <v>0</v>
      </c>
      <c r="O99" s="18">
        <f>H99*'GS&lt;50 Predicted Monthly'!$V$12</f>
        <v>7541217.8017690368</v>
      </c>
      <c r="P99" s="18">
        <f>I99*'GS&lt;50 Predicted Monthly'!$V$13</f>
        <v>6603301.3544285027</v>
      </c>
      <c r="Q99" s="280">
        <f t="shared" ca="1" si="14"/>
        <v>11580894.495056165</v>
      </c>
    </row>
    <row r="100" spans="1:21" x14ac:dyDescent="0.25">
      <c r="A100" s="3">
        <f>'Monthly Data'!A100</f>
        <v>44986</v>
      </c>
      <c r="B100" s="1">
        <f t="shared" si="11"/>
        <v>2023</v>
      </c>
      <c r="C100" s="1">
        <f t="shared" si="12"/>
        <v>3</v>
      </c>
      <c r="D100" s="268">
        <f>'Monthly Data'!J100</f>
        <v>11816770.193896014</v>
      </c>
      <c r="E100" s="278">
        <f t="shared" ca="1" si="13"/>
        <v>484.13298913043479</v>
      </c>
      <c r="F100" s="278">
        <f t="shared" ca="1" si="13"/>
        <v>0</v>
      </c>
      <c r="G100" s="18">
        <f>'Monthly Data'!CG100</f>
        <v>0</v>
      </c>
      <c r="H100" s="4">
        <f>'Monthly Data'!CD100</f>
        <v>31</v>
      </c>
      <c r="I100" s="24">
        <f>'Monthly Data'!K100</f>
        <v>4323</v>
      </c>
      <c r="K100" s="18">
        <f>'GS&lt;50 Predicted Monthly'!$V$8</f>
        <v>-5629453.6994364997</v>
      </c>
      <c r="L100" s="18">
        <f ca="1">E100*'GS&lt;50 Predicted Monthly'!$V$9</f>
        <v>2614737.7000189708</v>
      </c>
      <c r="M100" s="18">
        <f ca="1">F100*'GS&lt;50 Predicted Monthly'!$V$10</f>
        <v>0</v>
      </c>
      <c r="N100" s="18">
        <f>G100*'GS&lt;50 Predicted Monthly'!$V$11</f>
        <v>0</v>
      </c>
      <c r="O100" s="18">
        <f>H100*'GS&lt;50 Predicted Monthly'!$V$12</f>
        <v>8349205.4233871475</v>
      </c>
      <c r="P100" s="18">
        <f>I100*'GS&lt;50 Predicted Monthly'!$V$13</f>
        <v>6598722.0885793846</v>
      </c>
      <c r="Q100" s="280">
        <f t="shared" ca="1" si="14"/>
        <v>11933211.512549004</v>
      </c>
      <c r="T100" s="18"/>
      <c r="U100" s="285"/>
    </row>
    <row r="101" spans="1:21" x14ac:dyDescent="0.25">
      <c r="A101" s="3">
        <f>'Monthly Data'!A101</f>
        <v>45017</v>
      </c>
      <c r="B101" s="1">
        <f t="shared" si="11"/>
        <v>2023</v>
      </c>
      <c r="C101" s="1">
        <f t="shared" si="12"/>
        <v>4</v>
      </c>
      <c r="D101" s="268">
        <f>'Monthly Data'!J101</f>
        <v>9998588.696879793</v>
      </c>
      <c r="E101" s="278">
        <f t="shared" ca="1" si="13"/>
        <v>292.81107954545462</v>
      </c>
      <c r="F101" s="278">
        <f t="shared" ca="1" si="13"/>
        <v>2.1908333333333347</v>
      </c>
      <c r="G101" s="18">
        <f>'Monthly Data'!CG101</f>
        <v>0</v>
      </c>
      <c r="H101" s="4">
        <f>'Monthly Data'!CD101</f>
        <v>30</v>
      </c>
      <c r="I101" s="24">
        <f>'Monthly Data'!K101</f>
        <v>4324</v>
      </c>
      <c r="K101" s="18">
        <f>'GS&lt;50 Predicted Monthly'!$V$8</f>
        <v>-5629453.6994364997</v>
      </c>
      <c r="L101" s="18">
        <f ca="1">E101*'GS&lt;50 Predicted Monthly'!$V$9</f>
        <v>1581433.5851103917</v>
      </c>
      <c r="M101" s="18">
        <f ca="1">F101*'GS&lt;50 Predicted Monthly'!$V$10</f>
        <v>27644.860978399032</v>
      </c>
      <c r="N101" s="18">
        <f>G101*'GS&lt;50 Predicted Monthly'!$V$11</f>
        <v>0</v>
      </c>
      <c r="O101" s="18">
        <f>H101*'GS&lt;50 Predicted Monthly'!$V$12</f>
        <v>8079876.2161811106</v>
      </c>
      <c r="P101" s="18">
        <f>I101*'GS&lt;50 Predicted Monthly'!$V$13</f>
        <v>6600248.5105290907</v>
      </c>
      <c r="Q101" s="280">
        <f t="shared" ca="1" si="14"/>
        <v>10659749.473362492</v>
      </c>
      <c r="T101" s="18"/>
      <c r="U101" s="285"/>
    </row>
    <row r="102" spans="1:21" x14ac:dyDescent="0.25">
      <c r="A102" s="3">
        <f>'Monthly Data'!A102</f>
        <v>45047</v>
      </c>
      <c r="B102" s="1">
        <f t="shared" si="11"/>
        <v>2023</v>
      </c>
      <c r="C102" s="1">
        <f t="shared" si="12"/>
        <v>5</v>
      </c>
      <c r="D102" s="268">
        <f>'Monthly Data'!J102</f>
        <v>10368100.884234048</v>
      </c>
      <c r="E102" s="278">
        <f t="shared" ca="1" si="13"/>
        <v>103.25939244851259</v>
      </c>
      <c r="F102" s="278">
        <f t="shared" ca="1" si="13"/>
        <v>52.487435064935063</v>
      </c>
      <c r="G102" s="18">
        <f>'Monthly Data'!CG102</f>
        <v>0</v>
      </c>
      <c r="H102" s="4">
        <f>'Monthly Data'!CD102</f>
        <v>31</v>
      </c>
      <c r="I102" s="24">
        <f>'Monthly Data'!K102</f>
        <v>4331</v>
      </c>
      <c r="K102" s="18">
        <f>'GS&lt;50 Predicted Monthly'!$V$8</f>
        <v>-5629453.6994364997</v>
      </c>
      <c r="L102" s="18">
        <f ca="1">E102*'GS&lt;50 Predicted Monthly'!$V$9</f>
        <v>557690.20574517769</v>
      </c>
      <c r="M102" s="18">
        <f ca="1">F102*'GS&lt;50 Predicted Monthly'!$V$10</f>
        <v>662308.64000739844</v>
      </c>
      <c r="N102" s="18">
        <f>G102*'GS&lt;50 Predicted Monthly'!$V$11</f>
        <v>0</v>
      </c>
      <c r="O102" s="18">
        <f>H102*'GS&lt;50 Predicted Monthly'!$V$12</f>
        <v>8349205.4233871475</v>
      </c>
      <c r="P102" s="18">
        <f>I102*'GS&lt;50 Predicted Monthly'!$V$13</f>
        <v>6610933.4641770329</v>
      </c>
      <c r="Q102" s="280">
        <f t="shared" ca="1" si="14"/>
        <v>10550684.033880256</v>
      </c>
      <c r="T102" s="18"/>
      <c r="U102" s="285"/>
    </row>
    <row r="103" spans="1:21" x14ac:dyDescent="0.25">
      <c r="A103" s="3">
        <f>'Monthly Data'!A103</f>
        <v>45078</v>
      </c>
      <c r="B103" s="1">
        <f t="shared" si="11"/>
        <v>2023</v>
      </c>
      <c r="C103" s="1">
        <f t="shared" si="12"/>
        <v>6</v>
      </c>
      <c r="D103" s="268">
        <f>'Monthly Data'!J103</f>
        <v>11121434.915861359</v>
      </c>
      <c r="E103" s="278">
        <f t="shared" ca="1" si="13"/>
        <v>11.89069871794872</v>
      </c>
      <c r="F103" s="278">
        <f t="shared" ca="1" si="13"/>
        <v>137.65451754405018</v>
      </c>
      <c r="G103" s="18">
        <f>'Monthly Data'!CG103</f>
        <v>0</v>
      </c>
      <c r="H103" s="4">
        <f>'Monthly Data'!CD103</f>
        <v>30</v>
      </c>
      <c r="I103" s="24">
        <f>'Monthly Data'!K103</f>
        <v>4427</v>
      </c>
      <c r="K103" s="18">
        <f>'GS&lt;50 Predicted Monthly'!$V$8</f>
        <v>-5629453.6994364997</v>
      </c>
      <c r="L103" s="18">
        <f ca="1">E103*'GS&lt;50 Predicted Monthly'!$V$9</f>
        <v>64220.077779106323</v>
      </c>
      <c r="M103" s="18">
        <f ca="1">F103*'GS&lt;50 Predicted Monthly'!$V$10</f>
        <v>1736982.8834783668</v>
      </c>
      <c r="N103" s="18">
        <f>G103*'GS&lt;50 Predicted Monthly'!$V$11</f>
        <v>0</v>
      </c>
      <c r="O103" s="18">
        <f>H103*'GS&lt;50 Predicted Monthly'!$V$12</f>
        <v>8079876.2161811106</v>
      </c>
      <c r="P103" s="18">
        <f>I103*'GS&lt;50 Predicted Monthly'!$V$13</f>
        <v>6757469.9713488165</v>
      </c>
      <c r="Q103" s="280">
        <f t="shared" ca="1" si="14"/>
        <v>11009095.449350901</v>
      </c>
      <c r="T103" s="18"/>
      <c r="U103" s="285"/>
    </row>
    <row r="104" spans="1:21" x14ac:dyDescent="0.25">
      <c r="A104" s="3">
        <f>'Monthly Data'!A104</f>
        <v>45108</v>
      </c>
      <c r="B104" s="1">
        <f t="shared" si="11"/>
        <v>2023</v>
      </c>
      <c r="C104" s="1">
        <f t="shared" si="12"/>
        <v>7</v>
      </c>
      <c r="D104" s="268">
        <f>'Monthly Data'!J104</f>
        <v>12543088.678410012</v>
      </c>
      <c r="E104" s="278">
        <f t="shared" ca="1" si="13"/>
        <v>7.4583333333333002E-2</v>
      </c>
      <c r="F104" s="278">
        <f t="shared" ca="1" si="13"/>
        <v>235.94737858727848</v>
      </c>
      <c r="G104" s="18">
        <f>'Monthly Data'!CG104</f>
        <v>0</v>
      </c>
      <c r="H104" s="4">
        <f>'Monthly Data'!CD104</f>
        <v>31</v>
      </c>
      <c r="I104" s="24">
        <f>'Monthly Data'!K104</f>
        <v>4428</v>
      </c>
      <c r="K104" s="18">
        <f>'GS&lt;50 Predicted Monthly'!$V$8</f>
        <v>-5629453.6994364997</v>
      </c>
      <c r="L104" s="18">
        <f ca="1">E104*'GS&lt;50 Predicted Monthly'!$V$9</f>
        <v>402.81463531336908</v>
      </c>
      <c r="M104" s="18">
        <f ca="1">F104*'GS&lt;50 Predicted Monthly'!$V$10</f>
        <v>2977283.7486175704</v>
      </c>
      <c r="N104" s="18">
        <f>G104*'GS&lt;50 Predicted Monthly'!$V$11</f>
        <v>0</v>
      </c>
      <c r="O104" s="18">
        <f>H104*'GS&lt;50 Predicted Monthly'!$V$12</f>
        <v>8349205.4233871475</v>
      </c>
      <c r="P104" s="18">
        <f>I104*'GS&lt;50 Predicted Monthly'!$V$13</f>
        <v>6758996.3932985226</v>
      </c>
      <c r="Q104" s="280">
        <f t="shared" ca="1" si="14"/>
        <v>12456434.680502053</v>
      </c>
      <c r="T104" s="18"/>
      <c r="U104" s="285"/>
    </row>
    <row r="105" spans="1:21" x14ac:dyDescent="0.25">
      <c r="A105" s="3">
        <f>'Monthly Data'!A105</f>
        <v>45139</v>
      </c>
      <c r="B105" s="1">
        <f t="shared" si="11"/>
        <v>2023</v>
      </c>
      <c r="C105" s="1">
        <f t="shared" si="12"/>
        <v>8</v>
      </c>
      <c r="D105" s="268">
        <f>'Monthly Data'!J105</f>
        <v>11738596.573525636</v>
      </c>
      <c r="E105" s="278">
        <f t="shared" ca="1" si="13"/>
        <v>0.75041666666666718</v>
      </c>
      <c r="F105" s="278">
        <f t="shared" ca="1" si="13"/>
        <v>210.96558794466404</v>
      </c>
      <c r="G105" s="18">
        <f>'Monthly Data'!CG105</f>
        <v>0</v>
      </c>
      <c r="H105" s="4">
        <f>'Monthly Data'!CD105</f>
        <v>31</v>
      </c>
      <c r="I105" s="24">
        <f>'Monthly Data'!K105</f>
        <v>4431</v>
      </c>
      <c r="K105" s="18">
        <f>'GS&lt;50 Predicted Monthly'!$V$8</f>
        <v>-5629453.6994364997</v>
      </c>
      <c r="L105" s="18">
        <f ca="1">E105*'GS&lt;50 Predicted Monthly'!$V$9</f>
        <v>4052.9003251362087</v>
      </c>
      <c r="M105" s="18">
        <f ca="1">F105*'GS&lt;50 Predicted Monthly'!$V$10</f>
        <v>2662052.9554765075</v>
      </c>
      <c r="N105" s="18">
        <f>G105*'GS&lt;50 Predicted Monthly'!$V$11</f>
        <v>0</v>
      </c>
      <c r="O105" s="18">
        <f>H105*'GS&lt;50 Predicted Monthly'!$V$12</f>
        <v>8349205.4233871475</v>
      </c>
      <c r="P105" s="18">
        <f>I105*'GS&lt;50 Predicted Monthly'!$V$13</f>
        <v>6763575.6591476407</v>
      </c>
      <c r="Q105" s="280">
        <f t="shared" ca="1" si="14"/>
        <v>12149433.238899931</v>
      </c>
      <c r="T105" s="18"/>
      <c r="U105" s="285"/>
    </row>
    <row r="106" spans="1:21" x14ac:dyDescent="0.25">
      <c r="A106" s="3">
        <f>'Monthly Data'!A106</f>
        <v>45170</v>
      </c>
      <c r="B106" s="1">
        <f t="shared" si="11"/>
        <v>2023</v>
      </c>
      <c r="C106" s="1">
        <f t="shared" si="12"/>
        <v>9</v>
      </c>
      <c r="D106" s="268">
        <f>'Monthly Data'!J106</f>
        <v>10870998.545935581</v>
      </c>
      <c r="E106" s="278">
        <f t="shared" ca="1" si="13"/>
        <v>26.342536231884061</v>
      </c>
      <c r="F106" s="278">
        <f t="shared" ca="1" si="13"/>
        <v>106.4160119047619</v>
      </c>
      <c r="G106" s="18">
        <f>'Monthly Data'!CG106</f>
        <v>0</v>
      </c>
      <c r="H106" s="4">
        <f>'Monthly Data'!CD106</f>
        <v>30</v>
      </c>
      <c r="I106" s="24">
        <f>'Monthly Data'!K106</f>
        <v>4430</v>
      </c>
      <c r="K106" s="18">
        <f>'GS&lt;50 Predicted Monthly'!$V$8</f>
        <v>-5629453.6994364997</v>
      </c>
      <c r="L106" s="18">
        <f ca="1">E106*'GS&lt;50 Predicted Monthly'!$V$9</f>
        <v>142272.52458738282</v>
      </c>
      <c r="M106" s="18">
        <f ca="1">F106*'GS&lt;50 Predicted Monthly'!$V$10</f>
        <v>1342802.2160438786</v>
      </c>
      <c r="N106" s="18">
        <f>G106*'GS&lt;50 Predicted Monthly'!$V$11</f>
        <v>0</v>
      </c>
      <c r="O106" s="18">
        <f>H106*'GS&lt;50 Predicted Monthly'!$V$12</f>
        <v>8079876.2161811106</v>
      </c>
      <c r="P106" s="18">
        <f>I106*'GS&lt;50 Predicted Monthly'!$V$13</f>
        <v>6762049.2371979346</v>
      </c>
      <c r="Q106" s="280">
        <f t="shared" ca="1" si="14"/>
        <v>10697546.494573805</v>
      </c>
      <c r="T106" s="18"/>
      <c r="U106" s="285"/>
    </row>
    <row r="107" spans="1:21" x14ac:dyDescent="0.25">
      <c r="A107" s="3">
        <f>'Monthly Data'!A107</f>
        <v>45200</v>
      </c>
      <c r="B107" s="1">
        <f t="shared" si="11"/>
        <v>2023</v>
      </c>
      <c r="C107" s="1">
        <f t="shared" si="12"/>
        <v>10</v>
      </c>
      <c r="D107" s="268">
        <f>'Monthly Data'!J107</f>
        <v>10590140.294759065</v>
      </c>
      <c r="E107" s="278">
        <f t="shared" ca="1" si="13"/>
        <v>181.36347826086953</v>
      </c>
      <c r="F107" s="278">
        <f t="shared" ca="1" si="13"/>
        <v>17.987083333333334</v>
      </c>
      <c r="G107" s="18">
        <f>'Monthly Data'!CG107</f>
        <v>0</v>
      </c>
      <c r="H107" s="4">
        <f>'Monthly Data'!CD107</f>
        <v>31</v>
      </c>
      <c r="I107" s="24">
        <f>'Monthly Data'!K107</f>
        <v>4441</v>
      </c>
      <c r="K107" s="18">
        <f>'GS&lt;50 Predicted Monthly'!$V$8</f>
        <v>-5629453.6994364997</v>
      </c>
      <c r="L107" s="18">
        <f ca="1">E107*'GS&lt;50 Predicted Monthly'!$V$9</f>
        <v>979519.95559530659</v>
      </c>
      <c r="M107" s="18">
        <f ca="1">F107*'GS&lt;50 Predicted Monthly'!$V$10</f>
        <v>226968.61992706486</v>
      </c>
      <c r="N107" s="18">
        <f>G107*'GS&lt;50 Predicted Monthly'!$V$11</f>
        <v>0</v>
      </c>
      <c r="O107" s="18">
        <f>H107*'GS&lt;50 Predicted Monthly'!$V$12</f>
        <v>8349205.4233871475</v>
      </c>
      <c r="P107" s="18">
        <f>I107*'GS&lt;50 Predicted Monthly'!$V$13</f>
        <v>6778839.878644702</v>
      </c>
      <c r="Q107" s="280">
        <f t="shared" ca="1" si="14"/>
        <v>10705080.17811772</v>
      </c>
      <c r="T107" s="18"/>
      <c r="U107" s="285"/>
    </row>
    <row r="108" spans="1:21" x14ac:dyDescent="0.25">
      <c r="A108" s="3">
        <f>'Monthly Data'!A108</f>
        <v>45231</v>
      </c>
      <c r="B108" s="1">
        <f t="shared" si="11"/>
        <v>2023</v>
      </c>
      <c r="C108" s="1">
        <f t="shared" si="12"/>
        <v>11</v>
      </c>
      <c r="D108" s="268">
        <f>'Monthly Data'!J108</f>
        <v>11131893.18689983</v>
      </c>
      <c r="E108" s="278">
        <f t="shared" ca="1" si="13"/>
        <v>366.78033055712399</v>
      </c>
      <c r="F108" s="278">
        <f t="shared" ca="1" si="13"/>
        <v>0.8083333333333329</v>
      </c>
      <c r="G108" s="18">
        <f>'Monthly Data'!CG108</f>
        <v>0</v>
      </c>
      <c r="H108" s="4">
        <f>'Monthly Data'!CD108</f>
        <v>30</v>
      </c>
      <c r="I108" s="24">
        <f>'Monthly Data'!K108</f>
        <v>4460</v>
      </c>
      <c r="K108" s="18">
        <f>'GS&lt;50 Predicted Monthly'!$V$8</f>
        <v>-5629453.6994364997</v>
      </c>
      <c r="L108" s="18">
        <f ca="1">E108*'GS&lt;50 Predicted Monthly'!$V$9</f>
        <v>1980931.6437115376</v>
      </c>
      <c r="M108" s="18">
        <f ca="1">F108*'GS&lt;50 Predicted Monthly'!$V$10</f>
        <v>10199.891650455318</v>
      </c>
      <c r="N108" s="18">
        <f>G108*'GS&lt;50 Predicted Monthly'!$V$11</f>
        <v>0</v>
      </c>
      <c r="O108" s="18">
        <f>H108*'GS&lt;50 Predicted Monthly'!$V$12</f>
        <v>8079876.2161811106</v>
      </c>
      <c r="P108" s="18">
        <f>I108*'GS&lt;50 Predicted Monthly'!$V$13</f>
        <v>6807841.8956891177</v>
      </c>
      <c r="Q108" s="280">
        <f t="shared" ca="1" si="14"/>
        <v>11249395.947795723</v>
      </c>
      <c r="T108" s="18"/>
      <c r="U108" s="285"/>
    </row>
    <row r="109" spans="1:21" x14ac:dyDescent="0.25">
      <c r="A109" s="3">
        <f>'Monthly Data'!A109</f>
        <v>45261</v>
      </c>
      <c r="B109" s="1">
        <f t="shared" si="11"/>
        <v>2023</v>
      </c>
      <c r="C109" s="1">
        <f t="shared" si="12"/>
        <v>12</v>
      </c>
      <c r="D109" s="268">
        <f>'Monthly Data'!J109</f>
        <v>12209513.170633033</v>
      </c>
      <c r="E109" s="278">
        <f t="shared" ca="1" si="13"/>
        <v>515.92800724637686</v>
      </c>
      <c r="F109" s="278">
        <f t="shared" ca="1" si="13"/>
        <v>0</v>
      </c>
      <c r="G109" s="18">
        <f>'Monthly Data'!CG109</f>
        <v>0</v>
      </c>
      <c r="H109" s="4">
        <f>'Monthly Data'!CD109</f>
        <v>31</v>
      </c>
      <c r="I109" s="24">
        <f>'Monthly Data'!K109</f>
        <v>4474</v>
      </c>
      <c r="K109" s="18">
        <f>'GS&lt;50 Predicted Monthly'!$V$8</f>
        <v>-5629453.6994364997</v>
      </c>
      <c r="L109" s="18">
        <f ca="1">E109*'GS&lt;50 Predicted Monthly'!$V$9</f>
        <v>2786458.3520031748</v>
      </c>
      <c r="M109" s="18">
        <f ca="1">F109*'GS&lt;50 Predicted Monthly'!$V$10</f>
        <v>0</v>
      </c>
      <c r="N109" s="18">
        <f>G109*'GS&lt;50 Predicted Monthly'!$V$11</f>
        <v>0</v>
      </c>
      <c r="O109" s="18">
        <f>H109*'GS&lt;50 Predicted Monthly'!$V$12</f>
        <v>8349205.4233871475</v>
      </c>
      <c r="P109" s="18">
        <f>I109*'GS&lt;50 Predicted Monthly'!$V$13</f>
        <v>6829211.8029850023</v>
      </c>
      <c r="Q109" s="280">
        <f t="shared" ca="1" si="14"/>
        <v>12335421.878938824</v>
      </c>
      <c r="T109" s="18"/>
      <c r="U109" s="285"/>
    </row>
    <row r="110" spans="1:21" x14ac:dyDescent="0.25">
      <c r="A110" s="3">
        <f>'Monthly Data'!A110</f>
        <v>45292</v>
      </c>
      <c r="B110" s="1">
        <f t="shared" si="11"/>
        <v>2024</v>
      </c>
      <c r="C110" s="1">
        <f t="shared" si="12"/>
        <v>1</v>
      </c>
      <c r="D110" s="268">
        <f>'Monthly Data'!J110</f>
        <v>13021208.279869974</v>
      </c>
      <c r="E110" s="278">
        <f t="shared" ca="1" si="13"/>
        <v>635.33418478260876</v>
      </c>
      <c r="F110" s="278">
        <f t="shared" ca="1" si="13"/>
        <v>0</v>
      </c>
      <c r="G110" s="18">
        <f>'Monthly Data'!CG110</f>
        <v>0</v>
      </c>
      <c r="H110" s="4">
        <f>'Monthly Data'!CD110</f>
        <v>31</v>
      </c>
      <c r="I110" s="24">
        <f>'Monthly Data'!K110</f>
        <v>4429</v>
      </c>
      <c r="K110" s="18">
        <f>'GS&lt;50 Predicted Monthly'!$V$8</f>
        <v>-5629453.6994364997</v>
      </c>
      <c r="L110" s="18">
        <f ca="1">E110*'GS&lt;50 Predicted Monthly'!$V$9</f>
        <v>3431355.1903283708</v>
      </c>
      <c r="M110" s="18">
        <f ca="1">F110*'GS&lt;50 Predicted Monthly'!$V$10</f>
        <v>0</v>
      </c>
      <c r="N110" s="18">
        <f>G110*'GS&lt;50 Predicted Monthly'!$V$11</f>
        <v>0</v>
      </c>
      <c r="O110" s="18">
        <f>H110*'GS&lt;50 Predicted Monthly'!$V$12</f>
        <v>8349205.4233871475</v>
      </c>
      <c r="P110" s="18">
        <f>I110*'GS&lt;50 Predicted Monthly'!$V$13</f>
        <v>6760522.8152482286</v>
      </c>
      <c r="Q110" s="280">
        <f t="shared" ca="1" si="14"/>
        <v>12911629.729527246</v>
      </c>
      <c r="S110" s="268"/>
      <c r="T110" s="18"/>
      <c r="U110" s="285"/>
    </row>
    <row r="111" spans="1:21" x14ac:dyDescent="0.25">
      <c r="A111" s="3">
        <f>'Monthly Data'!A111</f>
        <v>45323</v>
      </c>
      <c r="B111" s="1">
        <f t="shared" si="11"/>
        <v>2024</v>
      </c>
      <c r="C111" s="1">
        <f t="shared" si="12"/>
        <v>2</v>
      </c>
      <c r="D111" s="268">
        <f>'Monthly Data'!J111</f>
        <v>11818521.553522315</v>
      </c>
      <c r="E111" s="278">
        <f t="shared" ca="1" si="13"/>
        <v>567.65501811594208</v>
      </c>
      <c r="F111" s="278">
        <f t="shared" ca="1" si="13"/>
        <v>0</v>
      </c>
      <c r="G111" s="18">
        <f>'Monthly Data'!CG111</f>
        <v>0</v>
      </c>
      <c r="H111" s="4">
        <f>'Monthly Data'!CD111</f>
        <v>29</v>
      </c>
      <c r="I111" s="24">
        <f>'Monthly Data'!K111</f>
        <v>4427</v>
      </c>
      <c r="K111" s="18">
        <f>'GS&lt;50 Predicted Monthly'!$V$8</f>
        <v>-5629453.6994364997</v>
      </c>
      <c r="L111" s="18">
        <f ca="1">E111*'GS&lt;50 Predicted Monthly'!$V$9</f>
        <v>3065829.0382951256</v>
      </c>
      <c r="M111" s="18">
        <f ca="1">F111*'GS&lt;50 Predicted Monthly'!$V$10</f>
        <v>0</v>
      </c>
      <c r="N111" s="18">
        <f>G111*'GS&lt;50 Predicted Monthly'!$V$11</f>
        <v>0</v>
      </c>
      <c r="O111" s="18">
        <f>H111*'GS&lt;50 Predicted Monthly'!$V$12</f>
        <v>7810547.0089750737</v>
      </c>
      <c r="P111" s="18">
        <f>I111*'GS&lt;50 Predicted Monthly'!$V$13</f>
        <v>6757469.9713488165</v>
      </c>
      <c r="Q111" s="280">
        <f t="shared" ca="1" si="14"/>
        <v>12004392.319182515</v>
      </c>
      <c r="S111" s="268"/>
      <c r="T111" s="18"/>
      <c r="U111" s="285"/>
    </row>
    <row r="112" spans="1:21" x14ac:dyDescent="0.25">
      <c r="A112" s="3">
        <f>'Monthly Data'!A112</f>
        <v>45352</v>
      </c>
      <c r="B112" s="1">
        <f t="shared" si="11"/>
        <v>2024</v>
      </c>
      <c r="C112" s="1">
        <f t="shared" si="12"/>
        <v>3</v>
      </c>
      <c r="D112" s="268">
        <f>'Monthly Data'!J112</f>
        <v>11858526.827174658</v>
      </c>
      <c r="E112" s="278">
        <f t="shared" ca="1" si="13"/>
        <v>484.13298913043479</v>
      </c>
      <c r="F112" s="278">
        <f t="shared" ca="1" si="13"/>
        <v>0</v>
      </c>
      <c r="G112" s="18">
        <f>'Monthly Data'!CG112</f>
        <v>0</v>
      </c>
      <c r="H112" s="4">
        <f>'Monthly Data'!CD112</f>
        <v>31</v>
      </c>
      <c r="I112" s="24">
        <f>'Monthly Data'!K112</f>
        <v>4431</v>
      </c>
      <c r="K112" s="18">
        <f>'GS&lt;50 Predicted Monthly'!$V$8</f>
        <v>-5629453.6994364997</v>
      </c>
      <c r="L112" s="18">
        <f ca="1">E112*'GS&lt;50 Predicted Monthly'!$V$9</f>
        <v>2614737.7000189708</v>
      </c>
      <c r="M112" s="18">
        <f ca="1">F112*'GS&lt;50 Predicted Monthly'!$V$10</f>
        <v>0</v>
      </c>
      <c r="N112" s="18">
        <f>G112*'GS&lt;50 Predicted Monthly'!$V$11</f>
        <v>0</v>
      </c>
      <c r="O112" s="18">
        <f>H112*'GS&lt;50 Predicted Monthly'!$V$12</f>
        <v>8349205.4233871475</v>
      </c>
      <c r="P112" s="18">
        <f>I112*'GS&lt;50 Predicted Monthly'!$V$13</f>
        <v>6763575.6591476407</v>
      </c>
      <c r="Q112" s="280">
        <f t="shared" ca="1" si="14"/>
        <v>12098065.08311726</v>
      </c>
      <c r="S112" s="268"/>
    </row>
    <row r="113" spans="1:20" x14ac:dyDescent="0.25">
      <c r="A113" s="3">
        <f>'Monthly Data'!A113</f>
        <v>45383</v>
      </c>
      <c r="B113" s="1">
        <f t="shared" si="11"/>
        <v>2024</v>
      </c>
      <c r="C113" s="1">
        <f t="shared" si="12"/>
        <v>4</v>
      </c>
      <c r="D113" s="268">
        <f>'Monthly Data'!J113</f>
        <v>10824886.100827001</v>
      </c>
      <c r="E113" s="278">
        <f t="shared" ca="1" si="13"/>
        <v>292.81107954545462</v>
      </c>
      <c r="F113" s="278">
        <f t="shared" ca="1" si="13"/>
        <v>2.1908333333333347</v>
      </c>
      <c r="G113" s="18">
        <f>'Monthly Data'!CG113</f>
        <v>0</v>
      </c>
      <c r="H113" s="4">
        <f>'Monthly Data'!CD113</f>
        <v>30</v>
      </c>
      <c r="I113" s="24">
        <f>'Monthly Data'!K113</f>
        <v>4433</v>
      </c>
      <c r="K113" s="18">
        <f>'GS&lt;50 Predicted Monthly'!$V$8</f>
        <v>-5629453.6994364997</v>
      </c>
      <c r="L113" s="18">
        <f ca="1">E113*'GS&lt;50 Predicted Monthly'!$V$9</f>
        <v>1581433.5851103917</v>
      </c>
      <c r="M113" s="18">
        <f ca="1">F113*'GS&lt;50 Predicted Monthly'!$V$10</f>
        <v>27644.860978399032</v>
      </c>
      <c r="N113" s="18">
        <f>G113*'GS&lt;50 Predicted Monthly'!$V$11</f>
        <v>0</v>
      </c>
      <c r="O113" s="18">
        <f>H113*'GS&lt;50 Predicted Monthly'!$V$12</f>
        <v>8079876.2161811106</v>
      </c>
      <c r="P113" s="18">
        <f>I113*'GS&lt;50 Predicted Monthly'!$V$13</f>
        <v>6766628.5030470528</v>
      </c>
      <c r="Q113" s="280">
        <f t="shared" ca="1" si="14"/>
        <v>10826129.465880454</v>
      </c>
      <c r="S113" s="268"/>
      <c r="T113" s="18"/>
    </row>
    <row r="114" spans="1:20" x14ac:dyDescent="0.25">
      <c r="A114" s="3">
        <f>'Monthly Data'!A114</f>
        <v>45413</v>
      </c>
      <c r="B114" s="1">
        <f t="shared" si="11"/>
        <v>2024</v>
      </c>
      <c r="C114" s="1">
        <f t="shared" si="12"/>
        <v>5</v>
      </c>
      <c r="D114" s="268">
        <f>'Monthly Data'!J114</f>
        <v>10836231.374479344</v>
      </c>
      <c r="E114" s="278">
        <f t="shared" ref="E114:F133" ca="1" si="15">E102</f>
        <v>103.25939244851259</v>
      </c>
      <c r="F114" s="278">
        <f t="shared" ca="1" si="15"/>
        <v>52.487435064935063</v>
      </c>
      <c r="G114" s="18">
        <f>'Monthly Data'!CG114</f>
        <v>0</v>
      </c>
      <c r="H114" s="4">
        <f>'Monthly Data'!CD114</f>
        <v>31</v>
      </c>
      <c r="I114" s="24">
        <f>'Monthly Data'!K114</f>
        <v>4438</v>
      </c>
      <c r="K114" s="18">
        <f>'GS&lt;50 Predicted Monthly'!$V$8</f>
        <v>-5629453.6994364997</v>
      </c>
      <c r="L114" s="18">
        <f ca="1">E114*'GS&lt;50 Predicted Monthly'!$V$9</f>
        <v>557690.20574517769</v>
      </c>
      <c r="M114" s="18">
        <f ca="1">F114*'GS&lt;50 Predicted Monthly'!$V$10</f>
        <v>662308.64000739844</v>
      </c>
      <c r="N114" s="18">
        <f>G114*'GS&lt;50 Predicted Monthly'!$V$11</f>
        <v>0</v>
      </c>
      <c r="O114" s="18">
        <f>H114*'GS&lt;50 Predicted Monthly'!$V$12</f>
        <v>8349205.4233871475</v>
      </c>
      <c r="P114" s="18">
        <f>I114*'GS&lt;50 Predicted Monthly'!$V$13</f>
        <v>6774260.6127955839</v>
      </c>
      <c r="Q114" s="280">
        <f t="shared" ca="1" si="14"/>
        <v>10714011.182498807</v>
      </c>
      <c r="S114" s="268"/>
      <c r="T114" s="18"/>
    </row>
    <row r="115" spans="1:20" x14ac:dyDescent="0.25">
      <c r="A115" s="3">
        <f>'Monthly Data'!A115</f>
        <v>45444</v>
      </c>
      <c r="B115" s="1">
        <f t="shared" si="11"/>
        <v>2024</v>
      </c>
      <c r="C115" s="1">
        <f t="shared" si="12"/>
        <v>6</v>
      </c>
      <c r="D115" s="268">
        <f>'Monthly Data'!J115</f>
        <v>11568243.648131687</v>
      </c>
      <c r="E115" s="278">
        <f t="shared" ca="1" si="15"/>
        <v>11.89069871794872</v>
      </c>
      <c r="F115" s="278">
        <f t="shared" ca="1" si="15"/>
        <v>137.65451754405018</v>
      </c>
      <c r="G115" s="18">
        <f>'Monthly Data'!CG115</f>
        <v>0</v>
      </c>
      <c r="H115" s="4">
        <f>'Monthly Data'!CD115</f>
        <v>30</v>
      </c>
      <c r="I115" s="24">
        <f>'Monthly Data'!K115</f>
        <v>4437</v>
      </c>
      <c r="K115" s="18">
        <f>'GS&lt;50 Predicted Monthly'!$V$8</f>
        <v>-5629453.6994364997</v>
      </c>
      <c r="L115" s="18">
        <f ca="1">E115*'GS&lt;50 Predicted Monthly'!$V$9</f>
        <v>64220.077779106323</v>
      </c>
      <c r="M115" s="18">
        <f ca="1">F115*'GS&lt;50 Predicted Monthly'!$V$10</f>
        <v>1736982.8834783668</v>
      </c>
      <c r="N115" s="18">
        <f>G115*'GS&lt;50 Predicted Monthly'!$V$11</f>
        <v>0</v>
      </c>
      <c r="O115" s="18">
        <f>H115*'GS&lt;50 Predicted Monthly'!$V$12</f>
        <v>8079876.2161811106</v>
      </c>
      <c r="P115" s="18">
        <f>I115*'GS&lt;50 Predicted Monthly'!$V$13</f>
        <v>6772734.1908458779</v>
      </c>
      <c r="Q115" s="280">
        <f t="shared" ca="1" si="14"/>
        <v>11024359.668847961</v>
      </c>
      <c r="S115" s="268"/>
      <c r="T115" s="18"/>
    </row>
    <row r="116" spans="1:20" x14ac:dyDescent="0.25">
      <c r="A116" s="3">
        <v>45474</v>
      </c>
      <c r="B116" s="1">
        <f t="shared" si="11"/>
        <v>2024</v>
      </c>
      <c r="C116" s="1">
        <f t="shared" si="12"/>
        <v>7</v>
      </c>
      <c r="D116" s="268">
        <f>'Monthly Data'!J116</f>
        <v>13208076.921784028</v>
      </c>
      <c r="E116" s="278">
        <f t="shared" ca="1" si="15"/>
        <v>7.4583333333333002E-2</v>
      </c>
      <c r="F116" s="278">
        <f t="shared" ca="1" si="15"/>
        <v>235.94737858727848</v>
      </c>
      <c r="G116" s="18">
        <f>'Monthly Data'!CG116</f>
        <v>0</v>
      </c>
      <c r="H116" s="4">
        <f>'Monthly Data'!CD116</f>
        <v>31</v>
      </c>
      <c r="I116" s="24">
        <f>'Monthly Data'!K116</f>
        <v>4438</v>
      </c>
      <c r="K116" s="18">
        <f>'GS&lt;50 Predicted Monthly'!$V$8</f>
        <v>-5629453.6994364997</v>
      </c>
      <c r="L116" s="18">
        <f ca="1">E116*'GS&lt;50 Predicted Monthly'!$V$9</f>
        <v>402.81463531336908</v>
      </c>
      <c r="M116" s="18">
        <f ca="1">F116*'GS&lt;50 Predicted Monthly'!$V$10</f>
        <v>2977283.7486175704</v>
      </c>
      <c r="N116" s="18">
        <f>G116*'GS&lt;50 Predicted Monthly'!$V$11</f>
        <v>0</v>
      </c>
      <c r="O116" s="18">
        <f>H116*'GS&lt;50 Predicted Monthly'!$V$12</f>
        <v>8349205.4233871475</v>
      </c>
      <c r="P116" s="18">
        <f>I116*'GS&lt;50 Predicted Monthly'!$V$13</f>
        <v>6774260.6127955839</v>
      </c>
      <c r="Q116" s="280">
        <f t="shared" ca="1" si="14"/>
        <v>12471698.899999116</v>
      </c>
      <c r="T116" s="18"/>
    </row>
    <row r="117" spans="1:20" x14ac:dyDescent="0.25">
      <c r="A117" s="3">
        <v>45505</v>
      </c>
      <c r="B117" s="1">
        <f t="shared" si="11"/>
        <v>2024</v>
      </c>
      <c r="C117" s="1">
        <f t="shared" si="12"/>
        <v>8</v>
      </c>
      <c r="D117" s="268">
        <f>'Monthly Data'!J117</f>
        <v>12544661.195436371</v>
      </c>
      <c r="E117" s="278">
        <f t="shared" ca="1" si="15"/>
        <v>0.75041666666666718</v>
      </c>
      <c r="F117" s="278">
        <f t="shared" ca="1" si="15"/>
        <v>210.96558794466404</v>
      </c>
      <c r="G117" s="18">
        <f>'Monthly Data'!CG117</f>
        <v>0</v>
      </c>
      <c r="H117" s="4">
        <f>'Monthly Data'!CD117</f>
        <v>31</v>
      </c>
      <c r="I117" s="24">
        <f>'Monthly Data'!K117</f>
        <v>4440</v>
      </c>
      <c r="K117" s="18">
        <f>'GS&lt;50 Predicted Monthly'!$V$8</f>
        <v>-5629453.6994364997</v>
      </c>
      <c r="L117" s="18">
        <f ca="1">E117*'GS&lt;50 Predicted Monthly'!$V$9</f>
        <v>4052.9003251362087</v>
      </c>
      <c r="M117" s="18">
        <f ca="1">F117*'GS&lt;50 Predicted Monthly'!$V$10</f>
        <v>2662052.9554765075</v>
      </c>
      <c r="N117" s="18">
        <f>G117*'GS&lt;50 Predicted Monthly'!$V$11</f>
        <v>0</v>
      </c>
      <c r="O117" s="18">
        <f>H117*'GS&lt;50 Predicted Monthly'!$V$12</f>
        <v>8349205.4233871475</v>
      </c>
      <c r="P117" s="18">
        <f>I117*'GS&lt;50 Predicted Monthly'!$V$13</f>
        <v>6777313.456694996</v>
      </c>
      <c r="Q117" s="280">
        <f t="shared" ca="1" si="14"/>
        <v>12163171.036447287</v>
      </c>
      <c r="T117" s="18"/>
    </row>
    <row r="118" spans="1:20" x14ac:dyDescent="0.25">
      <c r="A118" s="3">
        <v>45536</v>
      </c>
      <c r="B118" s="1">
        <f t="shared" si="11"/>
        <v>2024</v>
      </c>
      <c r="C118" s="1">
        <f t="shared" si="12"/>
        <v>9</v>
      </c>
      <c r="D118" s="268">
        <f>'Monthly Data'!J118</f>
        <v>11181801.469088715</v>
      </c>
      <c r="E118" s="278">
        <f t="shared" ca="1" si="15"/>
        <v>26.342536231884061</v>
      </c>
      <c r="F118" s="278">
        <f t="shared" ca="1" si="15"/>
        <v>106.4160119047619</v>
      </c>
      <c r="G118" s="18">
        <f>'Monthly Data'!CG118</f>
        <v>0</v>
      </c>
      <c r="H118" s="4">
        <f>'Monthly Data'!CD118</f>
        <v>30</v>
      </c>
      <c r="I118" s="24">
        <f>'Monthly Data'!K118</f>
        <v>4445</v>
      </c>
      <c r="K118" s="18">
        <f>'GS&lt;50 Predicted Monthly'!$V$8</f>
        <v>-5629453.6994364997</v>
      </c>
      <c r="L118" s="18">
        <f ca="1">E118*'GS&lt;50 Predicted Monthly'!$V$9</f>
        <v>142272.52458738282</v>
      </c>
      <c r="M118" s="18">
        <f ca="1">F118*'GS&lt;50 Predicted Monthly'!$V$10</f>
        <v>1342802.2160438786</v>
      </c>
      <c r="N118" s="18">
        <f>G118*'GS&lt;50 Predicted Monthly'!$V$11</f>
        <v>0</v>
      </c>
      <c r="O118" s="18">
        <f>H118*'GS&lt;50 Predicted Monthly'!$V$12</f>
        <v>8079876.2161811106</v>
      </c>
      <c r="P118" s="18">
        <f>I118*'GS&lt;50 Predicted Monthly'!$V$13</f>
        <v>6784945.5664435262</v>
      </c>
      <c r="Q118" s="280">
        <f t="shared" ca="1" si="14"/>
        <v>10720442.823819399</v>
      </c>
      <c r="T118" s="18"/>
    </row>
    <row r="119" spans="1:20" x14ac:dyDescent="0.25">
      <c r="A119" s="3">
        <v>45566</v>
      </c>
      <c r="B119" s="1">
        <f t="shared" si="11"/>
        <v>2024</v>
      </c>
      <c r="C119" s="1">
        <f t="shared" si="12"/>
        <v>10</v>
      </c>
      <c r="D119" s="268">
        <f>'Monthly Data'!J119</f>
        <v>10551404.742741058</v>
      </c>
      <c r="E119" s="278">
        <f t="shared" ca="1" si="15"/>
        <v>181.36347826086953</v>
      </c>
      <c r="F119" s="278">
        <f t="shared" ca="1" si="15"/>
        <v>17.987083333333334</v>
      </c>
      <c r="G119" s="18">
        <f>'Monthly Data'!CG119</f>
        <v>0</v>
      </c>
      <c r="H119" s="4">
        <f>'Monthly Data'!CD119</f>
        <v>31</v>
      </c>
      <c r="I119" s="24">
        <f>'Monthly Data'!K119</f>
        <v>4447</v>
      </c>
      <c r="K119" s="18">
        <f>'GS&lt;50 Predicted Monthly'!$V$8</f>
        <v>-5629453.6994364997</v>
      </c>
      <c r="L119" s="18">
        <f ca="1">E119*'GS&lt;50 Predicted Monthly'!$V$9</f>
        <v>979519.95559530659</v>
      </c>
      <c r="M119" s="18">
        <f ca="1">F119*'GS&lt;50 Predicted Monthly'!$V$10</f>
        <v>226968.61992706486</v>
      </c>
      <c r="N119" s="18">
        <f>G119*'GS&lt;50 Predicted Monthly'!$V$11</f>
        <v>0</v>
      </c>
      <c r="O119" s="18">
        <f>H119*'GS&lt;50 Predicted Monthly'!$V$12</f>
        <v>8349205.4233871475</v>
      </c>
      <c r="P119" s="18">
        <f>I119*'GS&lt;50 Predicted Monthly'!$V$13</f>
        <v>6787998.4103429383</v>
      </c>
      <c r="Q119" s="280">
        <f t="shared" ca="1" si="14"/>
        <v>10714238.709815957</v>
      </c>
      <c r="T119" s="18"/>
    </row>
    <row r="120" spans="1:20" x14ac:dyDescent="0.25">
      <c r="A120" s="3">
        <v>45597</v>
      </c>
      <c r="B120" s="1">
        <f t="shared" si="11"/>
        <v>2024</v>
      </c>
      <c r="C120" s="1">
        <f t="shared" si="12"/>
        <v>11</v>
      </c>
      <c r="D120" s="268">
        <f>'Monthly Data'!J120</f>
        <v>11150445.016393399</v>
      </c>
      <c r="E120" s="278">
        <f t="shared" ca="1" si="15"/>
        <v>366.78033055712399</v>
      </c>
      <c r="F120" s="278">
        <f t="shared" ca="1" si="15"/>
        <v>0.8083333333333329</v>
      </c>
      <c r="G120" s="18">
        <f>'Monthly Data'!CG120</f>
        <v>0</v>
      </c>
      <c r="H120" s="4">
        <f>'Monthly Data'!CD120</f>
        <v>30</v>
      </c>
      <c r="I120" s="24">
        <f>'Monthly Data'!K120</f>
        <v>4465</v>
      </c>
      <c r="K120" s="18">
        <f>'GS&lt;50 Predicted Monthly'!$V$8</f>
        <v>-5629453.6994364997</v>
      </c>
      <c r="L120" s="18">
        <f ca="1">E120*'GS&lt;50 Predicted Monthly'!$V$9</f>
        <v>1980931.6437115376</v>
      </c>
      <c r="M120" s="18">
        <f ca="1">F120*'GS&lt;50 Predicted Monthly'!$V$10</f>
        <v>10199.891650455318</v>
      </c>
      <c r="N120" s="18">
        <f>G120*'GS&lt;50 Predicted Monthly'!$V$11</f>
        <v>0</v>
      </c>
      <c r="O120" s="18">
        <f>H120*'GS&lt;50 Predicted Monthly'!$V$12</f>
        <v>8079876.2161811106</v>
      </c>
      <c r="P120" s="18">
        <f>I120*'GS&lt;50 Predicted Monthly'!$V$13</f>
        <v>6815474.0054376479</v>
      </c>
      <c r="Q120" s="280">
        <f t="shared" ca="1" si="14"/>
        <v>11257028.057544252</v>
      </c>
      <c r="T120" s="18"/>
    </row>
    <row r="121" spans="1:20" x14ac:dyDescent="0.25">
      <c r="A121" s="3">
        <v>45627</v>
      </c>
      <c r="B121" s="1">
        <f t="shared" si="11"/>
        <v>2024</v>
      </c>
      <c r="C121" s="1">
        <f t="shared" si="12"/>
        <v>12</v>
      </c>
      <c r="D121" s="268">
        <f>'Monthly Data'!J121</f>
        <v>13006669.290045742</v>
      </c>
      <c r="E121" s="278">
        <f t="shared" ca="1" si="15"/>
        <v>515.92800724637686</v>
      </c>
      <c r="F121" s="278">
        <f t="shared" ca="1" si="15"/>
        <v>0</v>
      </c>
      <c r="G121" s="18">
        <f>'Monthly Data'!CG121</f>
        <v>0</v>
      </c>
      <c r="H121" s="4">
        <f>'Monthly Data'!CD121</f>
        <v>31</v>
      </c>
      <c r="I121" s="24">
        <f>'Monthly Data'!K121</f>
        <v>4297</v>
      </c>
      <c r="K121" s="18">
        <f>'GS&lt;50 Predicted Monthly'!$V$8</f>
        <v>-5629453.6994364997</v>
      </c>
      <c r="L121" s="18">
        <f ca="1">E121*'GS&lt;50 Predicted Monthly'!$V$9</f>
        <v>2786458.3520031748</v>
      </c>
      <c r="M121" s="18">
        <f ca="1">F121*'GS&lt;50 Predicted Monthly'!$V$10</f>
        <v>0</v>
      </c>
      <c r="N121" s="18">
        <f>G121*'GS&lt;50 Predicted Monthly'!$V$11</f>
        <v>0</v>
      </c>
      <c r="O121" s="18">
        <f>H121*'GS&lt;50 Predicted Monthly'!$V$12</f>
        <v>8349205.4233871475</v>
      </c>
      <c r="P121" s="18">
        <f>I121*'GS&lt;50 Predicted Monthly'!$V$13</f>
        <v>6559035.1178870266</v>
      </c>
      <c r="Q121" s="280">
        <f t="shared" ca="1" si="14"/>
        <v>12065245.19384085</v>
      </c>
      <c r="T121" s="18"/>
    </row>
    <row r="122" spans="1:20" x14ac:dyDescent="0.25">
      <c r="A122" s="3">
        <v>45658</v>
      </c>
      <c r="B122" s="1">
        <f t="shared" si="11"/>
        <v>2025</v>
      </c>
      <c r="C122" s="1">
        <f t="shared" si="12"/>
        <v>1</v>
      </c>
      <c r="E122" s="289">
        <f t="shared" ca="1" si="15"/>
        <v>635.33418478260876</v>
      </c>
      <c r="F122" s="289">
        <f t="shared" ca="1" si="15"/>
        <v>0</v>
      </c>
      <c r="G122" s="313"/>
      <c r="H122" s="289">
        <f>H74</f>
        <v>31</v>
      </c>
      <c r="I122" s="16">
        <f>'Customer Count'!G35</f>
        <v>4453.0184501550502</v>
      </c>
      <c r="K122" s="18">
        <f>'GS&lt;50 Predicted Monthly'!$V$8</f>
        <v>-5629453.6994364997</v>
      </c>
      <c r="L122" s="18">
        <f ca="1">E122*'GS&lt;50 Predicted Monthly'!$V$9</f>
        <v>3431355.1903283708</v>
      </c>
      <c r="M122" s="18">
        <f ca="1">F122*'GS&lt;50 Predicted Monthly'!$V$10</f>
        <v>0</v>
      </c>
      <c r="N122" s="18">
        <f>G122*'GS&lt;50 Predicted Monthly'!$V$11</f>
        <v>0</v>
      </c>
      <c r="O122" s="18">
        <f>H122*'GS&lt;50 Predicted Monthly'!$V$12</f>
        <v>8349205.4233871475</v>
      </c>
      <c r="P122" s="18">
        <f>I122*'GS&lt;50 Predicted Monthly'!$V$13</f>
        <v>6797185.1047628187</v>
      </c>
      <c r="Q122" s="280">
        <f t="shared" ca="1" si="14"/>
        <v>12948292.019041836</v>
      </c>
      <c r="T122" s="18"/>
    </row>
    <row r="123" spans="1:20" x14ac:dyDescent="0.25">
      <c r="A123" s="3">
        <v>45689</v>
      </c>
      <c r="B123" s="1">
        <f t="shared" si="11"/>
        <v>2025</v>
      </c>
      <c r="C123" s="1">
        <f t="shared" si="12"/>
        <v>2</v>
      </c>
      <c r="E123" s="289">
        <f t="shared" ca="1" si="15"/>
        <v>567.65501811594208</v>
      </c>
      <c r="F123" s="289">
        <f t="shared" ca="1" si="15"/>
        <v>0</v>
      </c>
      <c r="G123" s="313"/>
      <c r="H123" s="289">
        <f t="shared" ref="H123:H145" si="16">H75</f>
        <v>28</v>
      </c>
      <c r="I123" s="16">
        <f>'Customer Count'!G36</f>
        <v>4456.9989474110034</v>
      </c>
      <c r="K123" s="18">
        <f>'GS&lt;50 Predicted Monthly'!$V$8</f>
        <v>-5629453.6994364997</v>
      </c>
      <c r="L123" s="18">
        <f ca="1">E123*'GS&lt;50 Predicted Monthly'!$V$9</f>
        <v>3065829.0382951256</v>
      </c>
      <c r="M123" s="18">
        <f ca="1">F123*'GS&lt;50 Predicted Monthly'!$V$10</f>
        <v>0</v>
      </c>
      <c r="N123" s="18">
        <f>G123*'GS&lt;50 Predicted Monthly'!$V$11</f>
        <v>0</v>
      </c>
      <c r="O123" s="18">
        <f>H123*'GS&lt;50 Predicted Monthly'!$V$12</f>
        <v>7541217.8017690368</v>
      </c>
      <c r="P123" s="18">
        <f>I123*'GS&lt;50 Predicted Monthly'!$V$13</f>
        <v>6803261.0231450507</v>
      </c>
      <c r="Q123" s="280">
        <f t="shared" ca="1" si="14"/>
        <v>11780854.163772713</v>
      </c>
      <c r="T123" s="18"/>
    </row>
    <row r="124" spans="1:20" x14ac:dyDescent="0.25">
      <c r="A124" s="3">
        <v>45717</v>
      </c>
      <c r="B124" s="1">
        <f t="shared" si="11"/>
        <v>2025</v>
      </c>
      <c r="C124" s="1">
        <f t="shared" si="12"/>
        <v>3</v>
      </c>
      <c r="E124" s="289">
        <f t="shared" ca="1" si="15"/>
        <v>484.13298913043479</v>
      </c>
      <c r="F124" s="289">
        <f t="shared" ca="1" si="15"/>
        <v>0</v>
      </c>
      <c r="G124" s="313"/>
      <c r="H124" s="289">
        <f t="shared" si="16"/>
        <v>31</v>
      </c>
      <c r="I124" s="16">
        <f>'Customer Count'!G37</f>
        <v>4460.9830027834523</v>
      </c>
      <c r="K124" s="18">
        <f>'GS&lt;50 Predicted Monthly'!$V$8</f>
        <v>-5629453.6994364997</v>
      </c>
      <c r="L124" s="18">
        <f ca="1">E124*'GS&lt;50 Predicted Monthly'!$V$9</f>
        <v>2614737.7000189708</v>
      </c>
      <c r="M124" s="18">
        <f ca="1">F124*'GS&lt;50 Predicted Monthly'!$V$10</f>
        <v>0</v>
      </c>
      <c r="N124" s="18">
        <f>G124*'GS&lt;50 Predicted Monthly'!$V$11</f>
        <v>0</v>
      </c>
      <c r="O124" s="18">
        <f>H124*'GS&lt;50 Predicted Monthly'!$V$12</f>
        <v>8349205.4233871475</v>
      </c>
      <c r="P124" s="18">
        <f>I124*'GS&lt;50 Predicted Monthly'!$V$13</f>
        <v>6809342.3727144012</v>
      </c>
      <c r="Q124" s="280">
        <f t="shared" ca="1" si="14"/>
        <v>12143831.796684019</v>
      </c>
      <c r="T124" s="18"/>
    </row>
    <row r="125" spans="1:20" x14ac:dyDescent="0.25">
      <c r="A125" s="3">
        <v>45748</v>
      </c>
      <c r="B125" s="1">
        <f t="shared" si="11"/>
        <v>2025</v>
      </c>
      <c r="C125" s="1">
        <f t="shared" si="12"/>
        <v>4</v>
      </c>
      <c r="E125" s="289">
        <f t="shared" ca="1" si="15"/>
        <v>292.81107954545462</v>
      </c>
      <c r="F125" s="289">
        <f t="shared" ca="1" si="15"/>
        <v>2.1908333333333347</v>
      </c>
      <c r="G125" s="313"/>
      <c r="H125" s="289">
        <f t="shared" si="16"/>
        <v>30</v>
      </c>
      <c r="I125" s="16">
        <f>'Customer Count'!G38</f>
        <v>4464.9706194529535</v>
      </c>
      <c r="K125" s="18">
        <f>'GS&lt;50 Predicted Monthly'!$V$8</f>
        <v>-5629453.6994364997</v>
      </c>
      <c r="L125" s="18">
        <f ca="1">E125*'GS&lt;50 Predicted Monthly'!$V$9</f>
        <v>1581433.5851103917</v>
      </c>
      <c r="M125" s="18">
        <f ca="1">F125*'GS&lt;50 Predicted Monthly'!$V$10</f>
        <v>27644.860978399032</v>
      </c>
      <c r="N125" s="18">
        <f>G125*'GS&lt;50 Predicted Monthly'!$V$11</f>
        <v>0</v>
      </c>
      <c r="O125" s="18">
        <f>H125*'GS&lt;50 Predicted Monthly'!$V$12</f>
        <v>8079876.2161811106</v>
      </c>
      <c r="P125" s="18">
        <f>I125*'GS&lt;50 Predicted Monthly'!$V$13</f>
        <v>6815429.158325742</v>
      </c>
      <c r="Q125" s="280">
        <f t="shared" ca="1" si="14"/>
        <v>10874930.121159144</v>
      </c>
    </row>
    <row r="126" spans="1:20" x14ac:dyDescent="0.25">
      <c r="A126" s="3">
        <v>45778</v>
      </c>
      <c r="B126" s="1">
        <f t="shared" si="11"/>
        <v>2025</v>
      </c>
      <c r="C126" s="1">
        <f t="shared" si="12"/>
        <v>5</v>
      </c>
      <c r="E126" s="289">
        <f t="shared" ca="1" si="15"/>
        <v>103.25939244851259</v>
      </c>
      <c r="F126" s="289">
        <f t="shared" ca="1" si="15"/>
        <v>52.487435064935063</v>
      </c>
      <c r="G126" s="313"/>
      <c r="H126" s="289">
        <f t="shared" si="16"/>
        <v>31</v>
      </c>
      <c r="I126" s="16">
        <f>'Customer Count'!G39</f>
        <v>4468.961800602905</v>
      </c>
      <c r="K126" s="18">
        <f>'GS&lt;50 Predicted Monthly'!$V$8</f>
        <v>-5629453.6994364997</v>
      </c>
      <c r="L126" s="18">
        <f ca="1">E126*'GS&lt;50 Predicted Monthly'!$V$9</f>
        <v>557690.20574517769</v>
      </c>
      <c r="M126" s="18">
        <f ca="1">F126*'GS&lt;50 Predicted Monthly'!$V$10</f>
        <v>662308.64000739844</v>
      </c>
      <c r="N126" s="18">
        <f>G126*'GS&lt;50 Predicted Monthly'!$V$11</f>
        <v>0</v>
      </c>
      <c r="O126" s="18">
        <f>H126*'GS&lt;50 Predicted Monthly'!$V$12</f>
        <v>8349205.4233871475</v>
      </c>
      <c r="P126" s="18">
        <f>I126*'GS&lt;50 Predicted Monthly'!$V$13</f>
        <v>6821521.3848382803</v>
      </c>
      <c r="Q126" s="280">
        <f t="shared" ca="1" si="14"/>
        <v>10761271.954541504</v>
      </c>
    </row>
    <row r="127" spans="1:20" x14ac:dyDescent="0.25">
      <c r="A127" s="3">
        <v>45809</v>
      </c>
      <c r="B127" s="1">
        <f t="shared" si="11"/>
        <v>2025</v>
      </c>
      <c r="C127" s="1">
        <f t="shared" si="12"/>
        <v>6</v>
      </c>
      <c r="E127" s="289">
        <f t="shared" ca="1" si="15"/>
        <v>11.89069871794872</v>
      </c>
      <c r="F127" s="289">
        <f t="shared" ca="1" si="15"/>
        <v>137.65451754405018</v>
      </c>
      <c r="G127" s="313"/>
      <c r="H127" s="289">
        <f t="shared" si="16"/>
        <v>30</v>
      </c>
      <c r="I127" s="16">
        <f>'Customer Count'!G40</f>
        <v>4472.9565494195513</v>
      </c>
      <c r="K127" s="18">
        <f>'GS&lt;50 Predicted Monthly'!$V$8</f>
        <v>-5629453.6994364997</v>
      </c>
      <c r="L127" s="18">
        <f ca="1">E127*'GS&lt;50 Predicted Monthly'!$V$9</f>
        <v>64220.077779106323</v>
      </c>
      <c r="M127" s="18">
        <f ca="1">F127*'GS&lt;50 Predicted Monthly'!$V$10</f>
        <v>1736982.8834783668</v>
      </c>
      <c r="N127" s="18">
        <f>G127*'GS&lt;50 Predicted Monthly'!$V$11</f>
        <v>0</v>
      </c>
      <c r="O127" s="18">
        <f>H127*'GS&lt;50 Predicted Monthly'!$V$12</f>
        <v>8079876.2161811106</v>
      </c>
      <c r="P127" s="18">
        <f>I127*'GS&lt;50 Predicted Monthly'!$V$13</f>
        <v>6827619.0571155716</v>
      </c>
      <c r="Q127" s="280">
        <f t="shared" ca="1" si="14"/>
        <v>11079244.535117656</v>
      </c>
    </row>
    <row r="128" spans="1:20" x14ac:dyDescent="0.25">
      <c r="A128" s="3">
        <v>45839</v>
      </c>
      <c r="B128" s="1">
        <f t="shared" si="11"/>
        <v>2025</v>
      </c>
      <c r="C128" s="1">
        <f t="shared" si="12"/>
        <v>7</v>
      </c>
      <c r="E128" s="289">
        <f t="shared" ca="1" si="15"/>
        <v>7.4583333333333002E-2</v>
      </c>
      <c r="F128" s="289">
        <f t="shared" ca="1" si="15"/>
        <v>235.94737858727848</v>
      </c>
      <c r="G128" s="313"/>
      <c r="H128" s="289">
        <f t="shared" si="16"/>
        <v>31</v>
      </c>
      <c r="I128" s="16">
        <f>'Customer Count'!G41</f>
        <v>4476.9548690919846</v>
      </c>
      <c r="K128" s="18">
        <f>'GS&lt;50 Predicted Monthly'!$V$8</f>
        <v>-5629453.6994364997</v>
      </c>
      <c r="L128" s="18">
        <f ca="1">E128*'GS&lt;50 Predicted Monthly'!$V$9</f>
        <v>402.81463531336908</v>
      </c>
      <c r="M128" s="18">
        <f ca="1">F128*'GS&lt;50 Predicted Monthly'!$V$10</f>
        <v>2977283.7486175704</v>
      </c>
      <c r="N128" s="18">
        <f>G128*'GS&lt;50 Predicted Monthly'!$V$11</f>
        <v>0</v>
      </c>
      <c r="O128" s="18">
        <f>H128*'GS&lt;50 Predicted Monthly'!$V$12</f>
        <v>8349205.4233871475</v>
      </c>
      <c r="P128" s="18">
        <f>I128*'GS&lt;50 Predicted Monthly'!$V$13</f>
        <v>6833722.1800255161</v>
      </c>
      <c r="Q128" s="280">
        <f t="shared" ca="1" si="14"/>
        <v>12531160.467229048</v>
      </c>
    </row>
    <row r="129" spans="1:17" x14ac:dyDescent="0.25">
      <c r="A129" s="3">
        <v>45870</v>
      </c>
      <c r="B129" s="1">
        <f t="shared" si="11"/>
        <v>2025</v>
      </c>
      <c r="C129" s="1">
        <f t="shared" si="12"/>
        <v>8</v>
      </c>
      <c r="E129" s="289">
        <f t="shared" ca="1" si="15"/>
        <v>0.75041666666666718</v>
      </c>
      <c r="F129" s="289">
        <f t="shared" ca="1" si="15"/>
        <v>210.96558794466404</v>
      </c>
      <c r="G129" s="313"/>
      <c r="H129" s="289">
        <f t="shared" si="16"/>
        <v>31</v>
      </c>
      <c r="I129" s="16">
        <f>'Customer Count'!G42</f>
        <v>4480.9567628121476</v>
      </c>
      <c r="K129" s="18">
        <f>'GS&lt;50 Predicted Monthly'!$V$8</f>
        <v>-5629453.6994364997</v>
      </c>
      <c r="L129" s="18">
        <f ca="1">E129*'GS&lt;50 Predicted Monthly'!$V$9</f>
        <v>4052.9003251362087</v>
      </c>
      <c r="M129" s="18">
        <f ca="1">F129*'GS&lt;50 Predicted Monthly'!$V$10</f>
        <v>2662052.9554765075</v>
      </c>
      <c r="N129" s="18">
        <f>G129*'GS&lt;50 Predicted Monthly'!$V$11</f>
        <v>0</v>
      </c>
      <c r="O129" s="18">
        <f>H129*'GS&lt;50 Predicted Monthly'!$V$12</f>
        <v>8349205.4233871475</v>
      </c>
      <c r="P129" s="18">
        <f>I129*'GS&lt;50 Predicted Monthly'!$V$13</f>
        <v>6839830.7584403632</v>
      </c>
      <c r="Q129" s="280">
        <f t="shared" ca="1" si="14"/>
        <v>12225688.338192655</v>
      </c>
    </row>
    <row r="130" spans="1:17" x14ac:dyDescent="0.25">
      <c r="A130" s="3">
        <v>45901</v>
      </c>
      <c r="B130" s="1">
        <f t="shared" si="11"/>
        <v>2025</v>
      </c>
      <c r="C130" s="1">
        <f t="shared" si="12"/>
        <v>9</v>
      </c>
      <c r="E130" s="289">
        <f t="shared" ca="1" si="15"/>
        <v>26.342536231884061</v>
      </c>
      <c r="F130" s="289">
        <f t="shared" ca="1" si="15"/>
        <v>106.4160119047619</v>
      </c>
      <c r="G130" s="313"/>
      <c r="H130" s="289">
        <f t="shared" si="16"/>
        <v>30</v>
      </c>
      <c r="I130" s="16">
        <f>'Customer Count'!G43</f>
        <v>4484.9622337748378</v>
      </c>
      <c r="K130" s="18">
        <f>'GS&lt;50 Predicted Monthly'!$V$8</f>
        <v>-5629453.6994364997</v>
      </c>
      <c r="L130" s="18">
        <f ca="1">E130*'GS&lt;50 Predicted Monthly'!$V$9</f>
        <v>142272.52458738282</v>
      </c>
      <c r="M130" s="18">
        <f ca="1">F130*'GS&lt;50 Predicted Monthly'!$V$10</f>
        <v>1342802.2160438786</v>
      </c>
      <c r="N130" s="18">
        <f>G130*'GS&lt;50 Predicted Monthly'!$V$11</f>
        <v>0</v>
      </c>
      <c r="O130" s="18">
        <f>H130*'GS&lt;50 Predicted Monthly'!$V$12</f>
        <v>8079876.2161811106</v>
      </c>
      <c r="P130" s="18">
        <f>I130*'GS&lt;50 Predicted Monthly'!$V$13</f>
        <v>6845944.7972367238</v>
      </c>
      <c r="Q130" s="280">
        <f t="shared" ref="Q130:Q145" ca="1" si="17">SUM(K130:P130)</f>
        <v>10781442.054612596</v>
      </c>
    </row>
    <row r="131" spans="1:17" x14ac:dyDescent="0.25">
      <c r="A131" s="3">
        <v>45931</v>
      </c>
      <c r="B131" s="1">
        <f t="shared" si="11"/>
        <v>2025</v>
      </c>
      <c r="C131" s="1">
        <f t="shared" si="12"/>
        <v>10</v>
      </c>
      <c r="E131" s="289">
        <f t="shared" ca="1" si="15"/>
        <v>181.36347826086953</v>
      </c>
      <c r="F131" s="289">
        <f t="shared" ca="1" si="15"/>
        <v>17.987083333333334</v>
      </c>
      <c r="G131" s="313"/>
      <c r="H131" s="289">
        <f t="shared" si="16"/>
        <v>31</v>
      </c>
      <c r="I131" s="16">
        <f>'Customer Count'!G44</f>
        <v>4488.9712851777067</v>
      </c>
      <c r="K131" s="18">
        <f>'GS&lt;50 Predicted Monthly'!$V$8</f>
        <v>-5629453.6994364997</v>
      </c>
      <c r="L131" s="18">
        <f ca="1">E131*'GS&lt;50 Predicted Monthly'!$V$9</f>
        <v>979519.95559530659</v>
      </c>
      <c r="M131" s="18">
        <f ca="1">F131*'GS&lt;50 Predicted Monthly'!$V$10</f>
        <v>226968.61992706486</v>
      </c>
      <c r="N131" s="18">
        <f>G131*'GS&lt;50 Predicted Monthly'!$V$11</f>
        <v>0</v>
      </c>
      <c r="O131" s="18">
        <f>H131*'GS&lt;50 Predicted Monthly'!$V$12</f>
        <v>8349205.4233871475</v>
      </c>
      <c r="P131" s="18">
        <f>I131*'GS&lt;50 Predicted Monthly'!$V$13</f>
        <v>6852064.3012955636</v>
      </c>
      <c r="Q131" s="280">
        <f t="shared" ca="1" si="17"/>
        <v>10778304.600768581</v>
      </c>
    </row>
    <row r="132" spans="1:17" x14ac:dyDescent="0.25">
      <c r="A132" s="3">
        <v>45962</v>
      </c>
      <c r="B132" s="1">
        <f t="shared" si="11"/>
        <v>2025</v>
      </c>
      <c r="C132" s="1">
        <f t="shared" si="12"/>
        <v>11</v>
      </c>
      <c r="E132" s="289">
        <f t="shared" ca="1" si="15"/>
        <v>366.78033055712399</v>
      </c>
      <c r="F132" s="289">
        <f t="shared" ca="1" si="15"/>
        <v>0.8083333333333329</v>
      </c>
      <c r="G132" s="313"/>
      <c r="H132" s="289">
        <f t="shared" si="16"/>
        <v>30</v>
      </c>
      <c r="I132" s="16">
        <f>'Customer Count'!G45</f>
        <v>4492.9839202212643</v>
      </c>
      <c r="K132" s="18">
        <f>'GS&lt;50 Predicted Monthly'!$V$8</f>
        <v>-5629453.6994364997</v>
      </c>
      <c r="L132" s="18">
        <f ca="1">E132*'GS&lt;50 Predicted Monthly'!$V$9</f>
        <v>1980931.6437115376</v>
      </c>
      <c r="M132" s="18">
        <f ca="1">F132*'GS&lt;50 Predicted Monthly'!$V$10</f>
        <v>10199.891650455318</v>
      </c>
      <c r="N132" s="18">
        <f>G132*'GS&lt;50 Predicted Monthly'!$V$11</f>
        <v>0</v>
      </c>
      <c r="O132" s="18">
        <f>H132*'GS&lt;50 Predicted Monthly'!$V$12</f>
        <v>8079876.2161811106</v>
      </c>
      <c r="P132" s="18">
        <f>I132*'GS&lt;50 Predicted Monthly'!$V$13</f>
        <v>6858189.2755022096</v>
      </c>
      <c r="Q132" s="280">
        <f t="shared" ca="1" si="17"/>
        <v>11299743.327608813</v>
      </c>
    </row>
    <row r="133" spans="1:17" x14ac:dyDescent="0.25">
      <c r="A133" s="3">
        <v>45992</v>
      </c>
      <c r="B133" s="1">
        <f t="shared" si="11"/>
        <v>2025</v>
      </c>
      <c r="C133" s="1">
        <f t="shared" si="12"/>
        <v>12</v>
      </c>
      <c r="E133" s="289">
        <f t="shared" ca="1" si="15"/>
        <v>515.92800724637686</v>
      </c>
      <c r="F133" s="289">
        <f t="shared" ca="1" si="15"/>
        <v>0</v>
      </c>
      <c r="G133" s="313"/>
      <c r="H133" s="289">
        <f t="shared" si="16"/>
        <v>31</v>
      </c>
      <c r="I133" s="16">
        <f>'Customer Count'!G46</f>
        <v>4497.0001421088828</v>
      </c>
      <c r="K133" s="18">
        <f>'GS&lt;50 Predicted Monthly'!$V$8</f>
        <v>-5629453.6994364997</v>
      </c>
      <c r="L133" s="18">
        <f ca="1">E133*'GS&lt;50 Predicted Monthly'!$V$9</f>
        <v>2786458.3520031748</v>
      </c>
      <c r="M133" s="18">
        <f ca="1">F133*'GS&lt;50 Predicted Monthly'!$V$10</f>
        <v>0</v>
      </c>
      <c r="N133" s="18">
        <f>G133*'GS&lt;50 Predicted Monthly'!$V$11</f>
        <v>0</v>
      </c>
      <c r="O133" s="18">
        <f>H133*'GS&lt;50 Predicted Monthly'!$V$12</f>
        <v>8349205.4233871475</v>
      </c>
      <c r="P133" s="18">
        <f>I133*'GS&lt;50 Predicted Monthly'!$V$13</f>
        <v>6864319.7247463604</v>
      </c>
      <c r="Q133" s="280">
        <f t="shared" ca="1" si="17"/>
        <v>12370529.800700184</v>
      </c>
    </row>
    <row r="134" spans="1:17" x14ac:dyDescent="0.25">
      <c r="A134" s="3">
        <v>46023</v>
      </c>
      <c r="B134" s="1">
        <f t="shared" si="11"/>
        <v>2026</v>
      </c>
      <c r="C134" s="1">
        <f t="shared" si="12"/>
        <v>1</v>
      </c>
      <c r="E134" s="289">
        <f t="shared" ref="E134:F145" ca="1" si="18">E122</f>
        <v>635.33418478260876</v>
      </c>
      <c r="F134" s="289">
        <f t="shared" ca="1" si="18"/>
        <v>0</v>
      </c>
      <c r="G134" s="313"/>
      <c r="H134" s="289">
        <f t="shared" si="16"/>
        <v>31</v>
      </c>
      <c r="I134" s="16">
        <f>'Customer Count'!G47</f>
        <v>4501.0199540467966</v>
      </c>
      <c r="K134" s="18">
        <f>'GS&lt;50 Predicted Monthly'!$V$8</f>
        <v>-5629453.6994364997</v>
      </c>
      <c r="L134" s="18">
        <f ca="1">E134*'GS&lt;50 Predicted Monthly'!$V$9</f>
        <v>3431355.1903283708</v>
      </c>
      <c r="M134" s="18">
        <f ca="1">F134*'GS&lt;50 Predicted Monthly'!$V$10</f>
        <v>0</v>
      </c>
      <c r="N134" s="18">
        <f>G134*'GS&lt;50 Predicted Monthly'!$V$11</f>
        <v>0</v>
      </c>
      <c r="O134" s="18">
        <f>H134*'GS&lt;50 Predicted Monthly'!$V$12</f>
        <v>8349205.4233871475</v>
      </c>
      <c r="P134" s="18">
        <f>I134*'GS&lt;50 Predicted Monthly'!$V$13</f>
        <v>6870455.6539220819</v>
      </c>
      <c r="Q134" s="280">
        <f t="shared" ca="1" si="17"/>
        <v>13021562.5682011</v>
      </c>
    </row>
    <row r="135" spans="1:17" x14ac:dyDescent="0.25">
      <c r="A135" s="3">
        <v>46054</v>
      </c>
      <c r="B135" s="1">
        <f t="shared" si="11"/>
        <v>2026</v>
      </c>
      <c r="C135" s="1">
        <f t="shared" si="12"/>
        <v>2</v>
      </c>
      <c r="E135" s="289">
        <f t="shared" ca="1" si="18"/>
        <v>567.65501811594208</v>
      </c>
      <c r="F135" s="289">
        <f t="shared" ca="1" si="18"/>
        <v>0</v>
      </c>
      <c r="G135" s="313"/>
      <c r="H135" s="289">
        <f t="shared" si="16"/>
        <v>28</v>
      </c>
      <c r="I135" s="16">
        <f>'Customer Count'!G48</f>
        <v>4505.0433592441068</v>
      </c>
      <c r="K135" s="18">
        <f>'GS&lt;50 Predicted Monthly'!$V$8</f>
        <v>-5629453.6994364997</v>
      </c>
      <c r="L135" s="18">
        <f ca="1">E135*'GS&lt;50 Predicted Monthly'!$V$9</f>
        <v>3065829.0382951256</v>
      </c>
      <c r="M135" s="18">
        <f ca="1">F135*'GS&lt;50 Predicted Monthly'!$V$10</f>
        <v>0</v>
      </c>
      <c r="N135" s="18">
        <f>G135*'GS&lt;50 Predicted Monthly'!$V$11</f>
        <v>0</v>
      </c>
      <c r="O135" s="18">
        <f>H135*'GS&lt;50 Predicted Monthly'!$V$12</f>
        <v>7541217.8017690368</v>
      </c>
      <c r="P135" s="18">
        <f>I135*'GS&lt;50 Predicted Monthly'!$V$13</f>
        <v>6876597.0679278178</v>
      </c>
      <c r="Q135" s="280">
        <f t="shared" ca="1" si="17"/>
        <v>11854190.20855548</v>
      </c>
    </row>
    <row r="136" spans="1:17" x14ac:dyDescent="0.25">
      <c r="A136" s="3">
        <v>46082</v>
      </c>
      <c r="B136" s="1">
        <f t="shared" si="11"/>
        <v>2026</v>
      </c>
      <c r="C136" s="1">
        <f t="shared" si="12"/>
        <v>3</v>
      </c>
      <c r="E136" s="289">
        <f t="shared" ca="1" si="18"/>
        <v>484.13298913043479</v>
      </c>
      <c r="F136" s="289">
        <f t="shared" ca="1" si="18"/>
        <v>0</v>
      </c>
      <c r="G136" s="313"/>
      <c r="H136" s="289">
        <f t="shared" si="16"/>
        <v>31</v>
      </c>
      <c r="I136" s="16">
        <f>'Customer Count'!G49</f>
        <v>4509.0703609127831</v>
      </c>
      <c r="K136" s="18">
        <f>'GS&lt;50 Predicted Monthly'!$V$8</f>
        <v>-5629453.6994364997</v>
      </c>
      <c r="L136" s="18">
        <f ca="1">E136*'GS&lt;50 Predicted Monthly'!$V$9</f>
        <v>2614737.7000189708</v>
      </c>
      <c r="M136" s="18">
        <f ca="1">F136*'GS&lt;50 Predicted Monthly'!$V$10</f>
        <v>0</v>
      </c>
      <c r="N136" s="18">
        <f>G136*'GS&lt;50 Predicted Monthly'!$V$11</f>
        <v>0</v>
      </c>
      <c r="O136" s="18">
        <f>H136*'GS&lt;50 Predicted Monthly'!$V$12</f>
        <v>8349205.4233871475</v>
      </c>
      <c r="P136" s="18">
        <f>I136*'GS&lt;50 Predicted Monthly'!$V$13</f>
        <v>6882743.9716663891</v>
      </c>
      <c r="Q136" s="280">
        <f t="shared" ca="1" si="17"/>
        <v>12217233.395636007</v>
      </c>
    </row>
    <row r="137" spans="1:17" x14ac:dyDescent="0.25">
      <c r="A137" s="3">
        <v>46113</v>
      </c>
      <c r="B137" s="1">
        <f t="shared" si="11"/>
        <v>2026</v>
      </c>
      <c r="C137" s="1">
        <f t="shared" si="12"/>
        <v>4</v>
      </c>
      <c r="E137" s="289">
        <f t="shared" ca="1" si="18"/>
        <v>292.81107954545462</v>
      </c>
      <c r="F137" s="289">
        <f t="shared" ca="1" si="18"/>
        <v>2.1908333333333347</v>
      </c>
      <c r="G137" s="313"/>
      <c r="H137" s="289">
        <f t="shared" si="16"/>
        <v>30</v>
      </c>
      <c r="I137" s="16">
        <f>'Customer Count'!G50</f>
        <v>4513.1009622676656</v>
      </c>
      <c r="K137" s="18">
        <f>'GS&lt;50 Predicted Monthly'!$V$8</f>
        <v>-5629453.6994364997</v>
      </c>
      <c r="L137" s="18">
        <f ca="1">E137*'GS&lt;50 Predicted Monthly'!$V$9</f>
        <v>1581433.5851103917</v>
      </c>
      <c r="M137" s="18">
        <f ca="1">F137*'GS&lt;50 Predicted Monthly'!$V$10</f>
        <v>27644.860978399032</v>
      </c>
      <c r="N137" s="18">
        <f>G137*'GS&lt;50 Predicted Monthly'!$V$11</f>
        <v>0</v>
      </c>
      <c r="O137" s="18">
        <f>H137*'GS&lt;50 Predicted Monthly'!$V$12</f>
        <v>8079876.2161811106</v>
      </c>
      <c r="P137" s="18">
        <f>I137*'GS&lt;50 Predicted Monthly'!$V$13</f>
        <v>6888896.370044996</v>
      </c>
      <c r="Q137" s="280">
        <f t="shared" ca="1" si="17"/>
        <v>10948397.332878398</v>
      </c>
    </row>
    <row r="138" spans="1:17" x14ac:dyDescent="0.25">
      <c r="A138" s="3">
        <v>46143</v>
      </c>
      <c r="B138" s="1">
        <f t="shared" si="11"/>
        <v>2026</v>
      </c>
      <c r="C138" s="1">
        <f t="shared" si="12"/>
        <v>5</v>
      </c>
      <c r="E138" s="289">
        <f t="shared" ca="1" si="18"/>
        <v>103.25939244851259</v>
      </c>
      <c r="F138" s="289">
        <f t="shared" ca="1" si="18"/>
        <v>52.487435064935063</v>
      </c>
      <c r="G138" s="313"/>
      <c r="H138" s="289">
        <f t="shared" si="16"/>
        <v>31</v>
      </c>
      <c r="I138" s="16">
        <f>'Customer Count'!G51</f>
        <v>4517.1351665264692</v>
      </c>
      <c r="K138" s="18">
        <f>'GS&lt;50 Predicted Monthly'!$V$8</f>
        <v>-5629453.6994364997</v>
      </c>
      <c r="L138" s="18">
        <f ca="1">E138*'GS&lt;50 Predicted Monthly'!$V$9</f>
        <v>557690.20574517769</v>
      </c>
      <c r="M138" s="18">
        <f ca="1">F138*'GS&lt;50 Predicted Monthly'!$V$10</f>
        <v>662308.64000739844</v>
      </c>
      <c r="N138" s="18">
        <f>G138*'GS&lt;50 Predicted Monthly'!$V$11</f>
        <v>0</v>
      </c>
      <c r="O138" s="18">
        <f>H138*'GS&lt;50 Predicted Monthly'!$V$12</f>
        <v>8349205.4233871475</v>
      </c>
      <c r="P138" s="18">
        <f>I138*'GS&lt;50 Predicted Monthly'!$V$13</f>
        <v>6895054.2679752316</v>
      </c>
      <c r="Q138" s="280">
        <f t="shared" ca="1" si="17"/>
        <v>10834804.837678455</v>
      </c>
    </row>
    <row r="139" spans="1:17" x14ac:dyDescent="0.25">
      <c r="A139" s="3">
        <v>46174</v>
      </c>
      <c r="B139" s="1">
        <f t="shared" si="11"/>
        <v>2026</v>
      </c>
      <c r="C139" s="1">
        <f t="shared" si="12"/>
        <v>6</v>
      </c>
      <c r="E139" s="289">
        <f t="shared" ca="1" si="18"/>
        <v>11.89069871794872</v>
      </c>
      <c r="F139" s="289">
        <f t="shared" ca="1" si="18"/>
        <v>137.65451754405018</v>
      </c>
      <c r="G139" s="313"/>
      <c r="H139" s="289">
        <f t="shared" si="16"/>
        <v>30</v>
      </c>
      <c r="I139" s="16">
        <f>'Customer Count'!G52</f>
        <v>4521.1729769097838</v>
      </c>
      <c r="K139" s="18">
        <f>'GS&lt;50 Predicted Monthly'!$V$8</f>
        <v>-5629453.6994364997</v>
      </c>
      <c r="L139" s="18">
        <f ca="1">E139*'GS&lt;50 Predicted Monthly'!$V$9</f>
        <v>64220.077779106323</v>
      </c>
      <c r="M139" s="18">
        <f ca="1">F139*'GS&lt;50 Predicted Monthly'!$V$10</f>
        <v>1736982.8834783668</v>
      </c>
      <c r="N139" s="18">
        <f>G139*'GS&lt;50 Predicted Monthly'!$V$11</f>
        <v>0</v>
      </c>
      <c r="O139" s="18">
        <f>H139*'GS&lt;50 Predicted Monthly'!$V$12</f>
        <v>8079876.2161811106</v>
      </c>
      <c r="P139" s="18">
        <f>I139*'GS&lt;50 Predicted Monthly'!$V$13</f>
        <v>6901217.6703730747</v>
      </c>
      <c r="Q139" s="280">
        <f t="shared" ca="1" si="17"/>
        <v>11152843.148375157</v>
      </c>
    </row>
    <row r="140" spans="1:17" x14ac:dyDescent="0.25">
      <c r="A140" s="3">
        <v>46204</v>
      </c>
      <c r="B140" s="1">
        <f t="shared" si="11"/>
        <v>2026</v>
      </c>
      <c r="C140" s="1">
        <f t="shared" si="12"/>
        <v>7</v>
      </c>
      <c r="E140" s="289">
        <f t="shared" ca="1" si="18"/>
        <v>7.4583333333333002E-2</v>
      </c>
      <c r="F140" s="289">
        <f t="shared" ca="1" si="18"/>
        <v>235.94737858727848</v>
      </c>
      <c r="G140" s="313"/>
      <c r="H140" s="289">
        <f t="shared" si="16"/>
        <v>31</v>
      </c>
      <c r="I140" s="16">
        <f>'Customer Count'!G53</f>
        <v>4525.2143966410795</v>
      </c>
      <c r="K140" s="18">
        <f>'GS&lt;50 Predicted Monthly'!$V$8</f>
        <v>-5629453.6994364997</v>
      </c>
      <c r="L140" s="18">
        <f ca="1">E140*'GS&lt;50 Predicted Monthly'!$V$9</f>
        <v>402.81463531336908</v>
      </c>
      <c r="M140" s="18">
        <f ca="1">F140*'GS&lt;50 Predicted Monthly'!$V$10</f>
        <v>2977283.7486175704</v>
      </c>
      <c r="N140" s="18">
        <f>G140*'GS&lt;50 Predicted Monthly'!$V$11</f>
        <v>0</v>
      </c>
      <c r="O140" s="18">
        <f>H140*'GS&lt;50 Predicted Monthly'!$V$12</f>
        <v>8349205.4233871475</v>
      </c>
      <c r="P140" s="18">
        <f>I140*'GS&lt;50 Predicted Monthly'!$V$13</f>
        <v>6907386.5821588999</v>
      </c>
      <c r="Q140" s="280">
        <f t="shared" ca="1" si="17"/>
        <v>12604824.869362433</v>
      </c>
    </row>
    <row r="141" spans="1:17" x14ac:dyDescent="0.25">
      <c r="A141" s="3">
        <v>46235</v>
      </c>
      <c r="B141" s="1">
        <f t="shared" si="11"/>
        <v>2026</v>
      </c>
      <c r="C141" s="1">
        <f t="shared" si="12"/>
        <v>8</v>
      </c>
      <c r="E141" s="289">
        <f t="shared" ca="1" si="18"/>
        <v>0.75041666666666718</v>
      </c>
      <c r="F141" s="289">
        <f t="shared" ca="1" si="18"/>
        <v>210.96558794466404</v>
      </c>
      <c r="G141" s="313"/>
      <c r="H141" s="289">
        <f t="shared" si="16"/>
        <v>31</v>
      </c>
      <c r="I141" s="16">
        <f>'Customer Count'!G54</f>
        <v>4529.2594289467061</v>
      </c>
      <c r="K141" s="18">
        <f>'GS&lt;50 Predicted Monthly'!$V$8</f>
        <v>-5629453.6994364997</v>
      </c>
      <c r="L141" s="18">
        <f ca="1">E141*'GS&lt;50 Predicted Monthly'!$V$9</f>
        <v>4052.9003251362087</v>
      </c>
      <c r="M141" s="18">
        <f ca="1">F141*'GS&lt;50 Predicted Monthly'!$V$10</f>
        <v>2662052.9554765075</v>
      </c>
      <c r="N141" s="18">
        <f>G141*'GS&lt;50 Predicted Monthly'!$V$11</f>
        <v>0</v>
      </c>
      <c r="O141" s="18">
        <f>H141*'GS&lt;50 Predicted Monthly'!$V$12</f>
        <v>8349205.4233871475</v>
      </c>
      <c r="P141" s="18">
        <f>I141*'GS&lt;50 Predicted Monthly'!$V$13</f>
        <v>6913561.0082574785</v>
      </c>
      <c r="Q141" s="280">
        <f t="shared" ca="1" si="17"/>
        <v>12299418.588009771</v>
      </c>
    </row>
    <row r="142" spans="1:17" x14ac:dyDescent="0.25">
      <c r="A142" s="3">
        <v>46266</v>
      </c>
      <c r="B142" s="1">
        <f t="shared" si="11"/>
        <v>2026</v>
      </c>
      <c r="C142" s="1">
        <f t="shared" si="12"/>
        <v>9</v>
      </c>
      <c r="E142" s="289">
        <f t="shared" ca="1" si="18"/>
        <v>26.342536231884061</v>
      </c>
      <c r="F142" s="289">
        <f t="shared" ca="1" si="18"/>
        <v>106.4160119047619</v>
      </c>
      <c r="G142" s="313"/>
      <c r="H142" s="289">
        <f t="shared" si="16"/>
        <v>30</v>
      </c>
      <c r="I142" s="16">
        <f>'Customer Count'!G55</f>
        <v>4533.308077055899</v>
      </c>
      <c r="K142" s="18">
        <f>'GS&lt;50 Predicted Monthly'!$V$8</f>
        <v>-5629453.6994364997</v>
      </c>
      <c r="L142" s="18">
        <f ca="1">E142*'GS&lt;50 Predicted Monthly'!$V$9</f>
        <v>142272.52458738282</v>
      </c>
      <c r="M142" s="18">
        <f ca="1">F142*'GS&lt;50 Predicted Monthly'!$V$10</f>
        <v>1342802.2160438786</v>
      </c>
      <c r="N142" s="18">
        <f>G142*'GS&lt;50 Predicted Monthly'!$V$11</f>
        <v>0</v>
      </c>
      <c r="O142" s="18">
        <f>H142*'GS&lt;50 Predicted Monthly'!$V$12</f>
        <v>8079876.2161811106</v>
      </c>
      <c r="P142" s="18">
        <f>I142*'GS&lt;50 Predicted Monthly'!$V$13</f>
        <v>6919740.9535979861</v>
      </c>
      <c r="Q142" s="280">
        <f t="shared" ca="1" si="17"/>
        <v>10855238.210973859</v>
      </c>
    </row>
    <row r="143" spans="1:17" x14ac:dyDescent="0.25">
      <c r="A143" s="3">
        <v>46296</v>
      </c>
      <c r="B143" s="1">
        <f t="shared" si="11"/>
        <v>2026</v>
      </c>
      <c r="C143" s="1">
        <f t="shared" si="12"/>
        <v>10</v>
      </c>
      <c r="E143" s="289">
        <f t="shared" ca="1" si="18"/>
        <v>181.36347826086953</v>
      </c>
      <c r="F143" s="289">
        <f t="shared" ca="1" si="18"/>
        <v>17.987083333333334</v>
      </c>
      <c r="G143" s="313"/>
      <c r="H143" s="289">
        <f t="shared" si="16"/>
        <v>31</v>
      </c>
      <c r="I143" s="16">
        <f>'Customer Count'!G56</f>
        <v>4537.3603442007798</v>
      </c>
      <c r="K143" s="18">
        <f>'GS&lt;50 Predicted Monthly'!$V$8</f>
        <v>-5629453.6994364997</v>
      </c>
      <c r="L143" s="18">
        <f ca="1">E143*'GS&lt;50 Predicted Monthly'!$V$9</f>
        <v>979519.95559530659</v>
      </c>
      <c r="M143" s="18">
        <f ca="1">F143*'GS&lt;50 Predicted Monthly'!$V$10</f>
        <v>226968.61992706486</v>
      </c>
      <c r="N143" s="18">
        <f>G143*'GS&lt;50 Predicted Monthly'!$V$11</f>
        <v>0</v>
      </c>
      <c r="O143" s="18">
        <f>H143*'GS&lt;50 Predicted Monthly'!$V$12</f>
        <v>8349205.4233871475</v>
      </c>
      <c r="P143" s="18">
        <f>I143*'GS&lt;50 Predicted Monthly'!$V$13</f>
        <v>6925926.4231140045</v>
      </c>
      <c r="Q143" s="280">
        <f t="shared" ca="1" si="17"/>
        <v>10852166.722587023</v>
      </c>
    </row>
    <row r="144" spans="1:17" x14ac:dyDescent="0.25">
      <c r="A144" s="3">
        <v>46327</v>
      </c>
      <c r="B144" s="1">
        <f t="shared" si="11"/>
        <v>2026</v>
      </c>
      <c r="C144" s="1">
        <f t="shared" si="12"/>
        <v>11</v>
      </c>
      <c r="E144" s="289">
        <f t="shared" ca="1" si="18"/>
        <v>366.78033055712399</v>
      </c>
      <c r="F144" s="289">
        <f t="shared" ca="1" si="18"/>
        <v>0.8083333333333329</v>
      </c>
      <c r="G144" s="313"/>
      <c r="H144" s="289">
        <f t="shared" si="16"/>
        <v>30</v>
      </c>
      <c r="I144" s="16">
        <f>'Customer Count'!G57</f>
        <v>4541.416233616359</v>
      </c>
      <c r="K144" s="18">
        <f>'GS&lt;50 Predicted Monthly'!$V$8</f>
        <v>-5629453.6994364997</v>
      </c>
      <c r="L144" s="18">
        <f ca="1">E144*'GS&lt;50 Predicted Monthly'!$V$9</f>
        <v>1980931.6437115376</v>
      </c>
      <c r="M144" s="18">
        <f ca="1">F144*'GS&lt;50 Predicted Monthly'!$V$10</f>
        <v>10199.891650455318</v>
      </c>
      <c r="N144" s="18">
        <f>G144*'GS&lt;50 Predicted Monthly'!$V$11</f>
        <v>0</v>
      </c>
      <c r="O144" s="18">
        <f>H144*'GS&lt;50 Predicted Monthly'!$V$12</f>
        <v>8079876.2161811106</v>
      </c>
      <c r="P144" s="18">
        <f>I144*'GS&lt;50 Predicted Monthly'!$V$13</f>
        <v>6932117.4217435261</v>
      </c>
      <c r="Q144" s="280">
        <f t="shared" ca="1" si="17"/>
        <v>11373671.473850131</v>
      </c>
    </row>
    <row r="145" spans="1:20" x14ac:dyDescent="0.25">
      <c r="A145" s="3">
        <v>46357</v>
      </c>
      <c r="B145" s="1">
        <f t="shared" si="11"/>
        <v>2026</v>
      </c>
      <c r="C145" s="1">
        <f t="shared" si="12"/>
        <v>12</v>
      </c>
      <c r="E145" s="289">
        <f t="shared" ca="1" si="18"/>
        <v>515.92800724637686</v>
      </c>
      <c r="F145" s="289">
        <f t="shared" ca="1" si="18"/>
        <v>0</v>
      </c>
      <c r="G145" s="313"/>
      <c r="H145" s="289">
        <f t="shared" si="16"/>
        <v>31</v>
      </c>
      <c r="I145" s="16">
        <f>'Customer Count'!G58</f>
        <v>4545.4757485405389</v>
      </c>
      <c r="K145" s="18">
        <f>'GS&lt;50 Predicted Monthly'!$V$8</f>
        <v>-5629453.6994364997</v>
      </c>
      <c r="L145" s="18">
        <f ca="1">E145*'GS&lt;50 Predicted Monthly'!$V$9</f>
        <v>2786458.3520031748</v>
      </c>
      <c r="M145" s="18">
        <f ca="1">F145*'GS&lt;50 Predicted Monthly'!$V$10</f>
        <v>0</v>
      </c>
      <c r="N145" s="18">
        <f>G145*'GS&lt;50 Predicted Monthly'!$V$11</f>
        <v>0</v>
      </c>
      <c r="O145" s="18">
        <f>H145*'GS&lt;50 Predicted Monthly'!$V$12</f>
        <v>8349205.4233871475</v>
      </c>
      <c r="P145" s="18">
        <f>I145*'GS&lt;50 Predicted Monthly'!$V$13</f>
        <v>6938313.9544289531</v>
      </c>
      <c r="Q145" s="280">
        <f t="shared" ca="1" si="17"/>
        <v>12444524.030382775</v>
      </c>
    </row>
    <row r="148" spans="1:20" x14ac:dyDescent="0.25">
      <c r="S148" s="4"/>
      <c r="T148" s="18"/>
    </row>
    <row r="149" spans="1:20" x14ac:dyDescent="0.25">
      <c r="S149" s="4"/>
      <c r="T149" s="18"/>
    </row>
    <row r="150" spans="1:20" x14ac:dyDescent="0.25">
      <c r="S150" s="4"/>
      <c r="T150" s="4"/>
    </row>
    <row r="194" spans="7:17" x14ac:dyDescent="0.25">
      <c r="G194" s="314"/>
    </row>
    <row r="195" spans="7:17" x14ac:dyDescent="0.25">
      <c r="H195" s="18"/>
      <c r="J195" s="18"/>
      <c r="L195" s="18"/>
      <c r="M195" s="18"/>
      <c r="N195" s="18"/>
      <c r="O195" s="18"/>
      <c r="P195" s="18"/>
      <c r="Q195" s="18"/>
    </row>
    <row r="196" spans="7:17" x14ac:dyDescent="0.25">
      <c r="H196" s="18"/>
      <c r="J196" s="18"/>
      <c r="L196" s="18"/>
      <c r="M196" s="18"/>
      <c r="N196" s="18"/>
      <c r="O196" s="18"/>
      <c r="P196" s="18"/>
      <c r="Q196" s="18"/>
    </row>
    <row r="197" spans="7:17" x14ac:dyDescent="0.25">
      <c r="H197" s="18"/>
      <c r="J197" s="18"/>
      <c r="L197" s="18"/>
      <c r="M197" s="18"/>
      <c r="N197" s="18"/>
      <c r="O197" s="18"/>
      <c r="P197" s="18"/>
      <c r="Q197" s="18"/>
    </row>
    <row r="198" spans="7:17" x14ac:dyDescent="0.25">
      <c r="H198" s="18"/>
      <c r="J198" s="18"/>
      <c r="L198" s="18"/>
      <c r="M198" s="18"/>
      <c r="N198" s="18"/>
      <c r="O198" s="18"/>
      <c r="P198" s="18"/>
      <c r="Q198" s="18"/>
    </row>
    <row r="199" spans="7:17" x14ac:dyDescent="0.25">
      <c r="H199" s="18"/>
      <c r="J199" s="18"/>
      <c r="L199" s="18"/>
      <c r="M199" s="18"/>
      <c r="N199" s="18"/>
      <c r="O199" s="18"/>
      <c r="P199" s="18"/>
      <c r="Q199" s="18"/>
    </row>
    <row r="200" spans="7:17" x14ac:dyDescent="0.25">
      <c r="H200" s="18"/>
      <c r="J200" s="18"/>
      <c r="L200" s="18"/>
      <c r="M200" s="18"/>
      <c r="N200" s="18"/>
      <c r="O200" s="18"/>
      <c r="P200" s="18"/>
      <c r="Q200" s="18"/>
    </row>
    <row r="201" spans="7:17" x14ac:dyDescent="0.25">
      <c r="H201" s="18"/>
      <c r="J201" s="18"/>
      <c r="L201" s="18"/>
      <c r="M201" s="18"/>
      <c r="N201" s="18"/>
      <c r="O201" s="18"/>
      <c r="P201" s="18"/>
      <c r="Q201" s="18"/>
    </row>
    <row r="202" spans="7:17" x14ac:dyDescent="0.25">
      <c r="H202" s="18"/>
      <c r="J202" s="18"/>
      <c r="L202" s="18"/>
      <c r="M202" s="18"/>
      <c r="N202" s="18"/>
      <c r="O202" s="18"/>
      <c r="P202" s="18"/>
      <c r="Q202" s="18"/>
    </row>
    <row r="203" spans="7:17" x14ac:dyDescent="0.25">
      <c r="G203" s="1"/>
    </row>
    <row r="204" spans="7:17" x14ac:dyDescent="0.25">
      <c r="G204" s="1"/>
      <c r="J204" s="24"/>
      <c r="K204" s="24"/>
      <c r="L204" s="24"/>
      <c r="M204" s="24"/>
      <c r="N204" s="24"/>
      <c r="O204" s="24"/>
      <c r="P204" s="24"/>
      <c r="Q204" s="24"/>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9"/>
  <dimension ref="A1:T204"/>
  <sheetViews>
    <sheetView topLeftCell="A97"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7" width="9.44140625" style="1" bestFit="1" customWidth="1"/>
    <col min="8" max="8" width="11.21875" style="1" bestFit="1" customWidth="1"/>
    <col min="9" max="9" width="9.5546875" style="1" bestFit="1" customWidth="1"/>
    <col min="10" max="10" width="9.33203125" style="1"/>
    <col min="11" max="11" width="14.77734375" style="1" bestFit="1" customWidth="1"/>
    <col min="12" max="12" width="12.88671875" style="1" bestFit="1" customWidth="1"/>
    <col min="13" max="13" width="13.88671875" style="1" bestFit="1" customWidth="1"/>
    <col min="14" max="16" width="13.77734375" style="1" customWidth="1"/>
    <col min="17" max="17" width="19.6640625" style="1" customWidth="1"/>
    <col min="18" max="18" width="13.77734375" style="1" bestFit="1" customWidth="1"/>
    <col min="19" max="19" width="12.44140625" style="1" bestFit="1" customWidth="1"/>
    <col min="20" max="16384" width="9.33203125" style="1"/>
  </cols>
  <sheetData>
    <row r="1" spans="1:17"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K1" s="274" t="s">
        <v>152</v>
      </c>
      <c r="L1" s="276" t="str">
        <f>E1</f>
        <v>HDD18</v>
      </c>
      <c r="M1" s="276" t="str">
        <f>F1</f>
        <v>CDD12</v>
      </c>
      <c r="N1" s="276" t="str">
        <f>G1</f>
        <v>COVID_AM</v>
      </c>
      <c r="O1" s="276" t="str">
        <f>H1</f>
        <v>OEA_GDP</v>
      </c>
      <c r="P1" s="276" t="str">
        <f>I1</f>
        <v>Month Days</v>
      </c>
      <c r="Q1" s="274" t="s">
        <v>414</v>
      </c>
    </row>
    <row r="2" spans="1:17" x14ac:dyDescent="0.25">
      <c r="A2" s="3">
        <f>'Monthly Data'!A2</f>
        <v>42005</v>
      </c>
      <c r="B2" s="1">
        <f t="shared" ref="B2:B61" si="0">YEAR(A2)</f>
        <v>2015</v>
      </c>
      <c r="C2" s="1">
        <f t="shared" ref="C2:C61" si="1">MONTH(A2)</f>
        <v>1</v>
      </c>
      <c r="D2" s="268">
        <f>'Monthly Data'!N2</f>
        <v>32704294.381073207</v>
      </c>
      <c r="E2" s="278">
        <f ca="1">Weather!AP34</f>
        <v>697.33418478260876</v>
      </c>
      <c r="F2" s="278">
        <f ca="1">Weather!CG34</f>
        <v>0</v>
      </c>
      <c r="G2" s="278">
        <f>'Monthly Data'!CG2</f>
        <v>0</v>
      </c>
      <c r="H2" s="18">
        <f>'Monthly Data'!AL2</f>
        <v>718587</v>
      </c>
      <c r="I2" s="18">
        <f>'Monthly Data'!CD2</f>
        <v>31</v>
      </c>
      <c r="K2" s="18">
        <f>'GS 50-999 Predicted Monthly'!$V$10</f>
        <v>-9326437.7987639103</v>
      </c>
      <c r="L2" s="18">
        <f ca="1">E2*'GS 50-999 Predicted Monthly'!$V$11</f>
        <v>12869209.467996765</v>
      </c>
      <c r="M2" s="18">
        <f ca="1">F2*'GS 50-999 Predicted Monthly'!$V$12</f>
        <v>0</v>
      </c>
      <c r="N2" s="18">
        <f>G2*'GS 50-999 Predicted Monthly'!$V$13</f>
        <v>0</v>
      </c>
      <c r="O2" s="18">
        <f>H2*'GS 50-999 Predicted Monthly'!$V$14</f>
        <v>5156841.0564909428</v>
      </c>
      <c r="P2" s="18">
        <f>I2*'GS 50-999 Predicted Monthly'!$V$15</f>
        <v>23929784.569177721</v>
      </c>
      <c r="Q2" s="18">
        <f ca="1">SUM(K2:P2)</f>
        <v>32629397.29490152</v>
      </c>
    </row>
    <row r="3" spans="1:17" x14ac:dyDescent="0.25">
      <c r="A3" s="3">
        <f>'Monthly Data'!A3</f>
        <v>42036</v>
      </c>
      <c r="B3" s="1">
        <f t="shared" si="0"/>
        <v>2015</v>
      </c>
      <c r="C3" s="1">
        <f t="shared" si="1"/>
        <v>2</v>
      </c>
      <c r="D3" s="268">
        <f>'Monthly Data'!N3</f>
        <v>34105863.490816332</v>
      </c>
      <c r="E3" s="278">
        <f ca="1">Weather!AP35</f>
        <v>624.25501811594188</v>
      </c>
      <c r="F3" s="278">
        <f ca="1">Weather!CG35</f>
        <v>0</v>
      </c>
      <c r="G3" s="278">
        <f>'Monthly Data'!CG3</f>
        <v>0</v>
      </c>
      <c r="H3" s="18">
        <f>'Monthly Data'!AL3</f>
        <v>718587</v>
      </c>
      <c r="I3" s="18">
        <f>'Monthly Data'!CD3</f>
        <v>28</v>
      </c>
      <c r="K3" s="18">
        <f>'GS 50-999 Predicted Monthly'!$V$10</f>
        <v>-9326437.7987639103</v>
      </c>
      <c r="L3" s="18">
        <f ca="1">E3*'GS 50-999 Predicted Monthly'!$V$11</f>
        <v>11520543.184164472</v>
      </c>
      <c r="M3" s="18">
        <f ca="1">F3*'GS 50-999 Predicted Monthly'!$V$12</f>
        <v>0</v>
      </c>
      <c r="N3" s="18">
        <f>G3*'GS 50-999 Predicted Monthly'!$V$13</f>
        <v>0</v>
      </c>
      <c r="O3" s="18">
        <f>H3*'GS 50-999 Predicted Monthly'!$V$14</f>
        <v>5156841.0564909428</v>
      </c>
      <c r="P3" s="18">
        <f>I3*'GS 50-999 Predicted Monthly'!$V$15</f>
        <v>21613998.965708911</v>
      </c>
      <c r="Q3" s="18">
        <f t="shared" ref="Q3:Q66" ca="1" si="2">SUM(K3:P3)</f>
        <v>28964945.407600418</v>
      </c>
    </row>
    <row r="4" spans="1:17" x14ac:dyDescent="0.25">
      <c r="A4" s="3">
        <f>'Monthly Data'!A4</f>
        <v>42064</v>
      </c>
      <c r="B4" s="1">
        <f t="shared" si="0"/>
        <v>2015</v>
      </c>
      <c r="C4" s="1">
        <f t="shared" si="1"/>
        <v>3</v>
      </c>
      <c r="D4" s="268">
        <f>'Monthly Data'!N4</f>
        <v>29483042.357302777</v>
      </c>
      <c r="E4" s="278">
        <f ca="1">Weather!AP36</f>
        <v>546.13298913043491</v>
      </c>
      <c r="F4" s="278">
        <f ca="1">Weather!CG36</f>
        <v>2.9583333333332896E-2</v>
      </c>
      <c r="G4" s="278">
        <f>'Monthly Data'!CG4</f>
        <v>0</v>
      </c>
      <c r="H4" s="18">
        <f>'Monthly Data'!AL4</f>
        <v>718587</v>
      </c>
      <c r="I4" s="18">
        <f>'Monthly Data'!CD4</f>
        <v>31</v>
      </c>
      <c r="K4" s="18">
        <f>'GS 50-999 Predicted Monthly'!$V$10</f>
        <v>-9326437.7987639103</v>
      </c>
      <c r="L4" s="18">
        <f ca="1">E4*'GS 50-999 Predicted Monthly'!$V$11</f>
        <v>10078811.548144327</v>
      </c>
      <c r="M4" s="18">
        <f ca="1">F4*'GS 50-999 Predicted Monthly'!$V$12</f>
        <v>852.79705445350771</v>
      </c>
      <c r="N4" s="18">
        <f>G4*'GS 50-999 Predicted Monthly'!$V$13</f>
        <v>0</v>
      </c>
      <c r="O4" s="18">
        <f>H4*'GS 50-999 Predicted Monthly'!$V$14</f>
        <v>5156841.0564909428</v>
      </c>
      <c r="P4" s="18">
        <f>I4*'GS 50-999 Predicted Monthly'!$V$15</f>
        <v>23929784.569177721</v>
      </c>
      <c r="Q4" s="18">
        <f t="shared" ca="1" si="2"/>
        <v>29839852.172103535</v>
      </c>
    </row>
    <row r="5" spans="1:17" x14ac:dyDescent="0.25">
      <c r="A5" s="3">
        <f>'Monthly Data'!A5</f>
        <v>42095</v>
      </c>
      <c r="B5" s="1">
        <f t="shared" si="0"/>
        <v>2015</v>
      </c>
      <c r="C5" s="1">
        <f t="shared" si="1"/>
        <v>4</v>
      </c>
      <c r="D5" s="268">
        <f>'Monthly Data'!N5</f>
        <v>24984134.040233206</v>
      </c>
      <c r="E5" s="278">
        <f ca="1">Weather!AP37</f>
        <v>352.41399621212122</v>
      </c>
      <c r="F5" s="278">
        <f ca="1">Weather!CG37</f>
        <v>5.6420833333333338</v>
      </c>
      <c r="G5" s="278">
        <f>'Monthly Data'!CG5</f>
        <v>0</v>
      </c>
      <c r="H5" s="18">
        <f>'Monthly Data'!AL5</f>
        <v>723726</v>
      </c>
      <c r="I5" s="18">
        <f>'Monthly Data'!CD5</f>
        <v>30</v>
      </c>
      <c r="K5" s="18">
        <f>'GS 50-999 Predicted Monthly'!$V$10</f>
        <v>-9326437.7987639103</v>
      </c>
      <c r="L5" s="18">
        <f ca="1">E5*'GS 50-999 Predicted Monthly'!$V$11</f>
        <v>6503753.3447775338</v>
      </c>
      <c r="M5" s="18">
        <f ca="1">F5*'GS 50-999 Predicted Monthly'!$V$12</f>
        <v>162644.01287824113</v>
      </c>
      <c r="N5" s="18">
        <f>G5*'GS 50-999 Predicted Monthly'!$V$13</f>
        <v>0</v>
      </c>
      <c r="O5" s="18">
        <f>H5*'GS 50-999 Predicted Monthly'!$V$14</f>
        <v>5193720.3852142664</v>
      </c>
      <c r="P5" s="18">
        <f>I5*'GS 50-999 Predicted Monthly'!$V$15</f>
        <v>23157856.034688119</v>
      </c>
      <c r="Q5" s="18">
        <f t="shared" ca="1" si="2"/>
        <v>25691535.978794251</v>
      </c>
    </row>
    <row r="6" spans="1:17" x14ac:dyDescent="0.25">
      <c r="A6" s="3">
        <f>'Monthly Data'!A6</f>
        <v>42125</v>
      </c>
      <c r="B6" s="1">
        <f t="shared" si="0"/>
        <v>2015</v>
      </c>
      <c r="C6" s="1">
        <f t="shared" si="1"/>
        <v>5</v>
      </c>
      <c r="D6" s="268">
        <f>'Monthly Data'!N6</f>
        <v>25167162.68985121</v>
      </c>
      <c r="E6" s="278">
        <f ca="1">Weather!AP38</f>
        <v>150.136897859768</v>
      </c>
      <c r="F6" s="278">
        <f ca="1">Weather!CG38</f>
        <v>86.191046176046171</v>
      </c>
      <c r="G6" s="278">
        <f>'Monthly Data'!CG6</f>
        <v>0</v>
      </c>
      <c r="H6" s="18">
        <f>'Monthly Data'!AL6</f>
        <v>723726</v>
      </c>
      <c r="I6" s="18">
        <f>'Monthly Data'!CD6</f>
        <v>31</v>
      </c>
      <c r="K6" s="18">
        <f>'GS 50-999 Predicted Monthly'!$V$10</f>
        <v>-9326437.7987639103</v>
      </c>
      <c r="L6" s="18">
        <f ca="1">E6*'GS 50-999 Predicted Monthly'!$V$11</f>
        <v>2770756.4458996481</v>
      </c>
      <c r="M6" s="18">
        <f ca="1">F6*'GS 50-999 Predicted Monthly'!$V$12</f>
        <v>2484624.3481419561</v>
      </c>
      <c r="N6" s="18">
        <f>G6*'GS 50-999 Predicted Monthly'!$V$13</f>
        <v>0</v>
      </c>
      <c r="O6" s="18">
        <f>H6*'GS 50-999 Predicted Monthly'!$V$14</f>
        <v>5193720.3852142664</v>
      </c>
      <c r="P6" s="18">
        <f>I6*'GS 50-999 Predicted Monthly'!$V$15</f>
        <v>23929784.569177721</v>
      </c>
      <c r="Q6" s="18">
        <f t="shared" ca="1" si="2"/>
        <v>25052447.949669681</v>
      </c>
    </row>
    <row r="7" spans="1:17" x14ac:dyDescent="0.25">
      <c r="A7" s="3">
        <f>'Monthly Data'!A7</f>
        <v>42156</v>
      </c>
      <c r="B7" s="1">
        <f t="shared" si="0"/>
        <v>2015</v>
      </c>
      <c r="C7" s="1">
        <f t="shared" si="1"/>
        <v>6</v>
      </c>
      <c r="D7" s="268">
        <f>'Monthly Data'!N7</f>
        <v>24309134.101347797</v>
      </c>
      <c r="E7" s="278">
        <f ca="1">Weather!AP39</f>
        <v>32.520923826173821</v>
      </c>
      <c r="F7" s="278">
        <f ca="1">Weather!CG39</f>
        <v>194.94285087738348</v>
      </c>
      <c r="G7" s="278">
        <f>'Monthly Data'!CG7</f>
        <v>0</v>
      </c>
      <c r="H7" s="18">
        <f>'Monthly Data'!AL7</f>
        <v>723726</v>
      </c>
      <c r="I7" s="18">
        <f>'Monthly Data'!CD7</f>
        <v>30</v>
      </c>
      <c r="K7" s="18">
        <f>'GS 50-999 Predicted Monthly'!$V$10</f>
        <v>-9326437.7987639103</v>
      </c>
      <c r="L7" s="18">
        <f ca="1">E7*'GS 50-999 Predicted Monthly'!$V$11</f>
        <v>600169.3161540177</v>
      </c>
      <c r="M7" s="18">
        <f ca="1">F7*'GS 50-999 Predicted Monthly'!$V$12</f>
        <v>5619606.3892395888</v>
      </c>
      <c r="N7" s="18">
        <f>G7*'GS 50-999 Predicted Monthly'!$V$13</f>
        <v>0</v>
      </c>
      <c r="O7" s="18">
        <f>H7*'GS 50-999 Predicted Monthly'!$V$14</f>
        <v>5193720.3852142664</v>
      </c>
      <c r="P7" s="18">
        <f>I7*'GS 50-999 Predicted Monthly'!$V$15</f>
        <v>23157856.034688119</v>
      </c>
      <c r="Q7" s="18">
        <f t="shared" ca="1" si="2"/>
        <v>25244914.326532081</v>
      </c>
    </row>
    <row r="8" spans="1:17" x14ac:dyDescent="0.25">
      <c r="A8" s="3">
        <f>'Monthly Data'!A8</f>
        <v>42186</v>
      </c>
      <c r="B8" s="1">
        <f t="shared" si="0"/>
        <v>2015</v>
      </c>
      <c r="C8" s="1">
        <f t="shared" si="1"/>
        <v>7</v>
      </c>
      <c r="D8" s="268">
        <f>'Monthly Data'!N8</f>
        <v>27428159.367891241</v>
      </c>
      <c r="E8" s="278">
        <f ca="1">Weather!AP40</f>
        <v>1.6179166666666653</v>
      </c>
      <c r="F8" s="278">
        <f ca="1">Weather!CG40</f>
        <v>297.94737858727848</v>
      </c>
      <c r="G8" s="278">
        <f>'Monthly Data'!CG8</f>
        <v>0</v>
      </c>
      <c r="H8" s="18">
        <f>'Monthly Data'!AL8</f>
        <v>730341</v>
      </c>
      <c r="I8" s="18">
        <f>'Monthly Data'!CD8</f>
        <v>31</v>
      </c>
      <c r="K8" s="18">
        <f>'GS 50-999 Predicted Monthly'!$V$10</f>
        <v>-9326437.7987639103</v>
      </c>
      <c r="L8" s="18">
        <f ca="1">E8*'GS 50-999 Predicted Monthly'!$V$11</f>
        <v>29858.436513602697</v>
      </c>
      <c r="M8" s="18">
        <f ca="1">F8*'GS 50-999 Predicted Monthly'!$V$12</f>
        <v>8588912.0059057679</v>
      </c>
      <c r="N8" s="18">
        <f>G8*'GS 50-999 Predicted Monthly'!$V$13</f>
        <v>0</v>
      </c>
      <c r="O8" s="18">
        <f>H8*'GS 50-999 Predicted Monthly'!$V$14</f>
        <v>5241192.0255148662</v>
      </c>
      <c r="P8" s="18">
        <f>I8*'GS 50-999 Predicted Monthly'!$V$15</f>
        <v>23929784.569177721</v>
      </c>
      <c r="Q8" s="18">
        <f t="shared" ca="1" si="2"/>
        <v>28463309.238348048</v>
      </c>
    </row>
    <row r="9" spans="1:17" x14ac:dyDescent="0.25">
      <c r="A9" s="3">
        <f>'Monthly Data'!A9</f>
        <v>42217</v>
      </c>
      <c r="B9" s="1">
        <f t="shared" si="0"/>
        <v>2015</v>
      </c>
      <c r="C9" s="1">
        <f t="shared" si="1"/>
        <v>8</v>
      </c>
      <c r="D9" s="268">
        <f>'Monthly Data'!N9</f>
        <v>26677898.168446716</v>
      </c>
      <c r="E9" s="278">
        <f ca="1">Weather!AP41</f>
        <v>5.6499999999999977</v>
      </c>
      <c r="F9" s="278">
        <f ca="1">Weather!CG41</f>
        <v>272.96558794466404</v>
      </c>
      <c r="G9" s="278">
        <f>'Monthly Data'!CG9</f>
        <v>0</v>
      </c>
      <c r="H9" s="18">
        <f>'Monthly Data'!AL9</f>
        <v>730341</v>
      </c>
      <c r="I9" s="18">
        <f>'Monthly Data'!CD9</f>
        <v>31</v>
      </c>
      <c r="K9" s="18">
        <f>'GS 50-999 Predicted Monthly'!$V$10</f>
        <v>-9326437.7987639103</v>
      </c>
      <c r="L9" s="18">
        <f ca="1">E9*'GS 50-999 Predicted Monthly'!$V$11</f>
        <v>104269.99719918949</v>
      </c>
      <c r="M9" s="18">
        <f ca="1">F9*'GS 50-999 Predicted Monthly'!$V$12</f>
        <v>7868763.3588636462</v>
      </c>
      <c r="N9" s="18">
        <f>G9*'GS 50-999 Predicted Monthly'!$V$13</f>
        <v>0</v>
      </c>
      <c r="O9" s="18">
        <f>H9*'GS 50-999 Predicted Monthly'!$V$14</f>
        <v>5241192.0255148662</v>
      </c>
      <c r="P9" s="18">
        <f>I9*'GS 50-999 Predicted Monthly'!$V$15</f>
        <v>23929784.569177721</v>
      </c>
      <c r="Q9" s="18">
        <f t="shared" ca="1" si="2"/>
        <v>27817572.151991513</v>
      </c>
    </row>
    <row r="10" spans="1:17" x14ac:dyDescent="0.25">
      <c r="A10" s="3">
        <f>'Monthly Data'!A10</f>
        <v>42248</v>
      </c>
      <c r="B10" s="1">
        <f t="shared" si="0"/>
        <v>2015</v>
      </c>
      <c r="C10" s="1">
        <f t="shared" si="1"/>
        <v>9</v>
      </c>
      <c r="D10" s="268">
        <f>'Monthly Data'!N10</f>
        <v>25368422.182837464</v>
      </c>
      <c r="E10" s="278">
        <f ca="1">Weather!AP42</f>
        <v>54.959440993788824</v>
      </c>
      <c r="F10" s="278">
        <f ca="1">Weather!CG42</f>
        <v>158.67014233954447</v>
      </c>
      <c r="G10" s="278">
        <f>'Monthly Data'!CG10</f>
        <v>0</v>
      </c>
      <c r="H10" s="18">
        <f>'Monthly Data'!AL10</f>
        <v>730341</v>
      </c>
      <c r="I10" s="18">
        <f>'Monthly Data'!CD10</f>
        <v>30</v>
      </c>
      <c r="K10" s="18">
        <f>'GS 50-999 Predicted Monthly'!$V$10</f>
        <v>-9326437.7987639103</v>
      </c>
      <c r="L10" s="18">
        <f ca="1">E10*'GS 50-999 Predicted Monthly'!$V$11</f>
        <v>1014269.160794935</v>
      </c>
      <c r="M10" s="18">
        <f ca="1">F10*'GS 50-999 Predicted Monthly'!$V$12</f>
        <v>4573975.0991622871</v>
      </c>
      <c r="N10" s="18">
        <f>G10*'GS 50-999 Predicted Monthly'!$V$13</f>
        <v>0</v>
      </c>
      <c r="O10" s="18">
        <f>H10*'GS 50-999 Predicted Monthly'!$V$14</f>
        <v>5241192.0255148662</v>
      </c>
      <c r="P10" s="18">
        <f>I10*'GS 50-999 Predicted Monthly'!$V$15</f>
        <v>23157856.034688119</v>
      </c>
      <c r="Q10" s="18">
        <f t="shared" ca="1" si="2"/>
        <v>24660854.521396298</v>
      </c>
    </row>
    <row r="11" spans="1:17" x14ac:dyDescent="0.25">
      <c r="A11" s="3">
        <f>'Monthly Data'!A11</f>
        <v>42278</v>
      </c>
      <c r="B11" s="1">
        <f t="shared" si="0"/>
        <v>2015</v>
      </c>
      <c r="C11" s="1">
        <f t="shared" si="1"/>
        <v>10</v>
      </c>
      <c r="D11" s="268">
        <f>'Monthly Data'!N11</f>
        <v>25684615.714819368</v>
      </c>
      <c r="E11" s="278">
        <f ca="1">Weather!AP43</f>
        <v>237.89681159420289</v>
      </c>
      <c r="F11" s="278">
        <f ca="1">Weather!CG43</f>
        <v>35.32833333333334</v>
      </c>
      <c r="G11" s="278">
        <f>'Monthly Data'!CG11</f>
        <v>0</v>
      </c>
      <c r="H11" s="18">
        <f>'Monthly Data'!AL11</f>
        <v>737784</v>
      </c>
      <c r="I11" s="18">
        <f>'Monthly Data'!CD11</f>
        <v>31</v>
      </c>
      <c r="K11" s="18">
        <f>'GS 50-999 Predicted Monthly'!$V$10</f>
        <v>-9326437.7987639103</v>
      </c>
      <c r="L11" s="18">
        <f ca="1">E11*'GS 50-999 Predicted Monthly'!$V$11</f>
        <v>4390353.9608183457</v>
      </c>
      <c r="M11" s="18">
        <f ca="1">F11*'GS 50-999 Predicted Monthly'!$V$12</f>
        <v>1018407.8401831704</v>
      </c>
      <c r="N11" s="18">
        <f>G11*'GS 50-999 Predicted Monthly'!$V$13</f>
        <v>0</v>
      </c>
      <c r="O11" s="18">
        <f>H11*'GS 50-999 Predicted Monthly'!$V$14</f>
        <v>5294605.6942612566</v>
      </c>
      <c r="P11" s="18">
        <f>I11*'GS 50-999 Predicted Monthly'!$V$15</f>
        <v>23929784.569177721</v>
      </c>
      <c r="Q11" s="18">
        <f t="shared" ca="1" si="2"/>
        <v>25306714.265676584</v>
      </c>
    </row>
    <row r="12" spans="1:17" x14ac:dyDescent="0.25">
      <c r="A12" s="3">
        <f>'Monthly Data'!A12</f>
        <v>42309</v>
      </c>
      <c r="B12" s="1">
        <f t="shared" si="0"/>
        <v>2015</v>
      </c>
      <c r="C12" s="1">
        <f t="shared" si="1"/>
        <v>11</v>
      </c>
      <c r="D12" s="268">
        <f>'Monthly Data'!N12</f>
        <v>27097679.115704805</v>
      </c>
      <c r="E12" s="278">
        <f ca="1">Weather!AP44</f>
        <v>426.62991389045737</v>
      </c>
      <c r="F12" s="278">
        <f ca="1">Weather!CG44</f>
        <v>2.2779166666666657</v>
      </c>
      <c r="G12" s="278">
        <f>'Monthly Data'!CG12</f>
        <v>0</v>
      </c>
      <c r="H12" s="18">
        <f>'Monthly Data'!AL12</f>
        <v>737784</v>
      </c>
      <c r="I12" s="18">
        <f>'Monthly Data'!CD12</f>
        <v>30</v>
      </c>
      <c r="K12" s="18">
        <f>'GS 50-999 Predicted Monthly'!$V$10</f>
        <v>-9326437.7987639103</v>
      </c>
      <c r="L12" s="18">
        <f ca="1">E12*'GS 50-999 Predicted Monthly'!$V$11</f>
        <v>7873398.2170705236</v>
      </c>
      <c r="M12" s="18">
        <f ca="1">F12*'GS 50-999 Predicted Monthly'!$V$12</f>
        <v>65665.373192921048</v>
      </c>
      <c r="N12" s="18">
        <f>G12*'GS 50-999 Predicted Monthly'!$V$13</f>
        <v>0</v>
      </c>
      <c r="O12" s="18">
        <f>H12*'GS 50-999 Predicted Monthly'!$V$14</f>
        <v>5294605.6942612566</v>
      </c>
      <c r="P12" s="18">
        <f>I12*'GS 50-999 Predicted Monthly'!$V$15</f>
        <v>23157856.034688119</v>
      </c>
      <c r="Q12" s="18">
        <f t="shared" ca="1" si="2"/>
        <v>27065087.520448908</v>
      </c>
    </row>
    <row r="13" spans="1:17" x14ac:dyDescent="0.25">
      <c r="A13" s="3">
        <f>'Monthly Data'!A13</f>
        <v>42339</v>
      </c>
      <c r="B13" s="1">
        <f t="shared" si="0"/>
        <v>2015</v>
      </c>
      <c r="C13" s="1">
        <f t="shared" si="1"/>
        <v>12</v>
      </c>
      <c r="D13" s="268">
        <f>'Monthly Data'!N13</f>
        <v>28956193.241493594</v>
      </c>
      <c r="E13" s="278">
        <f ca="1">Weather!AP45</f>
        <v>577.92800724637686</v>
      </c>
      <c r="F13" s="278">
        <f ca="1">Weather!CG45</f>
        <v>0</v>
      </c>
      <c r="G13" s="278">
        <f>'Monthly Data'!CG13</f>
        <v>0</v>
      </c>
      <c r="H13" s="18">
        <f>'Monthly Data'!AL13</f>
        <v>737784</v>
      </c>
      <c r="I13" s="18">
        <f>'Monthly Data'!CD13</f>
        <v>31</v>
      </c>
      <c r="K13" s="18">
        <f>'GS 50-999 Predicted Monthly'!$V$10</f>
        <v>-9326437.7987639103</v>
      </c>
      <c r="L13" s="18">
        <f ca="1">E13*'GS 50-999 Predicted Monthly'!$V$11</f>
        <v>10665584.371135026</v>
      </c>
      <c r="M13" s="18">
        <f ca="1">F13*'GS 50-999 Predicted Monthly'!$V$12</f>
        <v>0</v>
      </c>
      <c r="N13" s="18">
        <f>G13*'GS 50-999 Predicted Monthly'!$V$13</f>
        <v>0</v>
      </c>
      <c r="O13" s="18">
        <f>H13*'GS 50-999 Predicted Monthly'!$V$14</f>
        <v>5294605.6942612566</v>
      </c>
      <c r="P13" s="18">
        <f>I13*'GS 50-999 Predicted Monthly'!$V$15</f>
        <v>23929784.569177721</v>
      </c>
      <c r="Q13" s="18">
        <f t="shared" ca="1" si="2"/>
        <v>30563536.835810095</v>
      </c>
    </row>
    <row r="14" spans="1:17" x14ac:dyDescent="0.25">
      <c r="A14" s="3">
        <f>'Monthly Data'!A14</f>
        <v>42370</v>
      </c>
      <c r="B14" s="1">
        <f t="shared" si="0"/>
        <v>2016</v>
      </c>
      <c r="C14" s="1">
        <f t="shared" si="1"/>
        <v>1</v>
      </c>
      <c r="D14" s="268">
        <f>'Monthly Data'!N14</f>
        <v>32424680.392063037</v>
      </c>
      <c r="E14" s="278">
        <f t="shared" ref="E14:F33" ca="1" si="3">E2</f>
        <v>697.33418478260876</v>
      </c>
      <c r="F14" s="278">
        <f t="shared" ca="1" si="3"/>
        <v>0</v>
      </c>
      <c r="G14" s="278">
        <f>'Monthly Data'!CG14</f>
        <v>0</v>
      </c>
      <c r="H14" s="18">
        <f>'Monthly Data'!AL14</f>
        <v>743287</v>
      </c>
      <c r="I14" s="18">
        <f>'Monthly Data'!CD14</f>
        <v>31</v>
      </c>
      <c r="K14" s="18">
        <f>'GS 50-999 Predicted Monthly'!$V$10</f>
        <v>-9326437.7987639103</v>
      </c>
      <c r="L14" s="18">
        <f ca="1">E14*'GS 50-999 Predicted Monthly'!$V$11</f>
        <v>12869209.467996765</v>
      </c>
      <c r="M14" s="18">
        <f ca="1">F14*'GS 50-999 Predicted Monthly'!$V$12</f>
        <v>0</v>
      </c>
      <c r="N14" s="18">
        <f>G14*'GS 50-999 Predicted Monthly'!$V$13</f>
        <v>0</v>
      </c>
      <c r="O14" s="18">
        <f>H14*'GS 50-999 Predicted Monthly'!$V$14</f>
        <v>5334097.2190646129</v>
      </c>
      <c r="P14" s="18">
        <f>I14*'GS 50-999 Predicted Monthly'!$V$15</f>
        <v>23929784.569177721</v>
      </c>
      <c r="Q14" s="18">
        <f t="shared" ca="1" si="2"/>
        <v>32806653.457475189</v>
      </c>
    </row>
    <row r="15" spans="1:17"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Data'!CG15</f>
        <v>0</v>
      </c>
      <c r="H15" s="18">
        <f>'Monthly Data'!AL15</f>
        <v>743287</v>
      </c>
      <c r="I15" s="18">
        <f>'Monthly Data'!CD15</f>
        <v>29</v>
      </c>
      <c r="K15" s="18">
        <f>'GS 50-999 Predicted Monthly'!$V$10</f>
        <v>-9326437.7987639103</v>
      </c>
      <c r="L15" s="18">
        <f ca="1">E15*'GS 50-999 Predicted Monthly'!$V$11</f>
        <v>11520543.184164472</v>
      </c>
      <c r="M15" s="18">
        <f ca="1">F15*'GS 50-999 Predicted Monthly'!$V$12</f>
        <v>0</v>
      </c>
      <c r="N15" s="18">
        <f>G15*'GS 50-999 Predicted Monthly'!$V$13</f>
        <v>0</v>
      </c>
      <c r="O15" s="18">
        <f>H15*'GS 50-999 Predicted Monthly'!$V$14</f>
        <v>5334097.2190646129</v>
      </c>
      <c r="P15" s="18">
        <f>I15*'GS 50-999 Predicted Monthly'!$V$15</f>
        <v>22385927.500198513</v>
      </c>
      <c r="Q15" s="18">
        <f t="shared" ca="1" si="2"/>
        <v>29914130.104663689</v>
      </c>
    </row>
    <row r="16" spans="1:17" x14ac:dyDescent="0.25">
      <c r="A16" s="3">
        <f>'Monthly Data'!A16</f>
        <v>42430</v>
      </c>
      <c r="B16" s="1">
        <f t="shared" si="0"/>
        <v>2016</v>
      </c>
      <c r="C16" s="1">
        <f t="shared" si="1"/>
        <v>3</v>
      </c>
      <c r="D16" s="268">
        <f>'Monthly Data'!N16</f>
        <v>31071039.310371984</v>
      </c>
      <c r="E16" s="278">
        <f t="shared" ca="1" si="3"/>
        <v>546.13298913043491</v>
      </c>
      <c r="F16" s="278">
        <f t="shared" ca="1" si="3"/>
        <v>2.9583333333332896E-2</v>
      </c>
      <c r="G16" s="278">
        <f>'Monthly Data'!CG16</f>
        <v>0</v>
      </c>
      <c r="H16" s="18">
        <f>'Monthly Data'!AL16</f>
        <v>743287</v>
      </c>
      <c r="I16" s="18">
        <f>'Monthly Data'!CD16</f>
        <v>31</v>
      </c>
      <c r="K16" s="18">
        <f>'GS 50-999 Predicted Monthly'!$V$10</f>
        <v>-9326437.7987639103</v>
      </c>
      <c r="L16" s="18">
        <f ca="1">E16*'GS 50-999 Predicted Monthly'!$V$11</f>
        <v>10078811.548144327</v>
      </c>
      <c r="M16" s="18">
        <f ca="1">F16*'GS 50-999 Predicted Monthly'!$V$12</f>
        <v>852.79705445350771</v>
      </c>
      <c r="N16" s="18">
        <f>G16*'GS 50-999 Predicted Monthly'!$V$13</f>
        <v>0</v>
      </c>
      <c r="O16" s="18">
        <f>H16*'GS 50-999 Predicted Monthly'!$V$14</f>
        <v>5334097.2190646129</v>
      </c>
      <c r="P16" s="18">
        <f>I16*'GS 50-999 Predicted Monthly'!$V$15</f>
        <v>23929784.569177721</v>
      </c>
      <c r="Q16" s="18">
        <f t="shared" ca="1" si="2"/>
        <v>30017108.334677204</v>
      </c>
    </row>
    <row r="17" spans="1:18" x14ac:dyDescent="0.25">
      <c r="A17" s="3">
        <f>'Monthly Data'!A17</f>
        <v>42461</v>
      </c>
      <c r="B17" s="1">
        <f t="shared" si="0"/>
        <v>2016</v>
      </c>
      <c r="C17" s="1">
        <f t="shared" si="1"/>
        <v>4</v>
      </c>
      <c r="D17" s="268">
        <f>'Monthly Data'!N17</f>
        <v>25693792.188505106</v>
      </c>
      <c r="E17" s="278">
        <f t="shared" ca="1" si="3"/>
        <v>352.41399621212122</v>
      </c>
      <c r="F17" s="278">
        <f t="shared" ca="1" si="3"/>
        <v>5.6420833333333338</v>
      </c>
      <c r="G17" s="278">
        <f>'Monthly Data'!CG17</f>
        <v>0</v>
      </c>
      <c r="H17" s="18">
        <f>'Monthly Data'!AL17</f>
        <v>740632</v>
      </c>
      <c r="I17" s="18">
        <f>'Monthly Data'!CD17</f>
        <v>30</v>
      </c>
      <c r="K17" s="18">
        <f>'GS 50-999 Predicted Monthly'!$V$10</f>
        <v>-9326437.7987639103</v>
      </c>
      <c r="L17" s="18">
        <f ca="1">E17*'GS 50-999 Predicted Monthly'!$V$11</f>
        <v>6503753.3447775338</v>
      </c>
      <c r="M17" s="18">
        <f ca="1">F17*'GS 50-999 Predicted Monthly'!$V$12</f>
        <v>162644.01287824113</v>
      </c>
      <c r="N17" s="18">
        <f>G17*'GS 50-999 Predicted Monthly'!$V$13</f>
        <v>0</v>
      </c>
      <c r="O17" s="18">
        <f>H17*'GS 50-999 Predicted Monthly'!$V$14</f>
        <v>5315043.9756786581</v>
      </c>
      <c r="P17" s="18">
        <f>I17*'GS 50-999 Predicted Monthly'!$V$15</f>
        <v>23157856.034688119</v>
      </c>
      <c r="Q17" s="18">
        <f t="shared" ca="1" si="2"/>
        <v>25812859.569258641</v>
      </c>
    </row>
    <row r="18" spans="1:18" x14ac:dyDescent="0.25">
      <c r="A18" s="3">
        <f>'Monthly Data'!A18</f>
        <v>42491</v>
      </c>
      <c r="B18" s="1">
        <f t="shared" si="0"/>
        <v>2016</v>
      </c>
      <c r="C18" s="1">
        <f t="shared" si="1"/>
        <v>5</v>
      </c>
      <c r="D18" s="268">
        <f>'Monthly Data'!N18</f>
        <v>25563625.514173936</v>
      </c>
      <c r="E18" s="278">
        <f t="shared" ca="1" si="3"/>
        <v>150.136897859768</v>
      </c>
      <c r="F18" s="278">
        <f t="shared" ca="1" si="3"/>
        <v>86.191046176046171</v>
      </c>
      <c r="G18" s="278">
        <f>'Monthly Data'!CG18</f>
        <v>0</v>
      </c>
      <c r="H18" s="18">
        <f>'Monthly Data'!AL18</f>
        <v>740632</v>
      </c>
      <c r="I18" s="18">
        <f>'Monthly Data'!CD18</f>
        <v>31</v>
      </c>
      <c r="K18" s="18">
        <f>'GS 50-999 Predicted Monthly'!$V$10</f>
        <v>-9326437.7987639103</v>
      </c>
      <c r="L18" s="18">
        <f ca="1">E18*'GS 50-999 Predicted Monthly'!$V$11</f>
        <v>2770756.4458996481</v>
      </c>
      <c r="M18" s="18">
        <f ca="1">F18*'GS 50-999 Predicted Monthly'!$V$12</f>
        <v>2484624.3481419561</v>
      </c>
      <c r="N18" s="18">
        <f>G18*'GS 50-999 Predicted Monthly'!$V$13</f>
        <v>0</v>
      </c>
      <c r="O18" s="18">
        <f>H18*'GS 50-999 Predicted Monthly'!$V$14</f>
        <v>5315043.9756786581</v>
      </c>
      <c r="P18" s="18">
        <f>I18*'GS 50-999 Predicted Monthly'!$V$15</f>
        <v>23929784.569177721</v>
      </c>
      <c r="Q18" s="18">
        <f t="shared" ca="1" si="2"/>
        <v>25173771.540134072</v>
      </c>
    </row>
    <row r="19" spans="1:18" x14ac:dyDescent="0.25">
      <c r="A19" s="3">
        <f>'Monthly Data'!A19</f>
        <v>42522</v>
      </c>
      <c r="B19" s="1">
        <f t="shared" si="0"/>
        <v>2016</v>
      </c>
      <c r="C19" s="1">
        <f t="shared" si="1"/>
        <v>6</v>
      </c>
      <c r="D19" s="268">
        <f>'Monthly Data'!N19</f>
        <v>24988466.374266114</v>
      </c>
      <c r="E19" s="278">
        <f t="shared" ca="1" si="3"/>
        <v>32.520923826173821</v>
      </c>
      <c r="F19" s="278">
        <f t="shared" ca="1" si="3"/>
        <v>194.94285087738348</v>
      </c>
      <c r="G19" s="278">
        <f>'Monthly Data'!CG19</f>
        <v>0</v>
      </c>
      <c r="H19" s="18">
        <f>'Monthly Data'!AL19</f>
        <v>740632</v>
      </c>
      <c r="I19" s="18">
        <f>'Monthly Data'!CD19</f>
        <v>30</v>
      </c>
      <c r="K19" s="18">
        <f>'GS 50-999 Predicted Monthly'!$V$10</f>
        <v>-9326437.7987639103</v>
      </c>
      <c r="L19" s="18">
        <f ca="1">E19*'GS 50-999 Predicted Monthly'!$V$11</f>
        <v>600169.3161540177</v>
      </c>
      <c r="M19" s="18">
        <f ca="1">F19*'GS 50-999 Predicted Monthly'!$V$12</f>
        <v>5619606.3892395888</v>
      </c>
      <c r="N19" s="18">
        <f>G19*'GS 50-999 Predicted Monthly'!$V$13</f>
        <v>0</v>
      </c>
      <c r="O19" s="18">
        <f>H19*'GS 50-999 Predicted Monthly'!$V$14</f>
        <v>5315043.9756786581</v>
      </c>
      <c r="P19" s="18">
        <f>I19*'GS 50-999 Predicted Monthly'!$V$15</f>
        <v>23157856.034688119</v>
      </c>
      <c r="Q19" s="18">
        <f t="shared" ca="1" si="2"/>
        <v>25366237.916996472</v>
      </c>
      <c r="R19" s="288"/>
    </row>
    <row r="20" spans="1:18" x14ac:dyDescent="0.25">
      <c r="A20" s="3">
        <f>'Monthly Data'!A20</f>
        <v>42552</v>
      </c>
      <c r="B20" s="1">
        <f t="shared" si="0"/>
        <v>2016</v>
      </c>
      <c r="C20" s="1">
        <f t="shared" si="1"/>
        <v>7</v>
      </c>
      <c r="D20" s="268">
        <f>'Monthly Data'!N20</f>
        <v>30177913.769882832</v>
      </c>
      <c r="E20" s="278">
        <f t="shared" ca="1" si="3"/>
        <v>1.6179166666666653</v>
      </c>
      <c r="F20" s="278">
        <f t="shared" ca="1" si="3"/>
        <v>297.94737858727848</v>
      </c>
      <c r="G20" s="278">
        <f>'Monthly Data'!CG20</f>
        <v>0</v>
      </c>
      <c r="H20" s="18">
        <f>'Monthly Data'!AL20</f>
        <v>746606</v>
      </c>
      <c r="I20" s="18">
        <f>'Monthly Data'!CD20</f>
        <v>31</v>
      </c>
      <c r="K20" s="18">
        <f>'GS 50-999 Predicted Monthly'!$V$10</f>
        <v>-9326437.7987639103</v>
      </c>
      <c r="L20" s="18">
        <f ca="1">E20*'GS 50-999 Predicted Monthly'!$V$11</f>
        <v>29858.436513602697</v>
      </c>
      <c r="M20" s="18">
        <f ca="1">F20*'GS 50-999 Predicted Monthly'!$V$12</f>
        <v>8588912.0059057679</v>
      </c>
      <c r="N20" s="18">
        <f>G20*'GS 50-999 Predicted Monthly'!$V$13</f>
        <v>0</v>
      </c>
      <c r="O20" s="18">
        <f>H20*'GS 50-999 Predicted Monthly'!$V$14</f>
        <v>5357915.5673877718</v>
      </c>
      <c r="P20" s="18">
        <f>I20*'GS 50-999 Predicted Monthly'!$V$15</f>
        <v>23929784.569177721</v>
      </c>
      <c r="Q20" s="18">
        <f t="shared" ca="1" si="2"/>
        <v>28580032.780220952</v>
      </c>
    </row>
    <row r="21" spans="1:18" x14ac:dyDescent="0.25">
      <c r="A21" s="3">
        <f>'Monthly Data'!A21</f>
        <v>42583</v>
      </c>
      <c r="B21" s="1">
        <f t="shared" si="0"/>
        <v>2016</v>
      </c>
      <c r="C21" s="1">
        <f t="shared" si="1"/>
        <v>8</v>
      </c>
      <c r="D21" s="268">
        <f>'Monthly Data'!N21</f>
        <v>30103803.929514974</v>
      </c>
      <c r="E21" s="278">
        <f t="shared" ca="1" si="3"/>
        <v>5.6499999999999977</v>
      </c>
      <c r="F21" s="278">
        <f t="shared" ca="1" si="3"/>
        <v>272.96558794466404</v>
      </c>
      <c r="G21" s="278">
        <f>'Monthly Data'!CG21</f>
        <v>0</v>
      </c>
      <c r="H21" s="18">
        <f>'Monthly Data'!AL21</f>
        <v>746606</v>
      </c>
      <c r="I21" s="18">
        <f>'Monthly Data'!CD21</f>
        <v>31</v>
      </c>
      <c r="K21" s="18">
        <f>'GS 50-999 Predicted Monthly'!$V$10</f>
        <v>-9326437.7987639103</v>
      </c>
      <c r="L21" s="18">
        <f ca="1">E21*'GS 50-999 Predicted Monthly'!$V$11</f>
        <v>104269.99719918949</v>
      </c>
      <c r="M21" s="18">
        <f ca="1">F21*'GS 50-999 Predicted Monthly'!$V$12</f>
        <v>7868763.3588636462</v>
      </c>
      <c r="N21" s="18">
        <f>G21*'GS 50-999 Predicted Monthly'!$V$13</f>
        <v>0</v>
      </c>
      <c r="O21" s="18">
        <f>H21*'GS 50-999 Predicted Monthly'!$V$14</f>
        <v>5357915.5673877718</v>
      </c>
      <c r="P21" s="18">
        <f>I21*'GS 50-999 Predicted Monthly'!$V$15</f>
        <v>23929784.569177721</v>
      </c>
      <c r="Q21" s="18">
        <f t="shared" ca="1" si="2"/>
        <v>27934295.693864416</v>
      </c>
    </row>
    <row r="22" spans="1:18" x14ac:dyDescent="0.25">
      <c r="A22" s="3">
        <f>'Monthly Data'!A22</f>
        <v>42614</v>
      </c>
      <c r="B22" s="1">
        <f t="shared" si="0"/>
        <v>2016</v>
      </c>
      <c r="C22" s="1">
        <f t="shared" si="1"/>
        <v>9</v>
      </c>
      <c r="D22" s="268">
        <f>'Monthly Data'!N22</f>
        <v>25339421.831471663</v>
      </c>
      <c r="E22" s="278">
        <f t="shared" ca="1" si="3"/>
        <v>54.959440993788824</v>
      </c>
      <c r="F22" s="278">
        <f t="shared" ca="1" si="3"/>
        <v>158.67014233954447</v>
      </c>
      <c r="G22" s="278">
        <f>'Monthly Data'!CG22</f>
        <v>0</v>
      </c>
      <c r="H22" s="18">
        <f>'Monthly Data'!AL22</f>
        <v>746606</v>
      </c>
      <c r="I22" s="18">
        <f>'Monthly Data'!CD22</f>
        <v>30</v>
      </c>
      <c r="K22" s="18">
        <f>'GS 50-999 Predicted Monthly'!$V$10</f>
        <v>-9326437.7987639103</v>
      </c>
      <c r="L22" s="18">
        <f ca="1">E22*'GS 50-999 Predicted Monthly'!$V$11</f>
        <v>1014269.160794935</v>
      </c>
      <c r="M22" s="18">
        <f ca="1">F22*'GS 50-999 Predicted Monthly'!$V$12</f>
        <v>4573975.0991622871</v>
      </c>
      <c r="N22" s="18">
        <f>G22*'GS 50-999 Predicted Monthly'!$V$13</f>
        <v>0</v>
      </c>
      <c r="O22" s="18">
        <f>H22*'GS 50-999 Predicted Monthly'!$V$14</f>
        <v>5357915.5673877718</v>
      </c>
      <c r="P22" s="18">
        <f>I22*'GS 50-999 Predicted Monthly'!$V$15</f>
        <v>23157856.034688119</v>
      </c>
      <c r="Q22" s="18">
        <f t="shared" ca="1" si="2"/>
        <v>24777578.063269202</v>
      </c>
    </row>
    <row r="23" spans="1:18" x14ac:dyDescent="0.25">
      <c r="A23" s="3">
        <f>'Monthly Data'!A23</f>
        <v>42644</v>
      </c>
      <c r="B23" s="1">
        <f t="shared" si="0"/>
        <v>2016</v>
      </c>
      <c r="C23" s="1">
        <f t="shared" si="1"/>
        <v>10</v>
      </c>
      <c r="D23" s="268">
        <f>'Monthly Data'!N23</f>
        <v>26431491.689325772</v>
      </c>
      <c r="E23" s="278">
        <f t="shared" ca="1" si="3"/>
        <v>237.89681159420289</v>
      </c>
      <c r="F23" s="278">
        <f t="shared" ca="1" si="3"/>
        <v>35.32833333333334</v>
      </c>
      <c r="G23" s="278">
        <f>'Monthly Data'!CG23</f>
        <v>0</v>
      </c>
      <c r="H23" s="18">
        <f>'Monthly Data'!AL23</f>
        <v>745380</v>
      </c>
      <c r="I23" s="18">
        <f>'Monthly Data'!CD23</f>
        <v>31</v>
      </c>
      <c r="K23" s="18">
        <f>'GS 50-999 Predicted Monthly'!$V$10</f>
        <v>-9326437.7987639103</v>
      </c>
      <c r="L23" s="18">
        <f ca="1">E23*'GS 50-999 Predicted Monthly'!$V$11</f>
        <v>4390353.9608183457</v>
      </c>
      <c r="M23" s="18">
        <f ca="1">F23*'GS 50-999 Predicted Monthly'!$V$12</f>
        <v>1018407.8401831704</v>
      </c>
      <c r="N23" s="18">
        <f>G23*'GS 50-999 Predicted Monthly'!$V$13</f>
        <v>0</v>
      </c>
      <c r="O23" s="18">
        <f>H23*'GS 50-999 Predicted Monthly'!$V$14</f>
        <v>5349117.346524803</v>
      </c>
      <c r="P23" s="18">
        <f>I23*'GS 50-999 Predicted Monthly'!$V$15</f>
        <v>23929784.569177721</v>
      </c>
      <c r="Q23" s="18">
        <f t="shared" ca="1" si="2"/>
        <v>25361225.917940129</v>
      </c>
    </row>
    <row r="24" spans="1:18" x14ac:dyDescent="0.25">
      <c r="A24" s="3">
        <f>'Monthly Data'!A24</f>
        <v>42675</v>
      </c>
      <c r="B24" s="1">
        <f t="shared" si="0"/>
        <v>2016</v>
      </c>
      <c r="C24" s="1">
        <f t="shared" si="1"/>
        <v>11</v>
      </c>
      <c r="D24" s="268">
        <f>'Monthly Data'!N24</f>
        <v>26484968.386753168</v>
      </c>
      <c r="E24" s="278">
        <f t="shared" ca="1" si="3"/>
        <v>426.62991389045737</v>
      </c>
      <c r="F24" s="278">
        <f t="shared" ca="1" si="3"/>
        <v>2.2779166666666657</v>
      </c>
      <c r="G24" s="278">
        <f>'Monthly Data'!CG24</f>
        <v>0</v>
      </c>
      <c r="H24" s="18">
        <f>'Monthly Data'!AL24</f>
        <v>745380</v>
      </c>
      <c r="I24" s="18">
        <f>'Monthly Data'!CD24</f>
        <v>30</v>
      </c>
      <c r="K24" s="18">
        <f>'GS 50-999 Predicted Monthly'!$V$10</f>
        <v>-9326437.7987639103</v>
      </c>
      <c r="L24" s="18">
        <f ca="1">E24*'GS 50-999 Predicted Monthly'!$V$11</f>
        <v>7873398.2170705236</v>
      </c>
      <c r="M24" s="18">
        <f ca="1">F24*'GS 50-999 Predicted Monthly'!$V$12</f>
        <v>65665.373192921048</v>
      </c>
      <c r="N24" s="18">
        <f>G24*'GS 50-999 Predicted Monthly'!$V$13</f>
        <v>0</v>
      </c>
      <c r="O24" s="18">
        <f>H24*'GS 50-999 Predicted Monthly'!$V$14</f>
        <v>5349117.346524803</v>
      </c>
      <c r="P24" s="18">
        <f>I24*'GS 50-999 Predicted Monthly'!$V$15</f>
        <v>23157856.034688119</v>
      </c>
      <c r="Q24" s="18">
        <f t="shared" ca="1" si="2"/>
        <v>27119599.172712456</v>
      </c>
    </row>
    <row r="25" spans="1:18"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Data'!CG25</f>
        <v>0</v>
      </c>
      <c r="H25" s="18">
        <f>'Monthly Data'!AL25</f>
        <v>745380</v>
      </c>
      <c r="I25" s="18">
        <f>'Monthly Data'!CD25</f>
        <v>31</v>
      </c>
      <c r="K25" s="18">
        <f>'GS 50-999 Predicted Monthly'!$V$10</f>
        <v>-9326437.7987639103</v>
      </c>
      <c r="L25" s="18">
        <f ca="1">E25*'GS 50-999 Predicted Monthly'!$V$11</f>
        <v>10665584.371135026</v>
      </c>
      <c r="M25" s="18">
        <f ca="1">F25*'GS 50-999 Predicted Monthly'!$V$12</f>
        <v>0</v>
      </c>
      <c r="N25" s="18">
        <f>G25*'GS 50-999 Predicted Monthly'!$V$13</f>
        <v>0</v>
      </c>
      <c r="O25" s="18">
        <f>H25*'GS 50-999 Predicted Monthly'!$V$14</f>
        <v>5349117.346524803</v>
      </c>
      <c r="P25" s="18">
        <f>I25*'GS 50-999 Predicted Monthly'!$V$15</f>
        <v>23929784.569177721</v>
      </c>
      <c r="Q25" s="18">
        <f t="shared" ca="1" si="2"/>
        <v>30618048.48807364</v>
      </c>
    </row>
    <row r="26" spans="1:18" x14ac:dyDescent="0.25">
      <c r="A26" s="3">
        <f>'Monthly Data'!A26</f>
        <v>42736</v>
      </c>
      <c r="B26" s="1">
        <f t="shared" si="0"/>
        <v>2017</v>
      </c>
      <c r="C26" s="1">
        <f t="shared" si="1"/>
        <v>1</v>
      </c>
      <c r="D26" s="268">
        <f>'Monthly Data'!N26</f>
        <v>34806736.410082474</v>
      </c>
      <c r="E26" s="278">
        <f t="shared" ca="1" si="3"/>
        <v>697.33418478260876</v>
      </c>
      <c r="F26" s="278">
        <f t="shared" ca="1" si="3"/>
        <v>0</v>
      </c>
      <c r="G26" s="278">
        <f>'Monthly Data'!CG26</f>
        <v>0</v>
      </c>
      <c r="H26" s="18">
        <f>'Monthly Data'!AL26</f>
        <v>756702</v>
      </c>
      <c r="I26" s="18">
        <f>'Monthly Data'!CD26</f>
        <v>31</v>
      </c>
      <c r="K26" s="18">
        <f>'GS 50-999 Predicted Monthly'!$V$10</f>
        <v>-9326437.7987639103</v>
      </c>
      <c r="L26" s="18">
        <f ca="1">E26*'GS 50-999 Predicted Monthly'!$V$11</f>
        <v>12869209.467996765</v>
      </c>
      <c r="M26" s="18">
        <f ca="1">F26*'GS 50-999 Predicted Monthly'!$V$12</f>
        <v>0</v>
      </c>
      <c r="N26" s="18">
        <f>G26*'GS 50-999 Predicted Monthly'!$V$13</f>
        <v>0</v>
      </c>
      <c r="O26" s="18">
        <f>H26*'GS 50-999 Predicted Monthly'!$V$14</f>
        <v>5430368.1267944025</v>
      </c>
      <c r="P26" s="18">
        <f>I26*'GS 50-999 Predicted Monthly'!$V$15</f>
        <v>23929784.569177721</v>
      </c>
      <c r="Q26" s="18">
        <f t="shared" ca="1" si="2"/>
        <v>32902924.365204979</v>
      </c>
    </row>
    <row r="27" spans="1:18" x14ac:dyDescent="0.25">
      <c r="A27" s="3">
        <f>'Monthly Data'!A27</f>
        <v>42767</v>
      </c>
      <c r="B27" s="1">
        <f t="shared" si="0"/>
        <v>2017</v>
      </c>
      <c r="C27" s="1">
        <f t="shared" si="1"/>
        <v>2</v>
      </c>
      <c r="D27" s="268">
        <f>'Monthly Data'!N27</f>
        <v>28838170.041093104</v>
      </c>
      <c r="E27" s="278">
        <f t="shared" ca="1" si="3"/>
        <v>624.25501811594188</v>
      </c>
      <c r="F27" s="278">
        <f t="shared" ca="1" si="3"/>
        <v>0</v>
      </c>
      <c r="G27" s="278">
        <f>'Monthly Data'!CG27</f>
        <v>0</v>
      </c>
      <c r="H27" s="18">
        <f>'Monthly Data'!AL27</f>
        <v>756702</v>
      </c>
      <c r="I27" s="18">
        <f>'Monthly Data'!CD27</f>
        <v>28</v>
      </c>
      <c r="K27" s="18">
        <f>'GS 50-999 Predicted Monthly'!$V$10</f>
        <v>-9326437.7987639103</v>
      </c>
      <c r="L27" s="18">
        <f ca="1">E27*'GS 50-999 Predicted Monthly'!$V$11</f>
        <v>11520543.184164472</v>
      </c>
      <c r="M27" s="18">
        <f ca="1">F27*'GS 50-999 Predicted Monthly'!$V$12</f>
        <v>0</v>
      </c>
      <c r="N27" s="18">
        <f>G27*'GS 50-999 Predicted Monthly'!$V$13</f>
        <v>0</v>
      </c>
      <c r="O27" s="18">
        <f>H27*'GS 50-999 Predicted Monthly'!$V$14</f>
        <v>5430368.1267944025</v>
      </c>
      <c r="P27" s="18">
        <f>I27*'GS 50-999 Predicted Monthly'!$V$15</f>
        <v>21613998.965708911</v>
      </c>
      <c r="Q27" s="18">
        <f t="shared" ca="1" si="2"/>
        <v>29238472.477903876</v>
      </c>
    </row>
    <row r="28" spans="1:18" x14ac:dyDescent="0.25">
      <c r="A28" s="3">
        <f>'Monthly Data'!A28</f>
        <v>42795</v>
      </c>
      <c r="B28" s="1">
        <f t="shared" si="0"/>
        <v>2017</v>
      </c>
      <c r="C28" s="1">
        <f t="shared" si="1"/>
        <v>3</v>
      </c>
      <c r="D28" s="268">
        <f>'Monthly Data'!N28</f>
        <v>30947017.582069278</v>
      </c>
      <c r="E28" s="278">
        <f t="shared" ca="1" si="3"/>
        <v>546.13298913043491</v>
      </c>
      <c r="F28" s="278">
        <f t="shared" ca="1" si="3"/>
        <v>2.9583333333332896E-2</v>
      </c>
      <c r="G28" s="278">
        <f>'Monthly Data'!CG28</f>
        <v>0</v>
      </c>
      <c r="H28" s="18">
        <f>'Monthly Data'!AL28</f>
        <v>756702</v>
      </c>
      <c r="I28" s="18">
        <f>'Monthly Data'!CD28</f>
        <v>31</v>
      </c>
      <c r="K28" s="18">
        <f>'GS 50-999 Predicted Monthly'!$V$10</f>
        <v>-9326437.7987639103</v>
      </c>
      <c r="L28" s="18">
        <f ca="1">E28*'GS 50-999 Predicted Monthly'!$V$11</f>
        <v>10078811.548144327</v>
      </c>
      <c r="M28" s="18">
        <f ca="1">F28*'GS 50-999 Predicted Monthly'!$V$12</f>
        <v>852.79705445350771</v>
      </c>
      <c r="N28" s="18">
        <f>G28*'GS 50-999 Predicted Monthly'!$V$13</f>
        <v>0</v>
      </c>
      <c r="O28" s="18">
        <f>H28*'GS 50-999 Predicted Monthly'!$V$14</f>
        <v>5430368.1267944025</v>
      </c>
      <c r="P28" s="18">
        <f>I28*'GS 50-999 Predicted Monthly'!$V$15</f>
        <v>23929784.569177721</v>
      </c>
      <c r="Q28" s="18">
        <f t="shared" ca="1" si="2"/>
        <v>30113379.242406994</v>
      </c>
    </row>
    <row r="29" spans="1:18" x14ac:dyDescent="0.25">
      <c r="A29" s="3">
        <f>'Monthly Data'!A29</f>
        <v>42826</v>
      </c>
      <c r="B29" s="1">
        <f t="shared" si="0"/>
        <v>2017</v>
      </c>
      <c r="C29" s="1">
        <f t="shared" si="1"/>
        <v>4</v>
      </c>
      <c r="D29" s="268">
        <f>'Monthly Data'!N29</f>
        <v>25802014.556424748</v>
      </c>
      <c r="E29" s="278">
        <f t="shared" ca="1" si="3"/>
        <v>352.41399621212122</v>
      </c>
      <c r="F29" s="278">
        <f t="shared" ca="1" si="3"/>
        <v>5.6420833333333338</v>
      </c>
      <c r="G29" s="278">
        <f>'Monthly Data'!CG29</f>
        <v>0</v>
      </c>
      <c r="H29" s="18">
        <f>'Monthly Data'!AL29</f>
        <v>764644</v>
      </c>
      <c r="I29" s="18">
        <f>'Monthly Data'!CD29</f>
        <v>30</v>
      </c>
      <c r="K29" s="18">
        <f>'GS 50-999 Predicted Monthly'!$V$10</f>
        <v>-9326437.7987639103</v>
      </c>
      <c r="L29" s="18">
        <f ca="1">E29*'GS 50-999 Predicted Monthly'!$V$11</f>
        <v>6503753.3447775338</v>
      </c>
      <c r="M29" s="18">
        <f ca="1">F29*'GS 50-999 Predicted Monthly'!$V$12</f>
        <v>162644.01287824113</v>
      </c>
      <c r="N29" s="18">
        <f>G29*'GS 50-999 Predicted Monthly'!$V$13</f>
        <v>0</v>
      </c>
      <c r="O29" s="18">
        <f>H29*'GS 50-999 Predicted Monthly'!$V$14</f>
        <v>5487362.8006065516</v>
      </c>
      <c r="P29" s="18">
        <f>I29*'GS 50-999 Predicted Monthly'!$V$15</f>
        <v>23157856.034688119</v>
      </c>
      <c r="Q29" s="18">
        <f t="shared" ca="1" si="2"/>
        <v>25985178.394186534</v>
      </c>
    </row>
    <row r="30" spans="1:18" x14ac:dyDescent="0.25">
      <c r="A30" s="3">
        <f>'Monthly Data'!A30</f>
        <v>42856</v>
      </c>
      <c r="B30" s="1">
        <f t="shared" si="0"/>
        <v>2017</v>
      </c>
      <c r="C30" s="1">
        <f t="shared" si="1"/>
        <v>5</v>
      </c>
      <c r="D30" s="268">
        <f>'Monthly Data'!N30</f>
        <v>27647143.955622979</v>
      </c>
      <c r="E30" s="278">
        <f t="shared" ca="1" si="3"/>
        <v>150.136897859768</v>
      </c>
      <c r="F30" s="278">
        <f t="shared" ca="1" si="3"/>
        <v>86.191046176046171</v>
      </c>
      <c r="G30" s="278">
        <f>'Monthly Data'!CG30</f>
        <v>0</v>
      </c>
      <c r="H30" s="18">
        <f>'Monthly Data'!AL30</f>
        <v>764644</v>
      </c>
      <c r="I30" s="18">
        <f>'Monthly Data'!CD30</f>
        <v>31</v>
      </c>
      <c r="K30" s="18">
        <f>'GS 50-999 Predicted Monthly'!$V$10</f>
        <v>-9326437.7987639103</v>
      </c>
      <c r="L30" s="18">
        <f ca="1">E30*'GS 50-999 Predicted Monthly'!$V$11</f>
        <v>2770756.4458996481</v>
      </c>
      <c r="M30" s="18">
        <f ca="1">F30*'GS 50-999 Predicted Monthly'!$V$12</f>
        <v>2484624.3481419561</v>
      </c>
      <c r="N30" s="18">
        <f>G30*'GS 50-999 Predicted Monthly'!$V$13</f>
        <v>0</v>
      </c>
      <c r="O30" s="18">
        <f>H30*'GS 50-999 Predicted Monthly'!$V$14</f>
        <v>5487362.8006065516</v>
      </c>
      <c r="P30" s="18">
        <f>I30*'GS 50-999 Predicted Monthly'!$V$15</f>
        <v>23929784.569177721</v>
      </c>
      <c r="Q30" s="18">
        <f t="shared" ca="1" si="2"/>
        <v>25346090.365061969</v>
      </c>
    </row>
    <row r="31" spans="1:18" x14ac:dyDescent="0.25">
      <c r="A31" s="3">
        <f>'Monthly Data'!A31</f>
        <v>42887</v>
      </c>
      <c r="B31" s="1">
        <f t="shared" si="0"/>
        <v>2017</v>
      </c>
      <c r="C31" s="1">
        <f t="shared" si="1"/>
        <v>6</v>
      </c>
      <c r="D31" s="268">
        <f>'Monthly Data'!N31</f>
        <v>24510322.97232236</v>
      </c>
      <c r="E31" s="278">
        <f t="shared" ca="1" si="3"/>
        <v>32.520923826173821</v>
      </c>
      <c r="F31" s="278">
        <f t="shared" ca="1" si="3"/>
        <v>194.94285087738348</v>
      </c>
      <c r="G31" s="278">
        <f>'Monthly Data'!CG31</f>
        <v>0</v>
      </c>
      <c r="H31" s="18">
        <f>'Monthly Data'!AL31</f>
        <v>764644</v>
      </c>
      <c r="I31" s="18">
        <f>'Monthly Data'!CD31</f>
        <v>30</v>
      </c>
      <c r="K31" s="18">
        <f>'GS 50-999 Predicted Monthly'!$V$10</f>
        <v>-9326437.7987639103</v>
      </c>
      <c r="L31" s="18">
        <f ca="1">E31*'GS 50-999 Predicted Monthly'!$V$11</f>
        <v>600169.3161540177</v>
      </c>
      <c r="M31" s="18">
        <f ca="1">F31*'GS 50-999 Predicted Monthly'!$V$12</f>
        <v>5619606.3892395888</v>
      </c>
      <c r="N31" s="18">
        <f>G31*'GS 50-999 Predicted Monthly'!$V$13</f>
        <v>0</v>
      </c>
      <c r="O31" s="18">
        <f>H31*'GS 50-999 Predicted Monthly'!$V$14</f>
        <v>5487362.8006065516</v>
      </c>
      <c r="P31" s="18">
        <f>I31*'GS 50-999 Predicted Monthly'!$V$15</f>
        <v>23157856.034688119</v>
      </c>
      <c r="Q31" s="18">
        <f t="shared" ca="1" si="2"/>
        <v>25538556.741924368</v>
      </c>
    </row>
    <row r="32" spans="1:18" x14ac:dyDescent="0.25">
      <c r="A32" s="3">
        <f>'Monthly Data'!A32</f>
        <v>42917</v>
      </c>
      <c r="B32" s="1">
        <f t="shared" si="0"/>
        <v>2017</v>
      </c>
      <c r="C32" s="1">
        <f t="shared" si="1"/>
        <v>7</v>
      </c>
      <c r="D32" s="268">
        <f>'Monthly Data'!N32</f>
        <v>31469547.442503113</v>
      </c>
      <c r="E32" s="278">
        <f t="shared" ca="1" si="3"/>
        <v>1.6179166666666653</v>
      </c>
      <c r="F32" s="278">
        <f t="shared" ca="1" si="3"/>
        <v>297.94737858727848</v>
      </c>
      <c r="G32" s="278">
        <f>'Monthly Data'!CG32</f>
        <v>0</v>
      </c>
      <c r="H32" s="18">
        <f>'Monthly Data'!AL32</f>
        <v>765060</v>
      </c>
      <c r="I32" s="18">
        <f>'Monthly Data'!CD32</f>
        <v>31</v>
      </c>
      <c r="K32" s="18">
        <f>'GS 50-999 Predicted Monthly'!$V$10</f>
        <v>-9326437.7987639103</v>
      </c>
      <c r="L32" s="18">
        <f ca="1">E32*'GS 50-999 Predicted Monthly'!$V$11</f>
        <v>29858.436513602697</v>
      </c>
      <c r="M32" s="18">
        <f ca="1">F32*'GS 50-999 Predicted Monthly'!$V$12</f>
        <v>8588912.0059057679</v>
      </c>
      <c r="N32" s="18">
        <f>G32*'GS 50-999 Predicted Monthly'!$V$13</f>
        <v>0</v>
      </c>
      <c r="O32" s="18">
        <f>H32*'GS 50-999 Predicted Monthly'!$V$14</f>
        <v>5490348.1675551608</v>
      </c>
      <c r="P32" s="18">
        <f>I32*'GS 50-999 Predicted Monthly'!$V$15</f>
        <v>23929784.569177721</v>
      </c>
      <c r="Q32" s="18">
        <f t="shared" ca="1" si="2"/>
        <v>28712465.380388342</v>
      </c>
    </row>
    <row r="33" spans="1:17" x14ac:dyDescent="0.25">
      <c r="A33" s="3">
        <f>'Monthly Data'!A33</f>
        <v>42948</v>
      </c>
      <c r="B33" s="1">
        <f t="shared" si="0"/>
        <v>2017</v>
      </c>
      <c r="C33" s="1">
        <f t="shared" si="1"/>
        <v>8</v>
      </c>
      <c r="D33" s="268">
        <f>'Monthly Data'!N33</f>
        <v>27041145.811984874</v>
      </c>
      <c r="E33" s="278">
        <f t="shared" ca="1" si="3"/>
        <v>5.6499999999999977</v>
      </c>
      <c r="F33" s="278">
        <f t="shared" ca="1" si="3"/>
        <v>272.96558794466404</v>
      </c>
      <c r="G33" s="278">
        <f>'Monthly Data'!CG33</f>
        <v>0</v>
      </c>
      <c r="H33" s="18">
        <f>'Monthly Data'!AL33</f>
        <v>765060</v>
      </c>
      <c r="I33" s="18">
        <f>'Monthly Data'!CD33</f>
        <v>31</v>
      </c>
      <c r="K33" s="18">
        <f>'GS 50-999 Predicted Monthly'!$V$10</f>
        <v>-9326437.7987639103</v>
      </c>
      <c r="L33" s="18">
        <f ca="1">E33*'GS 50-999 Predicted Monthly'!$V$11</f>
        <v>104269.99719918949</v>
      </c>
      <c r="M33" s="18">
        <f ca="1">F33*'GS 50-999 Predicted Monthly'!$V$12</f>
        <v>7868763.3588636462</v>
      </c>
      <c r="N33" s="18">
        <f>G33*'GS 50-999 Predicted Monthly'!$V$13</f>
        <v>0</v>
      </c>
      <c r="O33" s="18">
        <f>H33*'GS 50-999 Predicted Monthly'!$V$14</f>
        <v>5490348.1675551608</v>
      </c>
      <c r="P33" s="18">
        <f>I33*'GS 50-999 Predicted Monthly'!$V$15</f>
        <v>23929784.569177721</v>
      </c>
      <c r="Q33" s="18">
        <f t="shared" ca="1" si="2"/>
        <v>28066728.294031806</v>
      </c>
    </row>
    <row r="34" spans="1:17" x14ac:dyDescent="0.25">
      <c r="A34" s="3">
        <f>'Monthly Data'!A34</f>
        <v>42979</v>
      </c>
      <c r="B34" s="1">
        <f t="shared" si="0"/>
        <v>2017</v>
      </c>
      <c r="C34" s="1">
        <f t="shared" si="1"/>
        <v>9</v>
      </c>
      <c r="D34" s="268">
        <f>'Monthly Data'!N34</f>
        <v>27701627.05622584</v>
      </c>
      <c r="E34" s="278">
        <f t="shared" ref="E34:F53" ca="1" si="4">E22</f>
        <v>54.959440993788824</v>
      </c>
      <c r="F34" s="278">
        <f t="shared" ca="1" si="4"/>
        <v>158.67014233954447</v>
      </c>
      <c r="G34" s="278">
        <f>'Monthly Data'!CG34</f>
        <v>0</v>
      </c>
      <c r="H34" s="18">
        <f>'Monthly Data'!AL34</f>
        <v>765060</v>
      </c>
      <c r="I34" s="18">
        <f>'Monthly Data'!CD34</f>
        <v>30</v>
      </c>
      <c r="K34" s="18">
        <f>'GS 50-999 Predicted Monthly'!$V$10</f>
        <v>-9326437.7987639103</v>
      </c>
      <c r="L34" s="18">
        <f ca="1">E34*'GS 50-999 Predicted Monthly'!$V$11</f>
        <v>1014269.160794935</v>
      </c>
      <c r="M34" s="18">
        <f ca="1">F34*'GS 50-999 Predicted Monthly'!$V$12</f>
        <v>4573975.0991622871</v>
      </c>
      <c r="N34" s="18">
        <f>G34*'GS 50-999 Predicted Monthly'!$V$13</f>
        <v>0</v>
      </c>
      <c r="O34" s="18">
        <f>H34*'GS 50-999 Predicted Monthly'!$V$14</f>
        <v>5490348.1675551608</v>
      </c>
      <c r="P34" s="18">
        <f>I34*'GS 50-999 Predicted Monthly'!$V$15</f>
        <v>23157856.034688119</v>
      </c>
      <c r="Q34" s="18">
        <f t="shared" ca="1" si="2"/>
        <v>24910010.663436592</v>
      </c>
    </row>
    <row r="35" spans="1:17" x14ac:dyDescent="0.25">
      <c r="A35" s="3">
        <f>'Monthly Data'!A35</f>
        <v>43009</v>
      </c>
      <c r="B35" s="1">
        <f t="shared" si="0"/>
        <v>2017</v>
      </c>
      <c r="C35" s="1">
        <f t="shared" si="1"/>
        <v>10</v>
      </c>
      <c r="D35" s="268">
        <f>'Monthly Data'!N35</f>
        <v>28543126.735597521</v>
      </c>
      <c r="E35" s="278">
        <f t="shared" ca="1" si="4"/>
        <v>237.89681159420289</v>
      </c>
      <c r="F35" s="278">
        <f t="shared" ca="1" si="4"/>
        <v>35.32833333333334</v>
      </c>
      <c r="G35" s="278">
        <f>'Monthly Data'!CG35</f>
        <v>0</v>
      </c>
      <c r="H35" s="18">
        <f>'Monthly Data'!AL35</f>
        <v>771453</v>
      </c>
      <c r="I35" s="18">
        <f>'Monthly Data'!CD35</f>
        <v>31</v>
      </c>
      <c r="K35" s="18">
        <f>'GS 50-999 Predicted Monthly'!$V$10</f>
        <v>-9326437.7987639103</v>
      </c>
      <c r="L35" s="18">
        <f ca="1">E35*'GS 50-999 Predicted Monthly'!$V$11</f>
        <v>4390353.9608183457</v>
      </c>
      <c r="M35" s="18">
        <f ca="1">F35*'GS 50-999 Predicted Monthly'!$V$12</f>
        <v>1018407.8401831704</v>
      </c>
      <c r="N35" s="18">
        <f>G35*'GS 50-999 Predicted Monthly'!$V$13</f>
        <v>0</v>
      </c>
      <c r="O35" s="18">
        <f>H35*'GS 50-999 Predicted Monthly'!$V$14</f>
        <v>5536226.6553014554</v>
      </c>
      <c r="P35" s="18">
        <f>I35*'GS 50-999 Predicted Monthly'!$V$15</f>
        <v>23929784.569177721</v>
      </c>
      <c r="Q35" s="18">
        <f t="shared" ca="1" si="2"/>
        <v>25548335.226716783</v>
      </c>
    </row>
    <row r="36" spans="1:17" x14ac:dyDescent="0.25">
      <c r="A36" s="3">
        <f>'Monthly Data'!A36</f>
        <v>43040</v>
      </c>
      <c r="B36" s="1">
        <f t="shared" si="0"/>
        <v>2017</v>
      </c>
      <c r="C36" s="1">
        <f t="shared" si="1"/>
        <v>11</v>
      </c>
      <c r="D36" s="268">
        <f>'Monthly Data'!N36</f>
        <v>28958644.867446724</v>
      </c>
      <c r="E36" s="278">
        <f t="shared" ca="1" si="4"/>
        <v>426.62991389045737</v>
      </c>
      <c r="F36" s="278">
        <f t="shared" ca="1" si="4"/>
        <v>2.2779166666666657</v>
      </c>
      <c r="G36" s="278">
        <f>'Monthly Data'!CG36</f>
        <v>0</v>
      </c>
      <c r="H36" s="18">
        <f>'Monthly Data'!AL36</f>
        <v>771453</v>
      </c>
      <c r="I36" s="18">
        <f>'Monthly Data'!CD36</f>
        <v>30</v>
      </c>
      <c r="K36" s="18">
        <f>'GS 50-999 Predicted Monthly'!$V$10</f>
        <v>-9326437.7987639103</v>
      </c>
      <c r="L36" s="18">
        <f ca="1">E36*'GS 50-999 Predicted Monthly'!$V$11</f>
        <v>7873398.2170705236</v>
      </c>
      <c r="M36" s="18">
        <f ca="1">F36*'GS 50-999 Predicted Monthly'!$V$12</f>
        <v>65665.373192921048</v>
      </c>
      <c r="N36" s="18">
        <f>G36*'GS 50-999 Predicted Monthly'!$V$13</f>
        <v>0</v>
      </c>
      <c r="O36" s="18">
        <f>H36*'GS 50-999 Predicted Monthly'!$V$14</f>
        <v>5536226.6553014554</v>
      </c>
      <c r="P36" s="18">
        <f>I36*'GS 50-999 Predicted Monthly'!$V$15</f>
        <v>23157856.034688119</v>
      </c>
      <c r="Q36" s="18">
        <f t="shared" ca="1" si="2"/>
        <v>27306708.481489107</v>
      </c>
    </row>
    <row r="37" spans="1:17" x14ac:dyDescent="0.25">
      <c r="A37" s="3">
        <f>'Monthly Data'!A37</f>
        <v>43070</v>
      </c>
      <c r="B37" s="1">
        <f t="shared" si="0"/>
        <v>2017</v>
      </c>
      <c r="C37" s="1">
        <f t="shared" si="1"/>
        <v>12</v>
      </c>
      <c r="D37" s="268">
        <f>'Monthly Data'!N37</f>
        <v>32603693.979294565</v>
      </c>
      <c r="E37" s="278">
        <f t="shared" ca="1" si="4"/>
        <v>577.92800724637686</v>
      </c>
      <c r="F37" s="278">
        <f t="shared" ca="1" si="4"/>
        <v>0</v>
      </c>
      <c r="G37" s="278">
        <f>'Monthly Data'!CG37</f>
        <v>0</v>
      </c>
      <c r="H37" s="18">
        <f>'Monthly Data'!AL37</f>
        <v>771453</v>
      </c>
      <c r="I37" s="18">
        <f>'Monthly Data'!CD37</f>
        <v>31</v>
      </c>
      <c r="K37" s="18">
        <f>'GS 50-999 Predicted Monthly'!$V$10</f>
        <v>-9326437.7987639103</v>
      </c>
      <c r="L37" s="18">
        <f ca="1">E37*'GS 50-999 Predicted Monthly'!$V$11</f>
        <v>10665584.371135026</v>
      </c>
      <c r="M37" s="18">
        <f ca="1">F37*'GS 50-999 Predicted Monthly'!$V$12</f>
        <v>0</v>
      </c>
      <c r="N37" s="18">
        <f>G37*'GS 50-999 Predicted Monthly'!$V$13</f>
        <v>0</v>
      </c>
      <c r="O37" s="18">
        <f>H37*'GS 50-999 Predicted Monthly'!$V$14</f>
        <v>5536226.6553014554</v>
      </c>
      <c r="P37" s="18">
        <f>I37*'GS 50-999 Predicted Monthly'!$V$15</f>
        <v>23929784.569177721</v>
      </c>
      <c r="Q37" s="18">
        <f t="shared" ca="1" si="2"/>
        <v>30805157.796850294</v>
      </c>
    </row>
    <row r="38" spans="1:17" x14ac:dyDescent="0.25">
      <c r="A38" s="3">
        <f>'Monthly Data'!A38</f>
        <v>43101</v>
      </c>
      <c r="B38" s="1">
        <f t="shared" si="0"/>
        <v>2018</v>
      </c>
      <c r="C38" s="1">
        <f t="shared" si="1"/>
        <v>1</v>
      </c>
      <c r="D38" s="268">
        <f>'Monthly Data'!N38</f>
        <v>33872703.090109438</v>
      </c>
      <c r="E38" s="278">
        <f t="shared" ca="1" si="4"/>
        <v>697.33418478260876</v>
      </c>
      <c r="F38" s="278">
        <f t="shared" ca="1" si="4"/>
        <v>0</v>
      </c>
      <c r="G38" s="278">
        <f>'Monthly Data'!CG38</f>
        <v>0</v>
      </c>
      <c r="H38" s="18">
        <f>'Monthly Data'!AL38</f>
        <v>779459</v>
      </c>
      <c r="I38" s="18">
        <f>'Monthly Data'!CD38</f>
        <v>31</v>
      </c>
      <c r="K38" s="18">
        <f>'GS 50-999 Predicted Monthly'!$V$10</f>
        <v>-9326437.7987639103</v>
      </c>
      <c r="L38" s="18">
        <f ca="1">E38*'GS 50-999 Predicted Monthly'!$V$11</f>
        <v>12869209.467996765</v>
      </c>
      <c r="M38" s="18">
        <f ca="1">F38*'GS 50-999 Predicted Monthly'!$V$12</f>
        <v>0</v>
      </c>
      <c r="N38" s="18">
        <f>G38*'GS 50-999 Predicted Monthly'!$V$13</f>
        <v>0</v>
      </c>
      <c r="O38" s="18">
        <f>H38*'GS 50-999 Predicted Monthly'!$V$14</f>
        <v>5593680.6163364677</v>
      </c>
      <c r="P38" s="18">
        <f>I38*'GS 50-999 Predicted Monthly'!$V$15</f>
        <v>23929784.569177721</v>
      </c>
      <c r="Q38" s="18">
        <f t="shared" ca="1" si="2"/>
        <v>33066236.854747042</v>
      </c>
    </row>
    <row r="39" spans="1:17" x14ac:dyDescent="0.25">
      <c r="A39" s="3">
        <f>'Monthly Data'!A39</f>
        <v>43132</v>
      </c>
      <c r="B39" s="1">
        <f t="shared" si="0"/>
        <v>2018</v>
      </c>
      <c r="C39" s="1">
        <f t="shared" si="1"/>
        <v>2</v>
      </c>
      <c r="D39" s="268">
        <f>'Monthly Data'!N39</f>
        <v>27039739.170188677</v>
      </c>
      <c r="E39" s="278">
        <f t="shared" ca="1" si="4"/>
        <v>624.25501811594188</v>
      </c>
      <c r="F39" s="278">
        <f t="shared" ca="1" si="4"/>
        <v>0</v>
      </c>
      <c r="G39" s="278">
        <f>'Monthly Data'!CG39</f>
        <v>0</v>
      </c>
      <c r="H39" s="18">
        <f>'Monthly Data'!AL39</f>
        <v>779459</v>
      </c>
      <c r="I39" s="18">
        <f>'Monthly Data'!CD39</f>
        <v>28</v>
      </c>
      <c r="K39" s="18">
        <f>'GS 50-999 Predicted Monthly'!$V$10</f>
        <v>-9326437.7987639103</v>
      </c>
      <c r="L39" s="18">
        <f ca="1">E39*'GS 50-999 Predicted Monthly'!$V$11</f>
        <v>11520543.184164472</v>
      </c>
      <c r="M39" s="18">
        <f ca="1">F39*'GS 50-999 Predicted Monthly'!$V$12</f>
        <v>0</v>
      </c>
      <c r="N39" s="18">
        <f>G39*'GS 50-999 Predicted Monthly'!$V$13</f>
        <v>0</v>
      </c>
      <c r="O39" s="18">
        <f>H39*'GS 50-999 Predicted Monthly'!$V$14</f>
        <v>5593680.6163364677</v>
      </c>
      <c r="P39" s="18">
        <f>I39*'GS 50-999 Predicted Monthly'!$V$15</f>
        <v>21613998.965708911</v>
      </c>
      <c r="Q39" s="18">
        <f t="shared" ca="1" si="2"/>
        <v>29401784.96744594</v>
      </c>
    </row>
    <row r="40" spans="1:17" x14ac:dyDescent="0.25">
      <c r="A40" s="3">
        <f>'Monthly Data'!A40</f>
        <v>43160</v>
      </c>
      <c r="B40" s="1">
        <f t="shared" si="0"/>
        <v>2018</v>
      </c>
      <c r="C40" s="1">
        <f t="shared" si="1"/>
        <v>3</v>
      </c>
      <c r="D40" s="268">
        <f>'Monthly Data'!N40</f>
        <v>28989337.312387191</v>
      </c>
      <c r="E40" s="278">
        <f t="shared" ca="1" si="4"/>
        <v>546.13298913043491</v>
      </c>
      <c r="F40" s="278">
        <f t="shared" ca="1" si="4"/>
        <v>2.9583333333332896E-2</v>
      </c>
      <c r="G40" s="278">
        <f>'Monthly Data'!CG40</f>
        <v>0</v>
      </c>
      <c r="H40" s="18">
        <f>'Monthly Data'!AL40</f>
        <v>779459</v>
      </c>
      <c r="I40" s="18">
        <f>'Monthly Data'!CD40</f>
        <v>31</v>
      </c>
      <c r="K40" s="18">
        <f>'GS 50-999 Predicted Monthly'!$V$10</f>
        <v>-9326437.7987639103</v>
      </c>
      <c r="L40" s="18">
        <f ca="1">E40*'GS 50-999 Predicted Monthly'!$V$11</f>
        <v>10078811.548144327</v>
      </c>
      <c r="M40" s="18">
        <f ca="1">F40*'GS 50-999 Predicted Monthly'!$V$12</f>
        <v>852.79705445350771</v>
      </c>
      <c r="N40" s="18">
        <f>G40*'GS 50-999 Predicted Monthly'!$V$13</f>
        <v>0</v>
      </c>
      <c r="O40" s="18">
        <f>H40*'GS 50-999 Predicted Monthly'!$V$14</f>
        <v>5593680.6163364677</v>
      </c>
      <c r="P40" s="18">
        <f>I40*'GS 50-999 Predicted Monthly'!$V$15</f>
        <v>23929784.569177721</v>
      </c>
      <c r="Q40" s="18">
        <f t="shared" ca="1" si="2"/>
        <v>30276691.731949061</v>
      </c>
    </row>
    <row r="41" spans="1:17" x14ac:dyDescent="0.25">
      <c r="A41" s="3">
        <f>'Monthly Data'!A41</f>
        <v>43191</v>
      </c>
      <c r="B41" s="1">
        <f t="shared" si="0"/>
        <v>2018</v>
      </c>
      <c r="C41" s="1">
        <f t="shared" si="1"/>
        <v>4</v>
      </c>
      <c r="D41" s="268">
        <f>'Monthly Data'!N41</f>
        <v>27292635.35976962</v>
      </c>
      <c r="E41" s="278">
        <f t="shared" ca="1" si="4"/>
        <v>352.41399621212122</v>
      </c>
      <c r="F41" s="278">
        <f t="shared" ca="1" si="4"/>
        <v>5.6420833333333338</v>
      </c>
      <c r="G41" s="278">
        <f>'Monthly Data'!CG41</f>
        <v>0</v>
      </c>
      <c r="H41" s="18">
        <f>'Monthly Data'!AL41</f>
        <v>784896</v>
      </c>
      <c r="I41" s="18">
        <f>'Monthly Data'!CD41</f>
        <v>30</v>
      </c>
      <c r="K41" s="18">
        <f>'GS 50-999 Predicted Monthly'!$V$10</f>
        <v>-9326437.7987639103</v>
      </c>
      <c r="L41" s="18">
        <f ca="1">E41*'GS 50-999 Predicted Monthly'!$V$11</f>
        <v>6503753.3447775338</v>
      </c>
      <c r="M41" s="18">
        <f ca="1">F41*'GS 50-999 Predicted Monthly'!$V$12</f>
        <v>162644.01287824113</v>
      </c>
      <c r="N41" s="18">
        <f>G41*'GS 50-999 Predicted Monthly'!$V$13</f>
        <v>0</v>
      </c>
      <c r="O41" s="18">
        <f>H41*'GS 50-999 Predicted Monthly'!$V$14</f>
        <v>5632698.5011912473</v>
      </c>
      <c r="P41" s="18">
        <f>I41*'GS 50-999 Predicted Monthly'!$V$15</f>
        <v>23157856.034688119</v>
      </c>
      <c r="Q41" s="18">
        <f t="shared" ca="1" si="2"/>
        <v>26130514.094771229</v>
      </c>
    </row>
    <row r="42" spans="1:17" x14ac:dyDescent="0.25">
      <c r="A42" s="3">
        <f>'Monthly Data'!A42</f>
        <v>43221</v>
      </c>
      <c r="B42" s="1">
        <f t="shared" si="0"/>
        <v>2018</v>
      </c>
      <c r="C42" s="1">
        <f t="shared" si="1"/>
        <v>5</v>
      </c>
      <c r="D42" s="268">
        <f>'Monthly Data'!N42</f>
        <v>23108874.049163755</v>
      </c>
      <c r="E42" s="278">
        <f t="shared" ca="1" si="4"/>
        <v>150.136897859768</v>
      </c>
      <c r="F42" s="278">
        <f t="shared" ca="1" si="4"/>
        <v>86.191046176046171</v>
      </c>
      <c r="G42" s="278">
        <f>'Monthly Data'!CG42</f>
        <v>0</v>
      </c>
      <c r="H42" s="18">
        <f>'Monthly Data'!AL42</f>
        <v>784896</v>
      </c>
      <c r="I42" s="18">
        <f>'Monthly Data'!CD42</f>
        <v>31</v>
      </c>
      <c r="K42" s="18">
        <f>'GS 50-999 Predicted Monthly'!$V$10</f>
        <v>-9326437.7987639103</v>
      </c>
      <c r="L42" s="18">
        <f ca="1">E42*'GS 50-999 Predicted Monthly'!$V$11</f>
        <v>2770756.4458996481</v>
      </c>
      <c r="M42" s="18">
        <f ca="1">F42*'GS 50-999 Predicted Monthly'!$V$12</f>
        <v>2484624.3481419561</v>
      </c>
      <c r="N42" s="18">
        <f>G42*'GS 50-999 Predicted Monthly'!$V$13</f>
        <v>0</v>
      </c>
      <c r="O42" s="18">
        <f>H42*'GS 50-999 Predicted Monthly'!$V$14</f>
        <v>5632698.5011912473</v>
      </c>
      <c r="P42" s="18">
        <f>I42*'GS 50-999 Predicted Monthly'!$V$15</f>
        <v>23929784.569177721</v>
      </c>
      <c r="Q42" s="18">
        <f t="shared" ca="1" si="2"/>
        <v>25491426.065646663</v>
      </c>
    </row>
    <row r="43" spans="1:17" x14ac:dyDescent="0.25">
      <c r="A43" s="3">
        <f>'Monthly Data'!A43</f>
        <v>43252</v>
      </c>
      <c r="B43" s="1">
        <f t="shared" si="0"/>
        <v>2018</v>
      </c>
      <c r="C43" s="1">
        <f t="shared" si="1"/>
        <v>6</v>
      </c>
      <c r="D43" s="268">
        <f>'Monthly Data'!N43</f>
        <v>26998818.891324371</v>
      </c>
      <c r="E43" s="278">
        <f t="shared" ca="1" si="4"/>
        <v>32.520923826173821</v>
      </c>
      <c r="F43" s="278">
        <f t="shared" ca="1" si="4"/>
        <v>194.94285087738348</v>
      </c>
      <c r="G43" s="278">
        <f>'Monthly Data'!CG43</f>
        <v>0</v>
      </c>
      <c r="H43" s="18">
        <f>'Monthly Data'!AL43</f>
        <v>784896</v>
      </c>
      <c r="I43" s="18">
        <f>'Monthly Data'!CD43</f>
        <v>30</v>
      </c>
      <c r="K43" s="18">
        <f>'GS 50-999 Predicted Monthly'!$V$10</f>
        <v>-9326437.7987639103</v>
      </c>
      <c r="L43" s="18">
        <f ca="1">E43*'GS 50-999 Predicted Monthly'!$V$11</f>
        <v>600169.3161540177</v>
      </c>
      <c r="M43" s="18">
        <f ca="1">F43*'GS 50-999 Predicted Monthly'!$V$12</f>
        <v>5619606.3892395888</v>
      </c>
      <c r="N43" s="18">
        <f>G43*'GS 50-999 Predicted Monthly'!$V$13</f>
        <v>0</v>
      </c>
      <c r="O43" s="18">
        <f>H43*'GS 50-999 Predicted Monthly'!$V$14</f>
        <v>5632698.5011912473</v>
      </c>
      <c r="P43" s="18">
        <f>I43*'GS 50-999 Predicted Monthly'!$V$15</f>
        <v>23157856.034688119</v>
      </c>
      <c r="Q43" s="18">
        <f t="shared" ca="1" si="2"/>
        <v>25683892.442509063</v>
      </c>
    </row>
    <row r="44" spans="1:17" x14ac:dyDescent="0.25">
      <c r="A44" s="3">
        <f>'Monthly Data'!A44</f>
        <v>43282</v>
      </c>
      <c r="B44" s="1">
        <f t="shared" si="0"/>
        <v>2018</v>
      </c>
      <c r="C44" s="1">
        <f t="shared" si="1"/>
        <v>7</v>
      </c>
      <c r="D44" s="268">
        <f>'Monthly Data'!N44</f>
        <v>29341632.11251267</v>
      </c>
      <c r="E44" s="278">
        <f t="shared" ca="1" si="4"/>
        <v>1.6179166666666653</v>
      </c>
      <c r="F44" s="278">
        <f t="shared" ca="1" si="4"/>
        <v>297.94737858727848</v>
      </c>
      <c r="G44" s="278">
        <f>'Monthly Data'!CG44</f>
        <v>0</v>
      </c>
      <c r="H44" s="18">
        <f>'Monthly Data'!AL44</f>
        <v>794140</v>
      </c>
      <c r="I44" s="18">
        <f>'Monthly Data'!CD44</f>
        <v>31</v>
      </c>
      <c r="K44" s="18">
        <f>'GS 50-999 Predicted Monthly'!$V$10</f>
        <v>-9326437.7987639103</v>
      </c>
      <c r="L44" s="18">
        <f ca="1">E44*'GS 50-999 Predicted Monthly'!$V$11</f>
        <v>29858.436513602697</v>
      </c>
      <c r="M44" s="18">
        <f ca="1">F44*'GS 50-999 Predicted Monthly'!$V$12</f>
        <v>8588912.0059057679</v>
      </c>
      <c r="N44" s="18">
        <f>G44*'GS 50-999 Predicted Monthly'!$V$13</f>
        <v>0</v>
      </c>
      <c r="O44" s="18">
        <f>H44*'GS 50-999 Predicted Monthly'!$V$14</f>
        <v>5699036.799443515</v>
      </c>
      <c r="P44" s="18">
        <f>I44*'GS 50-999 Predicted Monthly'!$V$15</f>
        <v>23929784.569177721</v>
      </c>
      <c r="Q44" s="18">
        <f t="shared" ca="1" si="2"/>
        <v>28921154.012276694</v>
      </c>
    </row>
    <row r="45" spans="1:17" x14ac:dyDescent="0.25">
      <c r="A45" s="3">
        <f>'Monthly Data'!A45</f>
        <v>43313</v>
      </c>
      <c r="B45" s="1">
        <f t="shared" si="0"/>
        <v>2018</v>
      </c>
      <c r="C45" s="1">
        <f t="shared" si="1"/>
        <v>8</v>
      </c>
      <c r="D45" s="268">
        <f>'Monthly Data'!N45</f>
        <v>26369450.398397464</v>
      </c>
      <c r="E45" s="278">
        <f t="shared" ca="1" si="4"/>
        <v>5.6499999999999977</v>
      </c>
      <c r="F45" s="278">
        <f t="shared" ca="1" si="4"/>
        <v>272.96558794466404</v>
      </c>
      <c r="G45" s="278">
        <f>'Monthly Data'!CG45</f>
        <v>0</v>
      </c>
      <c r="H45" s="18">
        <f>'Monthly Data'!AL45</f>
        <v>794140</v>
      </c>
      <c r="I45" s="18">
        <f>'Monthly Data'!CD45</f>
        <v>31</v>
      </c>
      <c r="K45" s="18">
        <f>'GS 50-999 Predicted Monthly'!$V$10</f>
        <v>-9326437.7987639103</v>
      </c>
      <c r="L45" s="18">
        <f ca="1">E45*'GS 50-999 Predicted Monthly'!$V$11</f>
        <v>104269.99719918949</v>
      </c>
      <c r="M45" s="18">
        <f ca="1">F45*'GS 50-999 Predicted Monthly'!$V$12</f>
        <v>7868763.3588636462</v>
      </c>
      <c r="N45" s="18">
        <f>G45*'GS 50-999 Predicted Monthly'!$V$13</f>
        <v>0</v>
      </c>
      <c r="O45" s="18">
        <f>H45*'GS 50-999 Predicted Monthly'!$V$14</f>
        <v>5699036.799443515</v>
      </c>
      <c r="P45" s="18">
        <f>I45*'GS 50-999 Predicted Monthly'!$V$15</f>
        <v>23929784.569177721</v>
      </c>
      <c r="Q45" s="18">
        <f t="shared" ca="1" si="2"/>
        <v>28275416.925920159</v>
      </c>
    </row>
    <row r="46" spans="1:17" x14ac:dyDescent="0.25">
      <c r="A46" s="3">
        <f>'Monthly Data'!A46</f>
        <v>43344</v>
      </c>
      <c r="B46" s="1">
        <f t="shared" si="0"/>
        <v>2018</v>
      </c>
      <c r="C46" s="1">
        <f t="shared" si="1"/>
        <v>9</v>
      </c>
      <c r="D46" s="268">
        <f>'Monthly Data'!N46</f>
        <v>25218454.832945697</v>
      </c>
      <c r="E46" s="278">
        <f t="shared" ca="1" si="4"/>
        <v>54.959440993788824</v>
      </c>
      <c r="F46" s="278">
        <f t="shared" ca="1" si="4"/>
        <v>158.67014233954447</v>
      </c>
      <c r="G46" s="278">
        <f>'Monthly Data'!CG46</f>
        <v>0</v>
      </c>
      <c r="H46" s="18">
        <f>'Monthly Data'!AL46</f>
        <v>794140</v>
      </c>
      <c r="I46" s="18">
        <f>'Monthly Data'!CD46</f>
        <v>30</v>
      </c>
      <c r="K46" s="18">
        <f>'GS 50-999 Predicted Monthly'!$V$10</f>
        <v>-9326437.7987639103</v>
      </c>
      <c r="L46" s="18">
        <f ca="1">E46*'GS 50-999 Predicted Monthly'!$V$11</f>
        <v>1014269.160794935</v>
      </c>
      <c r="M46" s="18">
        <f ca="1">F46*'GS 50-999 Predicted Monthly'!$V$12</f>
        <v>4573975.0991622871</v>
      </c>
      <c r="N46" s="18">
        <f>G46*'GS 50-999 Predicted Monthly'!$V$13</f>
        <v>0</v>
      </c>
      <c r="O46" s="18">
        <f>H46*'GS 50-999 Predicted Monthly'!$V$14</f>
        <v>5699036.799443515</v>
      </c>
      <c r="P46" s="18">
        <f>I46*'GS 50-999 Predicted Monthly'!$V$15</f>
        <v>23157856.034688119</v>
      </c>
      <c r="Q46" s="18">
        <f t="shared" ca="1" si="2"/>
        <v>25118699.295324944</v>
      </c>
    </row>
    <row r="47" spans="1:17" x14ac:dyDescent="0.25">
      <c r="A47" s="3">
        <f>'Monthly Data'!A47</f>
        <v>43374</v>
      </c>
      <c r="B47" s="1">
        <f t="shared" si="0"/>
        <v>2018</v>
      </c>
      <c r="C47" s="1">
        <f t="shared" si="1"/>
        <v>10</v>
      </c>
      <c r="D47" s="268">
        <f>'Monthly Data'!N47</f>
        <v>25367309.651391424</v>
      </c>
      <c r="E47" s="278">
        <f t="shared" ca="1" si="4"/>
        <v>237.89681159420289</v>
      </c>
      <c r="F47" s="278">
        <f t="shared" ca="1" si="4"/>
        <v>35.32833333333334</v>
      </c>
      <c r="G47" s="278">
        <f>'Monthly Data'!CG47</f>
        <v>0</v>
      </c>
      <c r="H47" s="18">
        <f>'Monthly Data'!AL47</f>
        <v>799632</v>
      </c>
      <c r="I47" s="18">
        <f>'Monthly Data'!CD47</f>
        <v>31</v>
      </c>
      <c r="K47" s="18">
        <f>'GS 50-999 Predicted Monthly'!$V$10</f>
        <v>-9326437.7987639103</v>
      </c>
      <c r="L47" s="18">
        <f ca="1">E47*'GS 50-999 Predicted Monthly'!$V$11</f>
        <v>4390353.9608183457</v>
      </c>
      <c r="M47" s="18">
        <f ca="1">F47*'GS 50-999 Predicted Monthly'!$V$12</f>
        <v>1018407.8401831704</v>
      </c>
      <c r="N47" s="18">
        <f>G47*'GS 50-999 Predicted Monthly'!$V$13</f>
        <v>0</v>
      </c>
      <c r="O47" s="18">
        <f>H47*'GS 50-999 Predicted Monthly'!$V$14</f>
        <v>5738449.3842554418</v>
      </c>
      <c r="P47" s="18">
        <f>I47*'GS 50-999 Predicted Monthly'!$V$15</f>
        <v>23929784.569177721</v>
      </c>
      <c r="Q47" s="18">
        <f t="shared" ca="1" si="2"/>
        <v>25750557.955670767</v>
      </c>
    </row>
    <row r="48" spans="1:17" x14ac:dyDescent="0.25">
      <c r="A48" s="3">
        <f>'Monthly Data'!A48</f>
        <v>43405</v>
      </c>
      <c r="B48" s="1">
        <f t="shared" si="0"/>
        <v>2018</v>
      </c>
      <c r="C48" s="1">
        <f t="shared" si="1"/>
        <v>11</v>
      </c>
      <c r="D48" s="268">
        <f>'Monthly Data'!N48</f>
        <v>28453365.92921941</v>
      </c>
      <c r="E48" s="278">
        <f t="shared" ca="1" si="4"/>
        <v>426.62991389045737</v>
      </c>
      <c r="F48" s="278">
        <f t="shared" ca="1" si="4"/>
        <v>2.2779166666666657</v>
      </c>
      <c r="G48" s="278">
        <f>'Monthly Data'!CG48</f>
        <v>0</v>
      </c>
      <c r="H48" s="18">
        <f>'Monthly Data'!AL48</f>
        <v>799632</v>
      </c>
      <c r="I48" s="18">
        <f>'Monthly Data'!CD48</f>
        <v>30</v>
      </c>
      <c r="K48" s="18">
        <f>'GS 50-999 Predicted Monthly'!$V$10</f>
        <v>-9326437.7987639103</v>
      </c>
      <c r="L48" s="18">
        <f ca="1">E48*'GS 50-999 Predicted Monthly'!$V$11</f>
        <v>7873398.2170705236</v>
      </c>
      <c r="M48" s="18">
        <f ca="1">F48*'GS 50-999 Predicted Monthly'!$V$12</f>
        <v>65665.373192921048</v>
      </c>
      <c r="N48" s="18">
        <f>G48*'GS 50-999 Predicted Monthly'!$V$13</f>
        <v>0</v>
      </c>
      <c r="O48" s="18">
        <f>H48*'GS 50-999 Predicted Monthly'!$V$14</f>
        <v>5738449.3842554418</v>
      </c>
      <c r="P48" s="18">
        <f>I48*'GS 50-999 Predicted Monthly'!$V$15</f>
        <v>23157856.034688119</v>
      </c>
      <c r="Q48" s="18">
        <f t="shared" ca="1" si="2"/>
        <v>27508931.210443094</v>
      </c>
    </row>
    <row r="49" spans="1:17" x14ac:dyDescent="0.25">
      <c r="A49" s="3">
        <f>'Monthly Data'!A49</f>
        <v>43435</v>
      </c>
      <c r="B49" s="1">
        <f t="shared" si="0"/>
        <v>2018</v>
      </c>
      <c r="C49" s="1">
        <f t="shared" si="1"/>
        <v>12</v>
      </c>
      <c r="D49" s="268">
        <f>'Monthly Data'!N49</f>
        <v>29806855.699458219</v>
      </c>
      <c r="E49" s="278">
        <f t="shared" ca="1" si="4"/>
        <v>577.92800724637686</v>
      </c>
      <c r="F49" s="278">
        <f t="shared" ca="1" si="4"/>
        <v>0</v>
      </c>
      <c r="G49" s="278">
        <f>'Monthly Data'!CG49</f>
        <v>0</v>
      </c>
      <c r="H49" s="18">
        <f>'Monthly Data'!AL49</f>
        <v>799632</v>
      </c>
      <c r="I49" s="18">
        <f>'Monthly Data'!CD49</f>
        <v>31</v>
      </c>
      <c r="K49" s="18">
        <f>'GS 50-999 Predicted Monthly'!$V$10</f>
        <v>-9326437.7987639103</v>
      </c>
      <c r="L49" s="18">
        <f ca="1">E49*'GS 50-999 Predicted Monthly'!$V$11</f>
        <v>10665584.371135026</v>
      </c>
      <c r="M49" s="18">
        <f ca="1">F49*'GS 50-999 Predicted Monthly'!$V$12</f>
        <v>0</v>
      </c>
      <c r="N49" s="18">
        <f>G49*'GS 50-999 Predicted Monthly'!$V$13</f>
        <v>0</v>
      </c>
      <c r="O49" s="18">
        <f>H49*'GS 50-999 Predicted Monthly'!$V$14</f>
        <v>5738449.3842554418</v>
      </c>
      <c r="P49" s="18">
        <f>I49*'GS 50-999 Predicted Monthly'!$V$15</f>
        <v>23929784.569177721</v>
      </c>
      <c r="Q49" s="18">
        <f t="shared" ca="1" si="2"/>
        <v>31007380.525804278</v>
      </c>
    </row>
    <row r="50" spans="1:17" x14ac:dyDescent="0.25">
      <c r="A50" s="3">
        <f>'Monthly Data'!A50</f>
        <v>43466</v>
      </c>
      <c r="B50" s="1">
        <f t="shared" si="0"/>
        <v>2019</v>
      </c>
      <c r="C50" s="1">
        <f t="shared" si="1"/>
        <v>1</v>
      </c>
      <c r="D50" s="268">
        <f>'Monthly Data'!N50</f>
        <v>34592789.583499245</v>
      </c>
      <c r="E50" s="278">
        <f t="shared" ca="1" si="4"/>
        <v>697.33418478260876</v>
      </c>
      <c r="F50" s="278">
        <f t="shared" ca="1" si="4"/>
        <v>0</v>
      </c>
      <c r="G50" s="278">
        <f>'Monthly Data'!CG50</f>
        <v>0</v>
      </c>
      <c r="H50" s="18">
        <f>'Monthly Data'!AL50</f>
        <v>800724</v>
      </c>
      <c r="I50" s="18">
        <f>'Monthly Data'!CD50</f>
        <v>31</v>
      </c>
      <c r="K50" s="18">
        <f>'GS 50-999 Predicted Monthly'!$V$10</f>
        <v>-9326437.7987639103</v>
      </c>
      <c r="L50" s="18">
        <f ca="1">E50*'GS 50-999 Predicted Monthly'!$V$11</f>
        <v>12869209.467996765</v>
      </c>
      <c r="M50" s="18">
        <f ca="1">F50*'GS 50-999 Predicted Monthly'!$V$12</f>
        <v>0</v>
      </c>
      <c r="N50" s="18">
        <f>G50*'GS 50-999 Predicted Monthly'!$V$13</f>
        <v>0</v>
      </c>
      <c r="O50" s="18">
        <f>H50*'GS 50-999 Predicted Monthly'!$V$14</f>
        <v>5746285.972495541</v>
      </c>
      <c r="P50" s="18">
        <f>I50*'GS 50-999 Predicted Monthly'!$V$15</f>
        <v>23929784.569177721</v>
      </c>
      <c r="Q50" s="18">
        <f t="shared" ca="1" si="2"/>
        <v>33218842.210906118</v>
      </c>
    </row>
    <row r="51" spans="1:17" x14ac:dyDescent="0.25">
      <c r="A51" s="3">
        <f>'Monthly Data'!A51</f>
        <v>43497</v>
      </c>
      <c r="B51" s="1">
        <f t="shared" si="0"/>
        <v>2019</v>
      </c>
      <c r="C51" s="1">
        <f t="shared" si="1"/>
        <v>2</v>
      </c>
      <c r="D51" s="268">
        <f>'Monthly Data'!N51</f>
        <v>30102232.581914391</v>
      </c>
      <c r="E51" s="278">
        <f t="shared" ca="1" si="4"/>
        <v>624.25501811594188</v>
      </c>
      <c r="F51" s="278">
        <f t="shared" ca="1" si="4"/>
        <v>0</v>
      </c>
      <c r="G51" s="278">
        <f>'Monthly Data'!CG51</f>
        <v>0</v>
      </c>
      <c r="H51" s="18">
        <f>'Monthly Data'!AL51</f>
        <v>800724</v>
      </c>
      <c r="I51" s="18">
        <f>'Monthly Data'!CD51</f>
        <v>28</v>
      </c>
      <c r="K51" s="18">
        <f>'GS 50-999 Predicted Monthly'!$V$10</f>
        <v>-9326437.7987639103</v>
      </c>
      <c r="L51" s="18">
        <f ca="1">E51*'GS 50-999 Predicted Monthly'!$V$11</f>
        <v>11520543.184164472</v>
      </c>
      <c r="M51" s="18">
        <f ca="1">F51*'GS 50-999 Predicted Monthly'!$V$12</f>
        <v>0</v>
      </c>
      <c r="N51" s="18">
        <f>G51*'GS 50-999 Predicted Monthly'!$V$13</f>
        <v>0</v>
      </c>
      <c r="O51" s="18">
        <f>H51*'GS 50-999 Predicted Monthly'!$V$14</f>
        <v>5746285.972495541</v>
      </c>
      <c r="P51" s="18">
        <f>I51*'GS 50-999 Predicted Monthly'!$V$15</f>
        <v>21613998.965708911</v>
      </c>
      <c r="Q51" s="18">
        <f t="shared" ca="1" si="2"/>
        <v>29554390.323605016</v>
      </c>
    </row>
    <row r="52" spans="1:17" x14ac:dyDescent="0.25">
      <c r="A52" s="3">
        <f>'Monthly Data'!A52</f>
        <v>43525</v>
      </c>
      <c r="B52" s="1">
        <f t="shared" si="0"/>
        <v>2019</v>
      </c>
      <c r="C52" s="1">
        <f t="shared" si="1"/>
        <v>3</v>
      </c>
      <c r="D52" s="268">
        <f>'Monthly Data'!N52</f>
        <v>30690466.510151513</v>
      </c>
      <c r="E52" s="278">
        <f t="shared" ca="1" si="4"/>
        <v>546.13298913043491</v>
      </c>
      <c r="F52" s="278">
        <f t="shared" ca="1" si="4"/>
        <v>2.9583333333332896E-2</v>
      </c>
      <c r="G52" s="278">
        <f>'Monthly Data'!CG52</f>
        <v>0</v>
      </c>
      <c r="H52" s="18">
        <f>'Monthly Data'!AL52</f>
        <v>800724</v>
      </c>
      <c r="I52" s="18">
        <f>'Monthly Data'!CD52</f>
        <v>31</v>
      </c>
      <c r="K52" s="18">
        <f>'GS 50-999 Predicted Monthly'!$V$10</f>
        <v>-9326437.7987639103</v>
      </c>
      <c r="L52" s="18">
        <f ca="1">E52*'GS 50-999 Predicted Monthly'!$V$11</f>
        <v>10078811.548144327</v>
      </c>
      <c r="M52" s="18">
        <f ca="1">F52*'GS 50-999 Predicted Monthly'!$V$12</f>
        <v>852.79705445350771</v>
      </c>
      <c r="N52" s="18">
        <f>G52*'GS 50-999 Predicted Monthly'!$V$13</f>
        <v>0</v>
      </c>
      <c r="O52" s="18">
        <f>H52*'GS 50-999 Predicted Monthly'!$V$14</f>
        <v>5746285.972495541</v>
      </c>
      <c r="P52" s="18">
        <f>I52*'GS 50-999 Predicted Monthly'!$V$15</f>
        <v>23929784.569177721</v>
      </c>
      <c r="Q52" s="18">
        <f t="shared" ca="1" si="2"/>
        <v>30429297.088108134</v>
      </c>
    </row>
    <row r="53" spans="1:17" x14ac:dyDescent="0.25">
      <c r="A53" s="3">
        <f>'Monthly Data'!A53</f>
        <v>43556</v>
      </c>
      <c r="B53" s="1">
        <f t="shared" si="0"/>
        <v>2019</v>
      </c>
      <c r="C53" s="1">
        <f t="shared" si="1"/>
        <v>4</v>
      </c>
      <c r="D53" s="268">
        <f>'Monthly Data'!N53</f>
        <v>25578026.449102744</v>
      </c>
      <c r="E53" s="278">
        <f t="shared" ca="1" si="4"/>
        <v>352.41399621212122</v>
      </c>
      <c r="F53" s="278">
        <f t="shared" ca="1" si="4"/>
        <v>5.6420833333333338</v>
      </c>
      <c r="G53" s="278">
        <f>'Monthly Data'!CG53</f>
        <v>0</v>
      </c>
      <c r="H53" s="18">
        <f>'Monthly Data'!AL53</f>
        <v>806630</v>
      </c>
      <c r="I53" s="18">
        <f>'Monthly Data'!CD53</f>
        <v>30</v>
      </c>
      <c r="K53" s="18">
        <f>'GS 50-999 Predicted Monthly'!$V$10</f>
        <v>-9326437.7987639103</v>
      </c>
      <c r="L53" s="18">
        <f ca="1">E53*'GS 50-999 Predicted Monthly'!$V$11</f>
        <v>6503753.3447775338</v>
      </c>
      <c r="M53" s="18">
        <f ca="1">F53*'GS 50-999 Predicted Monthly'!$V$12</f>
        <v>162644.01287824113</v>
      </c>
      <c r="N53" s="18">
        <f>G53*'GS 50-999 Predicted Monthly'!$V$13</f>
        <v>0</v>
      </c>
      <c r="O53" s="18">
        <f>H53*'GS 50-999 Predicted Monthly'!$V$14</f>
        <v>5788669.5715303626</v>
      </c>
      <c r="P53" s="18">
        <f>I53*'GS 50-999 Predicted Monthly'!$V$15</f>
        <v>23157856.034688119</v>
      </c>
      <c r="Q53" s="18">
        <f t="shared" ca="1" si="2"/>
        <v>26286485.165110346</v>
      </c>
    </row>
    <row r="54" spans="1:17" x14ac:dyDescent="0.25">
      <c r="A54" s="3">
        <f>'Monthly Data'!A54</f>
        <v>43586</v>
      </c>
      <c r="B54" s="1">
        <f t="shared" si="0"/>
        <v>2019</v>
      </c>
      <c r="C54" s="1">
        <f t="shared" si="1"/>
        <v>5</v>
      </c>
      <c r="D54" s="268">
        <f>'Monthly Data'!N54</f>
        <v>24776294.111912861</v>
      </c>
      <c r="E54" s="278">
        <f t="shared" ref="E54:F73" ca="1" si="5">E42</f>
        <v>150.136897859768</v>
      </c>
      <c r="F54" s="278">
        <f t="shared" ca="1" si="5"/>
        <v>86.191046176046171</v>
      </c>
      <c r="G54" s="278">
        <f>'Monthly Data'!CG54</f>
        <v>0</v>
      </c>
      <c r="H54" s="18">
        <f>'Monthly Data'!AL54</f>
        <v>806630</v>
      </c>
      <c r="I54" s="18">
        <f>'Monthly Data'!CD54</f>
        <v>31</v>
      </c>
      <c r="K54" s="18">
        <f>'GS 50-999 Predicted Monthly'!$V$10</f>
        <v>-9326437.7987639103</v>
      </c>
      <c r="L54" s="18">
        <f ca="1">E54*'GS 50-999 Predicted Monthly'!$V$11</f>
        <v>2770756.4458996481</v>
      </c>
      <c r="M54" s="18">
        <f ca="1">F54*'GS 50-999 Predicted Monthly'!$V$12</f>
        <v>2484624.3481419561</v>
      </c>
      <c r="N54" s="18">
        <f>G54*'GS 50-999 Predicted Monthly'!$V$13</f>
        <v>0</v>
      </c>
      <c r="O54" s="18">
        <f>H54*'GS 50-999 Predicted Monthly'!$V$14</f>
        <v>5788669.5715303626</v>
      </c>
      <c r="P54" s="18">
        <f>I54*'GS 50-999 Predicted Monthly'!$V$15</f>
        <v>23929784.569177721</v>
      </c>
      <c r="Q54" s="18">
        <f t="shared" ca="1" si="2"/>
        <v>25647397.135985777</v>
      </c>
    </row>
    <row r="55" spans="1:17" x14ac:dyDescent="0.25">
      <c r="A55" s="3">
        <f>'Monthly Data'!A55</f>
        <v>43617</v>
      </c>
      <c r="B55" s="1">
        <f t="shared" si="0"/>
        <v>2019</v>
      </c>
      <c r="C55" s="1">
        <f t="shared" si="1"/>
        <v>6</v>
      </c>
      <c r="D55" s="268">
        <f>'Monthly Data'!N55</f>
        <v>24832534.618167989</v>
      </c>
      <c r="E55" s="278">
        <f t="shared" ca="1" si="5"/>
        <v>32.520923826173821</v>
      </c>
      <c r="F55" s="278">
        <f t="shared" ca="1" si="5"/>
        <v>194.94285087738348</v>
      </c>
      <c r="G55" s="278">
        <f>'Monthly Data'!CG55</f>
        <v>0</v>
      </c>
      <c r="H55" s="18">
        <f>'Monthly Data'!AL55</f>
        <v>806630</v>
      </c>
      <c r="I55" s="18">
        <f>'Monthly Data'!CD55</f>
        <v>30</v>
      </c>
      <c r="K55" s="18">
        <f>'GS 50-999 Predicted Monthly'!$V$10</f>
        <v>-9326437.7987639103</v>
      </c>
      <c r="L55" s="18">
        <f ca="1">E55*'GS 50-999 Predicted Monthly'!$V$11</f>
        <v>600169.3161540177</v>
      </c>
      <c r="M55" s="18">
        <f ca="1">F55*'GS 50-999 Predicted Monthly'!$V$12</f>
        <v>5619606.3892395888</v>
      </c>
      <c r="N55" s="18">
        <f>G55*'GS 50-999 Predicted Monthly'!$V$13</f>
        <v>0</v>
      </c>
      <c r="O55" s="18">
        <f>H55*'GS 50-999 Predicted Monthly'!$V$14</f>
        <v>5788669.5715303626</v>
      </c>
      <c r="P55" s="18">
        <f>I55*'GS 50-999 Predicted Monthly'!$V$15</f>
        <v>23157856.034688119</v>
      </c>
      <c r="Q55" s="18">
        <f t="shared" ca="1" si="2"/>
        <v>25839863.512848176</v>
      </c>
    </row>
    <row r="56" spans="1:17" x14ac:dyDescent="0.25">
      <c r="A56" s="3">
        <f>'Monthly Data'!A56</f>
        <v>43647</v>
      </c>
      <c r="B56" s="1">
        <f t="shared" si="0"/>
        <v>2019</v>
      </c>
      <c r="C56" s="1">
        <f t="shared" si="1"/>
        <v>7</v>
      </c>
      <c r="D56" s="268">
        <f>'Monthly Data'!N56</f>
        <v>29793419.238445286</v>
      </c>
      <c r="E56" s="278">
        <f t="shared" ca="1" si="5"/>
        <v>1.6179166666666653</v>
      </c>
      <c r="F56" s="278">
        <f t="shared" ca="1" si="5"/>
        <v>297.94737858727848</v>
      </c>
      <c r="G56" s="278">
        <f>'Monthly Data'!CG56</f>
        <v>0</v>
      </c>
      <c r="H56" s="18">
        <f>'Monthly Data'!AL56</f>
        <v>810347</v>
      </c>
      <c r="I56" s="18">
        <f>'Monthly Data'!CD56</f>
        <v>31</v>
      </c>
      <c r="K56" s="18">
        <f>'GS 50-999 Predicted Monthly'!$V$10</f>
        <v>-9326437.7987639103</v>
      </c>
      <c r="L56" s="18">
        <f ca="1">E56*'GS 50-999 Predicted Monthly'!$V$11</f>
        <v>29858.436513602697</v>
      </c>
      <c r="M56" s="18">
        <f ca="1">F56*'GS 50-999 Predicted Monthly'!$V$12</f>
        <v>8588912.0059057679</v>
      </c>
      <c r="N56" s="18">
        <f>G56*'GS 50-999 Predicted Monthly'!$V$13</f>
        <v>0</v>
      </c>
      <c r="O56" s="18">
        <f>H56*'GS 50-999 Predicted Monthly'!$V$14</f>
        <v>5815344.1122707007</v>
      </c>
      <c r="P56" s="18">
        <f>I56*'GS 50-999 Predicted Monthly'!$V$15</f>
        <v>23929784.569177721</v>
      </c>
      <c r="Q56" s="18">
        <f t="shared" ca="1" si="2"/>
        <v>29037461.325103883</v>
      </c>
    </row>
    <row r="57" spans="1:17" x14ac:dyDescent="0.25">
      <c r="A57" s="3">
        <f>'Monthly Data'!A57</f>
        <v>43678</v>
      </c>
      <c r="B57" s="1">
        <f t="shared" si="0"/>
        <v>2019</v>
      </c>
      <c r="C57" s="1">
        <f t="shared" si="1"/>
        <v>8</v>
      </c>
      <c r="D57" s="268">
        <f>'Monthly Data'!N57</f>
        <v>26285773.15454014</v>
      </c>
      <c r="E57" s="278">
        <f t="shared" ca="1" si="5"/>
        <v>5.6499999999999977</v>
      </c>
      <c r="F57" s="278">
        <f t="shared" ca="1" si="5"/>
        <v>272.96558794466404</v>
      </c>
      <c r="G57" s="278">
        <f>'Monthly Data'!CG57</f>
        <v>0</v>
      </c>
      <c r="H57" s="18">
        <f>'Monthly Data'!AL57</f>
        <v>810347</v>
      </c>
      <c r="I57" s="18">
        <f>'Monthly Data'!CD57</f>
        <v>31</v>
      </c>
      <c r="K57" s="18">
        <f>'GS 50-999 Predicted Monthly'!$V$10</f>
        <v>-9326437.7987639103</v>
      </c>
      <c r="L57" s="18">
        <f ca="1">E57*'GS 50-999 Predicted Monthly'!$V$11</f>
        <v>104269.99719918949</v>
      </c>
      <c r="M57" s="18">
        <f ca="1">F57*'GS 50-999 Predicted Monthly'!$V$12</f>
        <v>7868763.3588636462</v>
      </c>
      <c r="N57" s="18">
        <f>G57*'GS 50-999 Predicted Monthly'!$V$13</f>
        <v>0</v>
      </c>
      <c r="O57" s="18">
        <f>H57*'GS 50-999 Predicted Monthly'!$V$14</f>
        <v>5815344.1122707007</v>
      </c>
      <c r="P57" s="18">
        <f>I57*'GS 50-999 Predicted Monthly'!$V$15</f>
        <v>23929784.569177721</v>
      </c>
      <c r="Q57" s="18">
        <f t="shared" ca="1" si="2"/>
        <v>28391724.238747347</v>
      </c>
    </row>
    <row r="58" spans="1:17" x14ac:dyDescent="0.25">
      <c r="A58" s="3">
        <f>'Monthly Data'!A58</f>
        <v>43709</v>
      </c>
      <c r="B58" s="1">
        <f t="shared" si="0"/>
        <v>2019</v>
      </c>
      <c r="C58" s="1">
        <f t="shared" si="1"/>
        <v>9</v>
      </c>
      <c r="D58" s="268">
        <f>'Monthly Data'!N58</f>
        <v>24447792.044599112</v>
      </c>
      <c r="E58" s="278">
        <f t="shared" ca="1" si="5"/>
        <v>54.959440993788824</v>
      </c>
      <c r="F58" s="278">
        <f t="shared" ca="1" si="5"/>
        <v>158.67014233954447</v>
      </c>
      <c r="G58" s="278">
        <f>'Monthly Data'!CG58</f>
        <v>0</v>
      </c>
      <c r="H58" s="18">
        <f>'Monthly Data'!AL58</f>
        <v>810347</v>
      </c>
      <c r="I58" s="18">
        <f>'Monthly Data'!CD58</f>
        <v>30</v>
      </c>
      <c r="K58" s="18">
        <f>'GS 50-999 Predicted Monthly'!$V$10</f>
        <v>-9326437.7987639103</v>
      </c>
      <c r="L58" s="18">
        <f ca="1">E58*'GS 50-999 Predicted Monthly'!$V$11</f>
        <v>1014269.160794935</v>
      </c>
      <c r="M58" s="18">
        <f ca="1">F58*'GS 50-999 Predicted Monthly'!$V$12</f>
        <v>4573975.0991622871</v>
      </c>
      <c r="N58" s="18">
        <f>G58*'GS 50-999 Predicted Monthly'!$V$13</f>
        <v>0</v>
      </c>
      <c r="O58" s="18">
        <f>H58*'GS 50-999 Predicted Monthly'!$V$14</f>
        <v>5815344.1122707007</v>
      </c>
      <c r="P58" s="18">
        <f>I58*'GS 50-999 Predicted Monthly'!$V$15</f>
        <v>23157856.034688119</v>
      </c>
      <c r="Q58" s="18">
        <f t="shared" ca="1" si="2"/>
        <v>25235006.608152132</v>
      </c>
    </row>
    <row r="59" spans="1:17" x14ac:dyDescent="0.25">
      <c r="A59" s="3">
        <f>'Monthly Data'!A59</f>
        <v>43739</v>
      </c>
      <c r="B59" s="1">
        <f t="shared" si="0"/>
        <v>2019</v>
      </c>
      <c r="C59" s="1">
        <f t="shared" si="1"/>
        <v>10</v>
      </c>
      <c r="D59" s="268">
        <f>'Monthly Data'!N59</f>
        <v>24249973.509908725</v>
      </c>
      <c r="E59" s="278">
        <f t="shared" ca="1" si="5"/>
        <v>237.89681159420289</v>
      </c>
      <c r="F59" s="278">
        <f t="shared" ca="1" si="5"/>
        <v>35.32833333333334</v>
      </c>
      <c r="G59" s="278">
        <f>'Monthly Data'!CG59</f>
        <v>0</v>
      </c>
      <c r="H59" s="18">
        <f>'Monthly Data'!AL59</f>
        <v>811397</v>
      </c>
      <c r="I59" s="18">
        <f>'Monthly Data'!CD59</f>
        <v>31</v>
      </c>
      <c r="K59" s="18">
        <f>'GS 50-999 Predicted Monthly'!$V$10</f>
        <v>-9326437.7987639103</v>
      </c>
      <c r="L59" s="18">
        <f ca="1">E59*'GS 50-999 Predicted Monthly'!$V$11</f>
        <v>4390353.9608183457</v>
      </c>
      <c r="M59" s="18">
        <f ca="1">F59*'GS 50-999 Predicted Monthly'!$V$12</f>
        <v>1018407.8401831704</v>
      </c>
      <c r="N59" s="18">
        <f>G59*'GS 50-999 Predicted Monthly'!$V$13</f>
        <v>0</v>
      </c>
      <c r="O59" s="18">
        <f>H59*'GS 50-999 Predicted Monthly'!$V$14</f>
        <v>5822879.2932707956</v>
      </c>
      <c r="P59" s="18">
        <f>I59*'GS 50-999 Predicted Monthly'!$V$15</f>
        <v>23929784.569177721</v>
      </c>
      <c r="Q59" s="18">
        <f t="shared" ca="1" si="2"/>
        <v>25834987.864686124</v>
      </c>
    </row>
    <row r="60" spans="1:17" x14ac:dyDescent="0.25">
      <c r="A60" s="3">
        <f>'Monthly Data'!A60</f>
        <v>43770</v>
      </c>
      <c r="B60" s="1">
        <f t="shared" si="0"/>
        <v>2019</v>
      </c>
      <c r="C60" s="1">
        <f t="shared" si="1"/>
        <v>11</v>
      </c>
      <c r="D60" s="268">
        <f>'Monthly Data'!N60</f>
        <v>30825542.226426981</v>
      </c>
      <c r="E60" s="278">
        <f t="shared" ca="1" si="5"/>
        <v>426.62991389045737</v>
      </c>
      <c r="F60" s="278">
        <f t="shared" ca="1" si="5"/>
        <v>2.2779166666666657</v>
      </c>
      <c r="G60" s="278">
        <f>'Monthly Data'!CG60</f>
        <v>0</v>
      </c>
      <c r="H60" s="18">
        <f>'Monthly Data'!AL60</f>
        <v>811397</v>
      </c>
      <c r="I60" s="18">
        <f>'Monthly Data'!CD60</f>
        <v>30</v>
      </c>
      <c r="K60" s="18">
        <f>'GS 50-999 Predicted Monthly'!$V$10</f>
        <v>-9326437.7987639103</v>
      </c>
      <c r="L60" s="18">
        <f ca="1">E60*'GS 50-999 Predicted Monthly'!$V$11</f>
        <v>7873398.2170705236</v>
      </c>
      <c r="M60" s="18">
        <f ca="1">F60*'GS 50-999 Predicted Monthly'!$V$12</f>
        <v>65665.373192921048</v>
      </c>
      <c r="N60" s="18">
        <f>G60*'GS 50-999 Predicted Monthly'!$V$13</f>
        <v>0</v>
      </c>
      <c r="O60" s="18">
        <f>H60*'GS 50-999 Predicted Monthly'!$V$14</f>
        <v>5822879.2932707956</v>
      </c>
      <c r="P60" s="18">
        <f>I60*'GS 50-999 Predicted Monthly'!$V$15</f>
        <v>23157856.034688119</v>
      </c>
      <c r="Q60" s="18">
        <f t="shared" ca="1" si="2"/>
        <v>27593361.119458448</v>
      </c>
    </row>
    <row r="61" spans="1:17" x14ac:dyDescent="0.25">
      <c r="A61" s="3">
        <f>'Monthly Data'!A61</f>
        <v>43800</v>
      </c>
      <c r="B61" s="1">
        <f t="shared" si="0"/>
        <v>2019</v>
      </c>
      <c r="C61" s="1">
        <f t="shared" si="1"/>
        <v>12</v>
      </c>
      <c r="D61" s="268">
        <f>'Monthly Data'!N61</f>
        <v>30515644.19160156</v>
      </c>
      <c r="E61" s="278">
        <f t="shared" ca="1" si="5"/>
        <v>577.92800724637686</v>
      </c>
      <c r="F61" s="278">
        <f t="shared" ca="1" si="5"/>
        <v>0</v>
      </c>
      <c r="G61" s="278">
        <f>'Monthly Data'!CG61</f>
        <v>0</v>
      </c>
      <c r="H61" s="18">
        <f>'Monthly Data'!AL61</f>
        <v>811397</v>
      </c>
      <c r="I61" s="18">
        <f>'Monthly Data'!CD61</f>
        <v>31</v>
      </c>
      <c r="K61" s="18">
        <f>'GS 50-999 Predicted Monthly'!$V$10</f>
        <v>-9326437.7987639103</v>
      </c>
      <c r="L61" s="18">
        <f ca="1">E61*'GS 50-999 Predicted Monthly'!$V$11</f>
        <v>10665584.371135026</v>
      </c>
      <c r="M61" s="18">
        <f ca="1">F61*'GS 50-999 Predicted Monthly'!$V$12</f>
        <v>0</v>
      </c>
      <c r="N61" s="18">
        <f>G61*'GS 50-999 Predicted Monthly'!$V$13</f>
        <v>0</v>
      </c>
      <c r="O61" s="18">
        <f>H61*'GS 50-999 Predicted Monthly'!$V$14</f>
        <v>5822879.2932707956</v>
      </c>
      <c r="P61" s="18">
        <f>I61*'GS 50-999 Predicted Monthly'!$V$15</f>
        <v>23929784.569177721</v>
      </c>
      <c r="Q61" s="18">
        <f t="shared" ca="1" si="2"/>
        <v>31091810.434819631</v>
      </c>
    </row>
    <row r="62" spans="1:17" x14ac:dyDescent="0.25">
      <c r="A62" s="3">
        <f>'Monthly Data'!A62</f>
        <v>43831</v>
      </c>
      <c r="B62" s="1">
        <f t="shared" ref="B62:B115" si="6">YEAR(A62)</f>
        <v>2020</v>
      </c>
      <c r="C62" s="1">
        <f t="shared" ref="C62:C115" si="7">MONTH(A62)</f>
        <v>1</v>
      </c>
      <c r="D62" s="268">
        <f>'Monthly Data'!N62</f>
        <v>31665184.615771491</v>
      </c>
      <c r="E62" s="278">
        <f t="shared" ca="1" si="5"/>
        <v>697.33418478260876</v>
      </c>
      <c r="F62" s="278">
        <f t="shared" ca="1" si="5"/>
        <v>0</v>
      </c>
      <c r="G62" s="278">
        <f>'Monthly Data'!CG62</f>
        <v>0</v>
      </c>
      <c r="H62" s="18">
        <f>'Monthly Data'!AL62</f>
        <v>800126</v>
      </c>
      <c r="I62" s="18">
        <f>'Monthly Data'!CD62</f>
        <v>31</v>
      </c>
      <c r="K62" s="18">
        <f>'GS 50-999 Predicted Monthly'!$V$10</f>
        <v>-9326437.7987639103</v>
      </c>
      <c r="L62" s="18">
        <f ca="1">E62*'GS 50-999 Predicted Monthly'!$V$11</f>
        <v>12869209.467996765</v>
      </c>
      <c r="M62" s="18">
        <f ca="1">F62*'GS 50-999 Predicted Monthly'!$V$12</f>
        <v>0</v>
      </c>
      <c r="N62" s="18">
        <f>G62*'GS 50-999 Predicted Monthly'!$V$13</f>
        <v>0</v>
      </c>
      <c r="O62" s="18">
        <f>H62*'GS 50-999 Predicted Monthly'!$V$14</f>
        <v>5741994.5075069154</v>
      </c>
      <c r="P62" s="18">
        <f>I62*'GS 50-999 Predicted Monthly'!$V$15</f>
        <v>23929784.569177721</v>
      </c>
      <c r="Q62" s="18">
        <f t="shared" ca="1" si="2"/>
        <v>33214550.745917492</v>
      </c>
    </row>
    <row r="63" spans="1:17" x14ac:dyDescent="0.25">
      <c r="A63" s="3">
        <f>'Monthly Data'!A63</f>
        <v>43862</v>
      </c>
      <c r="B63" s="1">
        <f t="shared" si="6"/>
        <v>2020</v>
      </c>
      <c r="C63" s="1">
        <f t="shared" si="7"/>
        <v>2</v>
      </c>
      <c r="D63" s="268">
        <f>'Monthly Data'!N63</f>
        <v>28996456.425020933</v>
      </c>
      <c r="E63" s="278">
        <f t="shared" ca="1" si="5"/>
        <v>624.25501811594188</v>
      </c>
      <c r="F63" s="278">
        <f t="shared" ca="1" si="5"/>
        <v>0</v>
      </c>
      <c r="G63" s="278">
        <f>'Monthly Data'!CG63</f>
        <v>0</v>
      </c>
      <c r="H63" s="18">
        <f>'Monthly Data'!AL63</f>
        <v>800126</v>
      </c>
      <c r="I63" s="18">
        <f>'Monthly Data'!CD63</f>
        <v>29</v>
      </c>
      <c r="K63" s="18">
        <f>'GS 50-999 Predicted Monthly'!$V$10</f>
        <v>-9326437.7987639103</v>
      </c>
      <c r="L63" s="18">
        <f ca="1">E63*'GS 50-999 Predicted Monthly'!$V$11</f>
        <v>11520543.184164472</v>
      </c>
      <c r="M63" s="18">
        <f ca="1">F63*'GS 50-999 Predicted Monthly'!$V$12</f>
        <v>0</v>
      </c>
      <c r="N63" s="18">
        <f>G63*'GS 50-999 Predicted Monthly'!$V$13</f>
        <v>0</v>
      </c>
      <c r="O63" s="18">
        <f>H63*'GS 50-999 Predicted Monthly'!$V$14</f>
        <v>5741994.5075069154</v>
      </c>
      <c r="P63" s="18">
        <f>I63*'GS 50-999 Predicted Monthly'!$V$15</f>
        <v>22385927.500198513</v>
      </c>
      <c r="Q63" s="18">
        <f t="shared" ca="1" si="2"/>
        <v>30322027.393105991</v>
      </c>
    </row>
    <row r="64" spans="1:17" x14ac:dyDescent="0.25">
      <c r="A64" s="3">
        <f>'Monthly Data'!A64</f>
        <v>43891</v>
      </c>
      <c r="B64" s="1">
        <f t="shared" si="6"/>
        <v>2020</v>
      </c>
      <c r="C64" s="1">
        <f t="shared" si="7"/>
        <v>3</v>
      </c>
      <c r="D64" s="268">
        <f>'Monthly Data'!N64</f>
        <v>27523984.230147589</v>
      </c>
      <c r="E64" s="278">
        <f t="shared" ca="1" si="5"/>
        <v>546.13298913043491</v>
      </c>
      <c r="F64" s="278">
        <f t="shared" ca="1" si="5"/>
        <v>2.9583333333332896E-2</v>
      </c>
      <c r="G64" s="278">
        <f>'Monthly Data'!CG64</f>
        <v>0.5</v>
      </c>
      <c r="H64" s="18">
        <f>'Monthly Data'!AL64</f>
        <v>800126</v>
      </c>
      <c r="I64" s="18">
        <f>'Monthly Data'!CD64</f>
        <v>31</v>
      </c>
      <c r="K64" s="18">
        <f>'GS 50-999 Predicted Monthly'!$V$10</f>
        <v>-9326437.7987639103</v>
      </c>
      <c r="L64" s="18">
        <f ca="1">E64*'GS 50-999 Predicted Monthly'!$V$11</f>
        <v>10078811.548144327</v>
      </c>
      <c r="M64" s="18">
        <f ca="1">F64*'GS 50-999 Predicted Monthly'!$V$12</f>
        <v>852.79705445350771</v>
      </c>
      <c r="N64" s="18">
        <f>G64*'GS 50-999 Predicted Monthly'!$V$13</f>
        <v>-1424872.5632308151</v>
      </c>
      <c r="O64" s="18">
        <f>H64*'GS 50-999 Predicted Monthly'!$V$14</f>
        <v>5741994.5075069154</v>
      </c>
      <c r="P64" s="18">
        <f>I64*'GS 50-999 Predicted Monthly'!$V$15</f>
        <v>23929784.569177721</v>
      </c>
      <c r="Q64" s="18">
        <f t="shared" ca="1" si="2"/>
        <v>29000133.059888691</v>
      </c>
    </row>
    <row r="65" spans="1:17" x14ac:dyDescent="0.25">
      <c r="A65" s="3">
        <f>'Monthly Data'!A65</f>
        <v>43922</v>
      </c>
      <c r="B65" s="1">
        <f t="shared" si="6"/>
        <v>2020</v>
      </c>
      <c r="C65" s="1">
        <f t="shared" si="7"/>
        <v>4</v>
      </c>
      <c r="D65" s="268">
        <f>'Monthly Data'!N65</f>
        <v>22124574.074711651</v>
      </c>
      <c r="E65" s="278">
        <f t="shared" ca="1" si="5"/>
        <v>352.41399621212122</v>
      </c>
      <c r="F65" s="278">
        <f t="shared" ca="1" si="5"/>
        <v>5.6420833333333338</v>
      </c>
      <c r="G65" s="278">
        <f>'Monthly Data'!CG65</f>
        <v>1</v>
      </c>
      <c r="H65" s="18">
        <f>'Monthly Data'!AL65</f>
        <v>706539</v>
      </c>
      <c r="I65" s="18">
        <f>'Monthly Data'!CD65</f>
        <v>30</v>
      </c>
      <c r="K65" s="18">
        <f>'GS 50-999 Predicted Monthly'!$V$10</f>
        <v>-9326437.7987639103</v>
      </c>
      <c r="L65" s="18">
        <f ca="1">E65*'GS 50-999 Predicted Monthly'!$V$11</f>
        <v>6503753.3447775338</v>
      </c>
      <c r="M65" s="18">
        <f ca="1">F65*'GS 50-999 Predicted Monthly'!$V$12</f>
        <v>162644.01287824113</v>
      </c>
      <c r="N65" s="18">
        <f>G65*'GS 50-999 Predicted Monthly'!$V$13</f>
        <v>-2849745.1264616302</v>
      </c>
      <c r="O65" s="18">
        <f>H65*'GS 50-999 Predicted Monthly'!$V$14</f>
        <v>5070380.2367869914</v>
      </c>
      <c r="P65" s="18">
        <f>I65*'GS 50-999 Predicted Monthly'!$V$15</f>
        <v>23157856.034688119</v>
      </c>
      <c r="Q65" s="18">
        <f t="shared" ca="1" si="2"/>
        <v>22718450.703905344</v>
      </c>
    </row>
    <row r="66" spans="1:17" x14ac:dyDescent="0.25">
      <c r="A66" s="3">
        <f>'Monthly Data'!A66</f>
        <v>43952</v>
      </c>
      <c r="B66" s="1">
        <f t="shared" si="6"/>
        <v>2020</v>
      </c>
      <c r="C66" s="1">
        <f t="shared" si="7"/>
        <v>5</v>
      </c>
      <c r="D66" s="268">
        <f>'Monthly Data'!N66</f>
        <v>21859678.942449689</v>
      </c>
      <c r="E66" s="278">
        <f t="shared" ca="1" si="5"/>
        <v>150.136897859768</v>
      </c>
      <c r="F66" s="278">
        <f t="shared" ca="1" si="5"/>
        <v>86.191046176046171</v>
      </c>
      <c r="G66" s="278">
        <f>'Monthly Data'!CG66</f>
        <v>1</v>
      </c>
      <c r="H66" s="18">
        <f>'Monthly Data'!AL66</f>
        <v>706539</v>
      </c>
      <c r="I66" s="18">
        <f>'Monthly Data'!CD66</f>
        <v>31</v>
      </c>
      <c r="K66" s="18">
        <f>'GS 50-999 Predicted Monthly'!$V$10</f>
        <v>-9326437.7987639103</v>
      </c>
      <c r="L66" s="18">
        <f ca="1">E66*'GS 50-999 Predicted Monthly'!$V$11</f>
        <v>2770756.4458996481</v>
      </c>
      <c r="M66" s="18">
        <f ca="1">F66*'GS 50-999 Predicted Monthly'!$V$12</f>
        <v>2484624.3481419561</v>
      </c>
      <c r="N66" s="18">
        <f>G66*'GS 50-999 Predicted Monthly'!$V$13</f>
        <v>-2849745.1264616302</v>
      </c>
      <c r="O66" s="18">
        <f>H66*'GS 50-999 Predicted Monthly'!$V$14</f>
        <v>5070380.2367869914</v>
      </c>
      <c r="P66" s="18">
        <f>I66*'GS 50-999 Predicted Monthly'!$V$15</f>
        <v>23929784.569177721</v>
      </c>
      <c r="Q66" s="18">
        <f t="shared" ca="1" si="2"/>
        <v>22079362.674780779</v>
      </c>
    </row>
    <row r="67" spans="1:17" x14ac:dyDescent="0.25">
      <c r="A67" s="3">
        <f>'Monthly Data'!A67</f>
        <v>43983</v>
      </c>
      <c r="B67" s="1">
        <f t="shared" si="6"/>
        <v>2020</v>
      </c>
      <c r="C67" s="1">
        <f t="shared" si="7"/>
        <v>6</v>
      </c>
      <c r="D67" s="268">
        <f>'Monthly Data'!N67</f>
        <v>24219008.095878799</v>
      </c>
      <c r="E67" s="278">
        <f t="shared" ca="1" si="5"/>
        <v>32.520923826173821</v>
      </c>
      <c r="F67" s="278">
        <f t="shared" ca="1" si="5"/>
        <v>194.94285087738348</v>
      </c>
      <c r="G67" s="278">
        <f>'Monthly Data'!CG67</f>
        <v>0.5</v>
      </c>
      <c r="H67" s="18">
        <f>'Monthly Data'!AL67</f>
        <v>706539</v>
      </c>
      <c r="I67" s="18">
        <f>'Monthly Data'!CD67</f>
        <v>30</v>
      </c>
      <c r="K67" s="18">
        <f>'GS 50-999 Predicted Monthly'!$V$10</f>
        <v>-9326437.7987639103</v>
      </c>
      <c r="L67" s="18">
        <f ca="1">E67*'GS 50-999 Predicted Monthly'!$V$11</f>
        <v>600169.3161540177</v>
      </c>
      <c r="M67" s="18">
        <f ca="1">F67*'GS 50-999 Predicted Monthly'!$V$12</f>
        <v>5619606.3892395888</v>
      </c>
      <c r="N67" s="18">
        <f>G67*'GS 50-999 Predicted Monthly'!$V$13</f>
        <v>-1424872.5632308151</v>
      </c>
      <c r="O67" s="18">
        <f>H67*'GS 50-999 Predicted Monthly'!$V$14</f>
        <v>5070380.2367869914</v>
      </c>
      <c r="P67" s="18">
        <f>I67*'GS 50-999 Predicted Monthly'!$V$15</f>
        <v>23157856.034688119</v>
      </c>
      <c r="Q67" s="18">
        <f t="shared" ref="Q67:Q130" ca="1" si="8">SUM(K67:P67)</f>
        <v>23696701.61487399</v>
      </c>
    </row>
    <row r="68" spans="1:17" x14ac:dyDescent="0.25">
      <c r="A68" s="3">
        <f>'Monthly Data'!A68</f>
        <v>44013</v>
      </c>
      <c r="B68" s="1">
        <f t="shared" si="6"/>
        <v>2020</v>
      </c>
      <c r="C68" s="1">
        <f t="shared" si="7"/>
        <v>7</v>
      </c>
      <c r="D68" s="268">
        <f>'Monthly Data'!N68</f>
        <v>28888464.206618078</v>
      </c>
      <c r="E68" s="278">
        <f t="shared" ca="1" si="5"/>
        <v>1.6179166666666653</v>
      </c>
      <c r="F68" s="278">
        <f t="shared" ca="1" si="5"/>
        <v>297.94737858727848</v>
      </c>
      <c r="G68" s="278">
        <f>'Monthly Data'!CG68</f>
        <v>0.5</v>
      </c>
      <c r="H68" s="18">
        <f>'Monthly Data'!AL68</f>
        <v>777225</v>
      </c>
      <c r="I68" s="18">
        <f>'Monthly Data'!CD68</f>
        <v>31</v>
      </c>
      <c r="K68" s="18">
        <f>'GS 50-999 Predicted Monthly'!$V$10</f>
        <v>-9326437.7987639103</v>
      </c>
      <c r="L68" s="18">
        <f ca="1">E68*'GS 50-999 Predicted Monthly'!$V$11</f>
        <v>29858.436513602697</v>
      </c>
      <c r="M68" s="18">
        <f ca="1">F68*'GS 50-999 Predicted Monthly'!$V$12</f>
        <v>8588912.0059057679</v>
      </c>
      <c r="N68" s="18">
        <f>G68*'GS 50-999 Predicted Monthly'!$V$13</f>
        <v>-1424872.5632308151</v>
      </c>
      <c r="O68" s="18">
        <f>H68*'GS 50-999 Predicted Monthly'!$V$14</f>
        <v>5577648.6217134083</v>
      </c>
      <c r="P68" s="18">
        <f>I68*'GS 50-999 Predicted Monthly'!$V$15</f>
        <v>23929784.569177721</v>
      </c>
      <c r="Q68" s="18">
        <f t="shared" ca="1" si="8"/>
        <v>27374893.271315776</v>
      </c>
    </row>
    <row r="69" spans="1:17" x14ac:dyDescent="0.25">
      <c r="A69" s="3">
        <f>'Monthly Data'!A69</f>
        <v>44044</v>
      </c>
      <c r="B69" s="1">
        <f t="shared" si="6"/>
        <v>2020</v>
      </c>
      <c r="C69" s="1">
        <f t="shared" si="7"/>
        <v>8</v>
      </c>
      <c r="D69" s="268">
        <f>'Monthly Data'!N69</f>
        <v>26919034.292032495</v>
      </c>
      <c r="E69" s="278">
        <f t="shared" ca="1" si="5"/>
        <v>5.6499999999999977</v>
      </c>
      <c r="F69" s="278">
        <f t="shared" ca="1" si="5"/>
        <v>272.96558794466404</v>
      </c>
      <c r="G69" s="278">
        <f>'Monthly Data'!CG69</f>
        <v>0.5</v>
      </c>
      <c r="H69" s="18">
        <f>'Monthly Data'!AL69</f>
        <v>777225</v>
      </c>
      <c r="I69" s="18">
        <f>'Monthly Data'!CD69</f>
        <v>31</v>
      </c>
      <c r="K69" s="18">
        <f>'GS 50-999 Predicted Monthly'!$V$10</f>
        <v>-9326437.7987639103</v>
      </c>
      <c r="L69" s="18">
        <f ca="1">E69*'GS 50-999 Predicted Monthly'!$V$11</f>
        <v>104269.99719918949</v>
      </c>
      <c r="M69" s="18">
        <f ca="1">F69*'GS 50-999 Predicted Monthly'!$V$12</f>
        <v>7868763.3588636462</v>
      </c>
      <c r="N69" s="18">
        <f>G69*'GS 50-999 Predicted Monthly'!$V$13</f>
        <v>-1424872.5632308151</v>
      </c>
      <c r="O69" s="18">
        <f>H69*'GS 50-999 Predicted Monthly'!$V$14</f>
        <v>5577648.6217134083</v>
      </c>
      <c r="P69" s="18">
        <f>I69*'GS 50-999 Predicted Monthly'!$V$15</f>
        <v>23929784.569177721</v>
      </c>
      <c r="Q69" s="18">
        <f t="shared" ca="1" si="8"/>
        <v>26729156.18495924</v>
      </c>
    </row>
    <row r="70" spans="1:17" x14ac:dyDescent="0.25">
      <c r="A70" s="3">
        <f>'Monthly Data'!A70</f>
        <v>44075</v>
      </c>
      <c r="B70" s="1">
        <f t="shared" si="6"/>
        <v>2020</v>
      </c>
      <c r="C70" s="1">
        <f t="shared" si="7"/>
        <v>9</v>
      </c>
      <c r="D70" s="268">
        <f>'Monthly Data'!N70</f>
        <v>22899887.372774672</v>
      </c>
      <c r="E70" s="278">
        <f t="shared" ca="1" si="5"/>
        <v>54.959440993788824</v>
      </c>
      <c r="F70" s="278">
        <f t="shared" ca="1" si="5"/>
        <v>158.67014233954447</v>
      </c>
      <c r="G70" s="278">
        <f>'Monthly Data'!CG70</f>
        <v>0.5</v>
      </c>
      <c r="H70" s="18">
        <f>'Monthly Data'!AL70</f>
        <v>777225</v>
      </c>
      <c r="I70" s="18">
        <f>'Monthly Data'!CD70</f>
        <v>30</v>
      </c>
      <c r="K70" s="18">
        <f>'GS 50-999 Predicted Monthly'!$V$10</f>
        <v>-9326437.7987639103</v>
      </c>
      <c r="L70" s="18">
        <f ca="1">E70*'GS 50-999 Predicted Monthly'!$V$11</f>
        <v>1014269.160794935</v>
      </c>
      <c r="M70" s="18">
        <f ca="1">F70*'GS 50-999 Predicted Monthly'!$V$12</f>
        <v>4573975.0991622871</v>
      </c>
      <c r="N70" s="18">
        <f>G70*'GS 50-999 Predicted Monthly'!$V$13</f>
        <v>-1424872.5632308151</v>
      </c>
      <c r="O70" s="18">
        <f>H70*'GS 50-999 Predicted Monthly'!$V$14</f>
        <v>5577648.6217134083</v>
      </c>
      <c r="P70" s="18">
        <f>I70*'GS 50-999 Predicted Monthly'!$V$15</f>
        <v>23157856.034688119</v>
      </c>
      <c r="Q70" s="18">
        <f t="shared" ca="1" si="8"/>
        <v>23572438.554364026</v>
      </c>
    </row>
    <row r="71" spans="1:17" x14ac:dyDescent="0.25">
      <c r="A71" s="3">
        <f>'Monthly Data'!A71</f>
        <v>44105</v>
      </c>
      <c r="B71" s="1">
        <f t="shared" si="6"/>
        <v>2020</v>
      </c>
      <c r="C71" s="1">
        <f t="shared" si="7"/>
        <v>10</v>
      </c>
      <c r="D71" s="268">
        <f>'Monthly Data'!N71</f>
        <v>22361323.862121925</v>
      </c>
      <c r="E71" s="278">
        <f t="shared" ca="1" si="5"/>
        <v>237.89681159420289</v>
      </c>
      <c r="F71" s="278">
        <f t="shared" ca="1" si="5"/>
        <v>35.32833333333334</v>
      </c>
      <c r="G71" s="278">
        <f>'Monthly Data'!CG71</f>
        <v>0.5</v>
      </c>
      <c r="H71" s="18">
        <f>'Monthly Data'!AL71</f>
        <v>795879</v>
      </c>
      <c r="I71" s="18">
        <f>'Monthly Data'!CD71</f>
        <v>31</v>
      </c>
      <c r="K71" s="18">
        <f>'GS 50-999 Predicted Monthly'!$V$10</f>
        <v>-9326437.7987639103</v>
      </c>
      <c r="L71" s="18">
        <f ca="1">E71*'GS 50-999 Predicted Monthly'!$V$11</f>
        <v>4390353.9608183457</v>
      </c>
      <c r="M71" s="18">
        <f ca="1">F71*'GS 50-999 Predicted Monthly'!$V$12</f>
        <v>1018407.8401831704</v>
      </c>
      <c r="N71" s="18">
        <f>G71*'GS 50-999 Predicted Monthly'!$V$13</f>
        <v>-1424872.5632308151</v>
      </c>
      <c r="O71" s="18">
        <f>H71*'GS 50-999 Predicted Monthly'!$V$14</f>
        <v>5711516.4944522446</v>
      </c>
      <c r="P71" s="18">
        <f>I71*'GS 50-999 Predicted Monthly'!$V$15</f>
        <v>23929784.569177721</v>
      </c>
      <c r="Q71" s="18">
        <f t="shared" ca="1" si="8"/>
        <v>24298752.502636757</v>
      </c>
    </row>
    <row r="72" spans="1:17" x14ac:dyDescent="0.25">
      <c r="A72" s="3">
        <f>'Monthly Data'!A72</f>
        <v>44136</v>
      </c>
      <c r="B72" s="1">
        <f t="shared" si="6"/>
        <v>2020</v>
      </c>
      <c r="C72" s="1">
        <f t="shared" si="7"/>
        <v>11</v>
      </c>
      <c r="D72" s="268">
        <f>'Monthly Data'!N72</f>
        <v>23101196.568596739</v>
      </c>
      <c r="E72" s="278">
        <f t="shared" ca="1" si="5"/>
        <v>426.62991389045737</v>
      </c>
      <c r="F72" s="278">
        <f t="shared" ca="1" si="5"/>
        <v>2.2779166666666657</v>
      </c>
      <c r="G72" s="278">
        <f>'Monthly Data'!CG72</f>
        <v>0.5</v>
      </c>
      <c r="H72" s="18">
        <f>'Monthly Data'!AL72</f>
        <v>795879</v>
      </c>
      <c r="I72" s="18">
        <f>'Monthly Data'!CD72</f>
        <v>30</v>
      </c>
      <c r="K72" s="18">
        <f>'GS 50-999 Predicted Monthly'!$V$10</f>
        <v>-9326437.7987639103</v>
      </c>
      <c r="L72" s="18">
        <f ca="1">E72*'GS 50-999 Predicted Monthly'!$V$11</f>
        <v>7873398.2170705236</v>
      </c>
      <c r="M72" s="18">
        <f ca="1">F72*'GS 50-999 Predicted Monthly'!$V$12</f>
        <v>65665.373192921048</v>
      </c>
      <c r="N72" s="18">
        <f>G72*'GS 50-999 Predicted Monthly'!$V$13</f>
        <v>-1424872.5632308151</v>
      </c>
      <c r="O72" s="18">
        <f>H72*'GS 50-999 Predicted Monthly'!$V$14</f>
        <v>5711516.4944522446</v>
      </c>
      <c r="P72" s="18">
        <f>I72*'GS 50-999 Predicted Monthly'!$V$15</f>
        <v>23157856.034688119</v>
      </c>
      <c r="Q72" s="18">
        <f t="shared" ca="1" si="8"/>
        <v>26057125.757409081</v>
      </c>
    </row>
    <row r="73" spans="1:17" x14ac:dyDescent="0.25">
      <c r="A73" s="3">
        <f>'Monthly Data'!A73</f>
        <v>44166</v>
      </c>
      <c r="B73" s="1">
        <f t="shared" si="6"/>
        <v>2020</v>
      </c>
      <c r="C73" s="1">
        <f t="shared" si="7"/>
        <v>12</v>
      </c>
      <c r="D73" s="268">
        <f>'Monthly Data'!N73</f>
        <v>31742077.27981564</v>
      </c>
      <c r="E73" s="278">
        <f t="shared" ca="1" si="5"/>
        <v>577.92800724637686</v>
      </c>
      <c r="F73" s="278">
        <f t="shared" ca="1" si="5"/>
        <v>0</v>
      </c>
      <c r="G73" s="278">
        <f>'Monthly Data'!CG73</f>
        <v>0.5</v>
      </c>
      <c r="H73" s="18">
        <f>'Monthly Data'!AL73</f>
        <v>795879</v>
      </c>
      <c r="I73" s="18">
        <f>'Monthly Data'!CD73</f>
        <v>31</v>
      </c>
      <c r="K73" s="18">
        <f>'GS 50-999 Predicted Monthly'!$V$10</f>
        <v>-9326437.7987639103</v>
      </c>
      <c r="L73" s="18">
        <f ca="1">E73*'GS 50-999 Predicted Monthly'!$V$11</f>
        <v>10665584.371135026</v>
      </c>
      <c r="M73" s="18">
        <f ca="1">F73*'GS 50-999 Predicted Monthly'!$V$12</f>
        <v>0</v>
      </c>
      <c r="N73" s="18">
        <f>G73*'GS 50-999 Predicted Monthly'!$V$13</f>
        <v>-1424872.5632308151</v>
      </c>
      <c r="O73" s="18">
        <f>H73*'GS 50-999 Predicted Monthly'!$V$14</f>
        <v>5711516.4944522446</v>
      </c>
      <c r="P73" s="18">
        <f>I73*'GS 50-999 Predicted Monthly'!$V$15</f>
        <v>23929784.569177721</v>
      </c>
      <c r="Q73" s="18">
        <f t="shared" ca="1" si="8"/>
        <v>29555575.072770268</v>
      </c>
    </row>
    <row r="74" spans="1:17" x14ac:dyDescent="0.25">
      <c r="A74" s="3">
        <f>'Monthly Data'!A74</f>
        <v>44197</v>
      </c>
      <c r="B74" s="1">
        <f t="shared" si="6"/>
        <v>2021</v>
      </c>
      <c r="C74" s="1">
        <f t="shared" si="7"/>
        <v>1</v>
      </c>
      <c r="D74" s="268">
        <f>'Monthly Data'!N74</f>
        <v>29788407.599431217</v>
      </c>
      <c r="E74" s="278">
        <f t="shared" ref="E74:F93" ca="1" si="9">E62</f>
        <v>697.33418478260876</v>
      </c>
      <c r="F74" s="278">
        <f t="shared" ca="1" si="9"/>
        <v>0</v>
      </c>
      <c r="G74" s="278">
        <f>'Monthly Data'!CG74</f>
        <v>0.5</v>
      </c>
      <c r="H74" s="18">
        <f>'Monthly Data'!AL74</f>
        <v>808584</v>
      </c>
      <c r="I74" s="18">
        <f>'Monthly Data'!CD74</f>
        <v>31</v>
      </c>
      <c r="K74" s="18">
        <f>'GS 50-999 Predicted Monthly'!$V$10</f>
        <v>-9326437.7987639103</v>
      </c>
      <c r="L74" s="18">
        <f ca="1">E74*'GS 50-999 Predicted Monthly'!$V$11</f>
        <v>12869209.467996765</v>
      </c>
      <c r="M74" s="18">
        <f ca="1">F74*'GS 50-999 Predicted Monthly'!$V$12</f>
        <v>0</v>
      </c>
      <c r="N74" s="18">
        <f>G74*'GS 50-999 Predicted Monthly'!$V$13</f>
        <v>-1424872.5632308151</v>
      </c>
      <c r="O74" s="18">
        <f>H74*'GS 50-999 Predicted Monthly'!$V$14</f>
        <v>5802692.1845533978</v>
      </c>
      <c r="P74" s="18">
        <f>I74*'GS 50-999 Predicted Monthly'!$V$15</f>
        <v>23929784.569177721</v>
      </c>
      <c r="Q74" s="18">
        <f t="shared" ca="1" si="8"/>
        <v>31850375.859733157</v>
      </c>
    </row>
    <row r="75" spans="1:17" x14ac:dyDescent="0.25">
      <c r="A75" s="3">
        <f>'Monthly Data'!A75</f>
        <v>44228</v>
      </c>
      <c r="B75" s="1">
        <f t="shared" si="6"/>
        <v>2021</v>
      </c>
      <c r="C75" s="1">
        <f t="shared" si="7"/>
        <v>2</v>
      </c>
      <c r="D75" s="268">
        <f>'Monthly Data'!N75</f>
        <v>25694265.154835682</v>
      </c>
      <c r="E75" s="278">
        <f t="shared" ca="1" si="9"/>
        <v>624.25501811594188</v>
      </c>
      <c r="F75" s="278">
        <f t="shared" ca="1" si="9"/>
        <v>0</v>
      </c>
      <c r="G75" s="278">
        <f>'Monthly Data'!CG75</f>
        <v>0.5</v>
      </c>
      <c r="H75" s="18">
        <f>'Monthly Data'!AL75</f>
        <v>808584</v>
      </c>
      <c r="I75" s="18">
        <f>'Monthly Data'!CD75</f>
        <v>28</v>
      </c>
      <c r="K75" s="18">
        <f>'GS 50-999 Predicted Monthly'!$V$10</f>
        <v>-9326437.7987639103</v>
      </c>
      <c r="L75" s="18">
        <f ca="1">E75*'GS 50-999 Predicted Monthly'!$V$11</f>
        <v>11520543.184164472</v>
      </c>
      <c r="M75" s="18">
        <f ca="1">F75*'GS 50-999 Predicted Monthly'!$V$12</f>
        <v>0</v>
      </c>
      <c r="N75" s="18">
        <f>G75*'GS 50-999 Predicted Monthly'!$V$13</f>
        <v>-1424872.5632308151</v>
      </c>
      <c r="O75" s="18">
        <f>H75*'GS 50-999 Predicted Monthly'!$V$14</f>
        <v>5802692.1845533978</v>
      </c>
      <c r="P75" s="18">
        <f>I75*'GS 50-999 Predicted Monthly'!$V$15</f>
        <v>21613998.965708911</v>
      </c>
      <c r="Q75" s="18">
        <f t="shared" ca="1" si="8"/>
        <v>28185923.972432055</v>
      </c>
    </row>
    <row r="76" spans="1:17" x14ac:dyDescent="0.25">
      <c r="A76" s="3">
        <f>'Monthly Data'!A76</f>
        <v>44256</v>
      </c>
      <c r="B76" s="1">
        <f t="shared" si="6"/>
        <v>2021</v>
      </c>
      <c r="C76" s="1">
        <f t="shared" si="7"/>
        <v>3</v>
      </c>
      <c r="D76" s="268">
        <f>'Monthly Data'!N76</f>
        <v>29773183.670959122</v>
      </c>
      <c r="E76" s="278">
        <f t="shared" ca="1" si="9"/>
        <v>546.13298913043491</v>
      </c>
      <c r="F76" s="278">
        <f t="shared" ca="1" si="9"/>
        <v>2.9583333333332896E-2</v>
      </c>
      <c r="G76" s="278">
        <f>'Monthly Data'!CG76</f>
        <v>0.5</v>
      </c>
      <c r="H76" s="18">
        <f>'Monthly Data'!AL76</f>
        <v>808584</v>
      </c>
      <c r="I76" s="18">
        <f>'Monthly Data'!CD76</f>
        <v>31</v>
      </c>
      <c r="K76" s="18">
        <f>'GS 50-999 Predicted Monthly'!$V$10</f>
        <v>-9326437.7987639103</v>
      </c>
      <c r="L76" s="18">
        <f ca="1">E76*'GS 50-999 Predicted Monthly'!$V$11</f>
        <v>10078811.548144327</v>
      </c>
      <c r="M76" s="18">
        <f ca="1">F76*'GS 50-999 Predicted Monthly'!$V$12</f>
        <v>852.79705445350771</v>
      </c>
      <c r="N76" s="18">
        <f>G76*'GS 50-999 Predicted Monthly'!$V$13</f>
        <v>-1424872.5632308151</v>
      </c>
      <c r="O76" s="18">
        <f>H76*'GS 50-999 Predicted Monthly'!$V$14</f>
        <v>5802692.1845533978</v>
      </c>
      <c r="P76" s="18">
        <f>I76*'GS 50-999 Predicted Monthly'!$V$15</f>
        <v>23929784.569177721</v>
      </c>
      <c r="Q76" s="18">
        <f t="shared" ca="1" si="8"/>
        <v>29060830.736935176</v>
      </c>
    </row>
    <row r="77" spans="1:17" x14ac:dyDescent="0.25">
      <c r="A77" s="3">
        <f>'Monthly Data'!A77</f>
        <v>44287</v>
      </c>
      <c r="B77" s="1">
        <f t="shared" si="6"/>
        <v>2021</v>
      </c>
      <c r="C77" s="1">
        <f t="shared" si="7"/>
        <v>4</v>
      </c>
      <c r="D77" s="268">
        <f>'Monthly Data'!N77</f>
        <v>23588043.487083253</v>
      </c>
      <c r="E77" s="278">
        <f t="shared" ca="1" si="9"/>
        <v>352.41399621212122</v>
      </c>
      <c r="F77" s="278">
        <f t="shared" ca="1" si="9"/>
        <v>5.6420833333333338</v>
      </c>
      <c r="G77" s="278">
        <f>'Monthly Data'!CG77</f>
        <v>0.5</v>
      </c>
      <c r="H77" s="18">
        <f>'Monthly Data'!AL77</f>
        <v>802518</v>
      </c>
      <c r="I77" s="18">
        <f>'Monthly Data'!CD77</f>
        <v>30</v>
      </c>
      <c r="K77" s="18">
        <f>'GS 50-999 Predicted Monthly'!$V$10</f>
        <v>-9326437.7987639103</v>
      </c>
      <c r="L77" s="18">
        <f ca="1">E77*'GS 50-999 Predicted Monthly'!$V$11</f>
        <v>6503753.3447775338</v>
      </c>
      <c r="M77" s="18">
        <f ca="1">F77*'GS 50-999 Predicted Monthly'!$V$12</f>
        <v>162644.01287824113</v>
      </c>
      <c r="N77" s="18">
        <f>G77*'GS 50-999 Predicted Monthly'!$V$13</f>
        <v>-1424872.5632308151</v>
      </c>
      <c r="O77" s="18">
        <f>H77*'GS 50-999 Predicted Monthly'!$V$14</f>
        <v>5759160.3674614187</v>
      </c>
      <c r="P77" s="18">
        <f>I77*'GS 50-999 Predicted Monthly'!$V$15</f>
        <v>23157856.034688119</v>
      </c>
      <c r="Q77" s="18">
        <f t="shared" ca="1" si="8"/>
        <v>24832103.397810586</v>
      </c>
    </row>
    <row r="78" spans="1:17" x14ac:dyDescent="0.25">
      <c r="A78" s="3">
        <f>'Monthly Data'!A78</f>
        <v>44317</v>
      </c>
      <c r="B78" s="1">
        <f t="shared" si="6"/>
        <v>2021</v>
      </c>
      <c r="C78" s="1">
        <f t="shared" si="7"/>
        <v>5</v>
      </c>
      <c r="D78" s="268">
        <f>'Monthly Data'!N78</f>
        <v>23194467.813825011</v>
      </c>
      <c r="E78" s="278">
        <f t="shared" ca="1" si="9"/>
        <v>150.136897859768</v>
      </c>
      <c r="F78" s="278">
        <f t="shared" ca="1" si="9"/>
        <v>86.191046176046171</v>
      </c>
      <c r="G78" s="278">
        <f>'Monthly Data'!CG78</f>
        <v>0.5</v>
      </c>
      <c r="H78" s="18">
        <f>'Monthly Data'!AL78</f>
        <v>802518</v>
      </c>
      <c r="I78" s="18">
        <f>'Monthly Data'!CD78</f>
        <v>31</v>
      </c>
      <c r="K78" s="18">
        <f>'GS 50-999 Predicted Monthly'!$V$10</f>
        <v>-9326437.7987639103</v>
      </c>
      <c r="L78" s="18">
        <f ca="1">E78*'GS 50-999 Predicted Monthly'!$V$11</f>
        <v>2770756.4458996481</v>
      </c>
      <c r="M78" s="18">
        <f ca="1">F78*'GS 50-999 Predicted Monthly'!$V$12</f>
        <v>2484624.3481419561</v>
      </c>
      <c r="N78" s="18">
        <f>G78*'GS 50-999 Predicted Monthly'!$V$13</f>
        <v>-1424872.5632308151</v>
      </c>
      <c r="O78" s="18">
        <f>H78*'GS 50-999 Predicted Monthly'!$V$14</f>
        <v>5759160.3674614187</v>
      </c>
      <c r="P78" s="18">
        <f>I78*'GS 50-999 Predicted Monthly'!$V$15</f>
        <v>23929784.569177721</v>
      </c>
      <c r="Q78" s="18">
        <f t="shared" ca="1" si="8"/>
        <v>24193015.36868602</v>
      </c>
    </row>
    <row r="79" spans="1:17" x14ac:dyDescent="0.25">
      <c r="A79" s="3">
        <f>'Monthly Data'!A79</f>
        <v>44348</v>
      </c>
      <c r="B79" s="1">
        <f t="shared" si="6"/>
        <v>2021</v>
      </c>
      <c r="C79" s="1">
        <f t="shared" si="7"/>
        <v>6</v>
      </c>
      <c r="D79" s="268">
        <f>'Monthly Data'!N79</f>
        <v>25261745.349701807</v>
      </c>
      <c r="E79" s="278">
        <f t="shared" ca="1" si="9"/>
        <v>32.520923826173821</v>
      </c>
      <c r="F79" s="278">
        <f t="shared" ca="1" si="9"/>
        <v>194.94285087738348</v>
      </c>
      <c r="G79" s="278">
        <f>'Monthly Data'!CG79</f>
        <v>0.5</v>
      </c>
      <c r="H79" s="18">
        <f>'Monthly Data'!AL79</f>
        <v>802518</v>
      </c>
      <c r="I79" s="18">
        <f>'Monthly Data'!CD79</f>
        <v>30</v>
      </c>
      <c r="K79" s="18">
        <f>'GS 50-999 Predicted Monthly'!$V$10</f>
        <v>-9326437.7987639103</v>
      </c>
      <c r="L79" s="18">
        <f ca="1">E79*'GS 50-999 Predicted Monthly'!$V$11</f>
        <v>600169.3161540177</v>
      </c>
      <c r="M79" s="18">
        <f ca="1">F79*'GS 50-999 Predicted Monthly'!$V$12</f>
        <v>5619606.3892395888</v>
      </c>
      <c r="N79" s="18">
        <f>G79*'GS 50-999 Predicted Monthly'!$V$13</f>
        <v>-1424872.5632308151</v>
      </c>
      <c r="O79" s="18">
        <f>H79*'GS 50-999 Predicted Monthly'!$V$14</f>
        <v>5759160.3674614187</v>
      </c>
      <c r="P79" s="18">
        <f>I79*'GS 50-999 Predicted Monthly'!$V$15</f>
        <v>23157856.034688119</v>
      </c>
      <c r="Q79" s="18">
        <f t="shared" ca="1" si="8"/>
        <v>24385481.74554842</v>
      </c>
    </row>
    <row r="80" spans="1:17" x14ac:dyDescent="0.25">
      <c r="A80" s="3">
        <f>'Monthly Data'!A80</f>
        <v>44378</v>
      </c>
      <c r="B80" s="1">
        <f t="shared" si="6"/>
        <v>2021</v>
      </c>
      <c r="C80" s="1">
        <f t="shared" si="7"/>
        <v>7</v>
      </c>
      <c r="D80" s="268">
        <f>'Monthly Data'!N80</f>
        <v>26254680.420328796</v>
      </c>
      <c r="E80" s="278">
        <f t="shared" ca="1" si="9"/>
        <v>1.6179166666666653</v>
      </c>
      <c r="F80" s="278">
        <f t="shared" ca="1" si="9"/>
        <v>297.94737858727848</v>
      </c>
      <c r="G80" s="278">
        <f>'Monthly Data'!CG80</f>
        <v>0.5</v>
      </c>
      <c r="H80" s="18">
        <f>'Monthly Data'!AL80</f>
        <v>819564</v>
      </c>
      <c r="I80" s="18">
        <f>'Monthly Data'!CD80</f>
        <v>31</v>
      </c>
      <c r="K80" s="18">
        <f>'GS 50-999 Predicted Monthly'!$V$10</f>
        <v>-9326437.7987639103</v>
      </c>
      <c r="L80" s="18">
        <f ca="1">E80*'GS 50-999 Predicted Monthly'!$V$11</f>
        <v>29858.436513602697</v>
      </c>
      <c r="M80" s="18">
        <f ca="1">F80*'GS 50-999 Predicted Monthly'!$V$12</f>
        <v>8588912.0059057679</v>
      </c>
      <c r="N80" s="18">
        <f>G80*'GS 50-999 Predicted Monthly'!$V$13</f>
        <v>-1424872.5632308151</v>
      </c>
      <c r="O80" s="18">
        <f>H80*'GS 50-999 Predicted Monthly'!$V$14</f>
        <v>5881488.6487258226</v>
      </c>
      <c r="P80" s="18">
        <f>I80*'GS 50-999 Predicted Monthly'!$V$15</f>
        <v>23929784.569177721</v>
      </c>
      <c r="Q80" s="18">
        <f t="shared" ca="1" si="8"/>
        <v>27678733.298328187</v>
      </c>
    </row>
    <row r="81" spans="1:17" x14ac:dyDescent="0.25">
      <c r="A81" s="3">
        <f>'Monthly Data'!A81</f>
        <v>44409</v>
      </c>
      <c r="B81" s="1">
        <f t="shared" si="6"/>
        <v>2021</v>
      </c>
      <c r="C81" s="1">
        <f t="shared" si="7"/>
        <v>8</v>
      </c>
      <c r="D81" s="268">
        <f>'Monthly Data'!N81</f>
        <v>29358064.956607085</v>
      </c>
      <c r="E81" s="278">
        <f t="shared" ca="1" si="9"/>
        <v>5.6499999999999977</v>
      </c>
      <c r="F81" s="278">
        <f t="shared" ca="1" si="9"/>
        <v>272.96558794466404</v>
      </c>
      <c r="G81" s="278">
        <f>'Monthly Data'!CG81</f>
        <v>0.5</v>
      </c>
      <c r="H81" s="18">
        <f>'Monthly Data'!AL81</f>
        <v>819564</v>
      </c>
      <c r="I81" s="18">
        <f>'Monthly Data'!CD81</f>
        <v>31</v>
      </c>
      <c r="K81" s="18">
        <f>'GS 50-999 Predicted Monthly'!$V$10</f>
        <v>-9326437.7987639103</v>
      </c>
      <c r="L81" s="18">
        <f ca="1">E81*'GS 50-999 Predicted Monthly'!$V$11</f>
        <v>104269.99719918949</v>
      </c>
      <c r="M81" s="18">
        <f ca="1">F81*'GS 50-999 Predicted Monthly'!$V$12</f>
        <v>7868763.3588636462</v>
      </c>
      <c r="N81" s="18">
        <f>G81*'GS 50-999 Predicted Monthly'!$V$13</f>
        <v>-1424872.5632308151</v>
      </c>
      <c r="O81" s="18">
        <f>H81*'GS 50-999 Predicted Monthly'!$V$14</f>
        <v>5881488.6487258226</v>
      </c>
      <c r="P81" s="18">
        <f>I81*'GS 50-999 Predicted Monthly'!$V$15</f>
        <v>23929784.569177721</v>
      </c>
      <c r="Q81" s="18">
        <f t="shared" ca="1" si="8"/>
        <v>27032996.211971652</v>
      </c>
    </row>
    <row r="82" spans="1:17" x14ac:dyDescent="0.25">
      <c r="A82" s="3">
        <f>'Monthly Data'!A82</f>
        <v>44440</v>
      </c>
      <c r="B82" s="1">
        <f t="shared" si="6"/>
        <v>2021</v>
      </c>
      <c r="C82" s="1">
        <f t="shared" si="7"/>
        <v>9</v>
      </c>
      <c r="D82" s="268">
        <f>'Monthly Data'!N82</f>
        <v>22123219.809366379</v>
      </c>
      <c r="E82" s="278">
        <f t="shared" ca="1" si="9"/>
        <v>54.959440993788824</v>
      </c>
      <c r="F82" s="278">
        <f t="shared" ca="1" si="9"/>
        <v>158.67014233954447</v>
      </c>
      <c r="G82" s="278">
        <f>'Monthly Data'!CG82</f>
        <v>0.5</v>
      </c>
      <c r="H82" s="18">
        <f>'Monthly Data'!AL82</f>
        <v>819564</v>
      </c>
      <c r="I82" s="18">
        <f>'Monthly Data'!CD82</f>
        <v>30</v>
      </c>
      <c r="K82" s="18">
        <f>'GS 50-999 Predicted Monthly'!$V$10</f>
        <v>-9326437.7987639103</v>
      </c>
      <c r="L82" s="18">
        <f ca="1">E82*'GS 50-999 Predicted Monthly'!$V$11</f>
        <v>1014269.160794935</v>
      </c>
      <c r="M82" s="18">
        <f ca="1">F82*'GS 50-999 Predicted Monthly'!$V$12</f>
        <v>4573975.0991622871</v>
      </c>
      <c r="N82" s="18">
        <f>G82*'GS 50-999 Predicted Monthly'!$V$13</f>
        <v>-1424872.5632308151</v>
      </c>
      <c r="O82" s="18">
        <f>H82*'GS 50-999 Predicted Monthly'!$V$14</f>
        <v>5881488.6487258226</v>
      </c>
      <c r="P82" s="18">
        <f>I82*'GS 50-999 Predicted Monthly'!$V$15</f>
        <v>23157856.034688119</v>
      </c>
      <c r="Q82" s="18">
        <f t="shared" ca="1" si="8"/>
        <v>23876278.581376437</v>
      </c>
    </row>
    <row r="83" spans="1:17" x14ac:dyDescent="0.25">
      <c r="A83" s="3">
        <f>'Monthly Data'!A83</f>
        <v>44470</v>
      </c>
      <c r="B83" s="1">
        <f t="shared" si="6"/>
        <v>2021</v>
      </c>
      <c r="C83" s="1">
        <f t="shared" si="7"/>
        <v>10</v>
      </c>
      <c r="D83" s="268">
        <f>'Monthly Data'!N83</f>
        <v>26526312.140713964</v>
      </c>
      <c r="E83" s="278">
        <f t="shared" ca="1" si="9"/>
        <v>237.89681159420289</v>
      </c>
      <c r="F83" s="278">
        <f t="shared" ca="1" si="9"/>
        <v>35.32833333333334</v>
      </c>
      <c r="G83" s="278">
        <f>'Monthly Data'!CG83</f>
        <v>0.5</v>
      </c>
      <c r="H83" s="18">
        <f>'Monthly Data'!AL83</f>
        <v>838397</v>
      </c>
      <c r="I83" s="18">
        <f>'Monthly Data'!CD83</f>
        <v>31</v>
      </c>
      <c r="K83" s="18">
        <f>'GS 50-999 Predicted Monthly'!$V$10</f>
        <v>-9326437.7987639103</v>
      </c>
      <c r="L83" s="18">
        <f ca="1">E83*'GS 50-999 Predicted Monthly'!$V$11</f>
        <v>4390353.9608183457</v>
      </c>
      <c r="M83" s="18">
        <f ca="1">F83*'GS 50-999 Predicted Monthly'!$V$12</f>
        <v>1018407.8401831704</v>
      </c>
      <c r="N83" s="18">
        <f>G83*'GS 50-999 Predicted Monthly'!$V$13</f>
        <v>-1424872.5632308151</v>
      </c>
      <c r="O83" s="18">
        <f>H83*'GS 50-999 Predicted Monthly'!$V$14</f>
        <v>6016641.0904161036</v>
      </c>
      <c r="P83" s="18">
        <f>I83*'GS 50-999 Predicted Monthly'!$V$15</f>
        <v>23929784.569177721</v>
      </c>
      <c r="Q83" s="18">
        <f t="shared" ca="1" si="8"/>
        <v>24603877.098600615</v>
      </c>
    </row>
    <row r="84" spans="1:17" x14ac:dyDescent="0.25">
      <c r="A84" s="3">
        <f>'Monthly Data'!A84</f>
        <v>44501</v>
      </c>
      <c r="B84" s="1">
        <f t="shared" si="6"/>
        <v>2021</v>
      </c>
      <c r="C84" s="1">
        <f t="shared" si="7"/>
        <v>11</v>
      </c>
      <c r="D84" s="268">
        <f>'Monthly Data'!N84</f>
        <v>26196190.249155696</v>
      </c>
      <c r="E84" s="278">
        <f t="shared" ca="1" si="9"/>
        <v>426.62991389045737</v>
      </c>
      <c r="F84" s="278">
        <f t="shared" ca="1" si="9"/>
        <v>2.2779166666666657</v>
      </c>
      <c r="G84" s="278">
        <f>'Monthly Data'!CG84</f>
        <v>0.5</v>
      </c>
      <c r="H84" s="18">
        <f>'Monthly Data'!AL84</f>
        <v>838397</v>
      </c>
      <c r="I84" s="18">
        <f>'Monthly Data'!CD84</f>
        <v>30</v>
      </c>
      <c r="K84" s="18">
        <f>'GS 50-999 Predicted Monthly'!$V$10</f>
        <v>-9326437.7987639103</v>
      </c>
      <c r="L84" s="18">
        <f ca="1">E84*'GS 50-999 Predicted Monthly'!$V$11</f>
        <v>7873398.2170705236</v>
      </c>
      <c r="M84" s="18">
        <f ca="1">F84*'GS 50-999 Predicted Monthly'!$V$12</f>
        <v>65665.373192921048</v>
      </c>
      <c r="N84" s="18">
        <f>G84*'GS 50-999 Predicted Monthly'!$V$13</f>
        <v>-1424872.5632308151</v>
      </c>
      <c r="O84" s="18">
        <f>H84*'GS 50-999 Predicted Monthly'!$V$14</f>
        <v>6016641.0904161036</v>
      </c>
      <c r="P84" s="18">
        <f>I84*'GS 50-999 Predicted Monthly'!$V$15</f>
        <v>23157856.034688119</v>
      </c>
      <c r="Q84" s="18">
        <f t="shared" ca="1" si="8"/>
        <v>26362250.353372943</v>
      </c>
    </row>
    <row r="85" spans="1:17" x14ac:dyDescent="0.25">
      <c r="A85" s="3">
        <f>'Monthly Data'!A85</f>
        <v>44531</v>
      </c>
      <c r="B85" s="1">
        <f t="shared" si="6"/>
        <v>2021</v>
      </c>
      <c r="C85" s="1">
        <f t="shared" si="7"/>
        <v>12</v>
      </c>
      <c r="D85" s="268">
        <f>'Monthly Data'!N85</f>
        <v>31130519.465445086</v>
      </c>
      <c r="E85" s="278">
        <f t="shared" ca="1" si="9"/>
        <v>577.92800724637686</v>
      </c>
      <c r="F85" s="278">
        <f t="shared" ca="1" si="9"/>
        <v>0</v>
      </c>
      <c r="G85" s="278">
        <f>'Monthly Data'!CG85</f>
        <v>0.5</v>
      </c>
      <c r="H85" s="18">
        <f>'Monthly Data'!AL85</f>
        <v>838397</v>
      </c>
      <c r="I85" s="18">
        <f>'Monthly Data'!CD85</f>
        <v>31</v>
      </c>
      <c r="K85" s="18">
        <f>'GS 50-999 Predicted Monthly'!$V$10</f>
        <v>-9326437.7987639103</v>
      </c>
      <c r="L85" s="18">
        <f ca="1">E85*'GS 50-999 Predicted Monthly'!$V$11</f>
        <v>10665584.371135026</v>
      </c>
      <c r="M85" s="18">
        <f ca="1">F85*'GS 50-999 Predicted Monthly'!$V$12</f>
        <v>0</v>
      </c>
      <c r="N85" s="18">
        <f>G85*'GS 50-999 Predicted Monthly'!$V$13</f>
        <v>-1424872.5632308151</v>
      </c>
      <c r="O85" s="18">
        <f>H85*'GS 50-999 Predicted Monthly'!$V$14</f>
        <v>6016641.0904161036</v>
      </c>
      <c r="P85" s="18">
        <f>I85*'GS 50-999 Predicted Monthly'!$V$15</f>
        <v>23929784.569177721</v>
      </c>
      <c r="Q85" s="18">
        <f t="shared" ca="1" si="8"/>
        <v>29860699.668734126</v>
      </c>
    </row>
    <row r="86" spans="1:17" x14ac:dyDescent="0.25">
      <c r="A86" s="3">
        <f>'Monthly Data'!A86</f>
        <v>44562</v>
      </c>
      <c r="B86" s="1">
        <f t="shared" si="6"/>
        <v>2022</v>
      </c>
      <c r="C86" s="1">
        <f t="shared" si="7"/>
        <v>1</v>
      </c>
      <c r="D86" s="268">
        <f>'Monthly Data'!N86</f>
        <v>35142313.8818653</v>
      </c>
      <c r="E86" s="278">
        <f t="shared" ca="1" si="9"/>
        <v>697.33418478260876</v>
      </c>
      <c r="F86" s="278">
        <f t="shared" ca="1" si="9"/>
        <v>0</v>
      </c>
      <c r="G86" s="278">
        <f>'Monthly Data'!CG86</f>
        <v>0.25</v>
      </c>
      <c r="H86" s="18">
        <f>'Monthly Data'!AL86</f>
        <v>845218</v>
      </c>
      <c r="I86" s="18">
        <f>'Monthly Data'!CD86</f>
        <v>31</v>
      </c>
      <c r="K86" s="18">
        <f>'GS 50-999 Predicted Monthly'!$V$10</f>
        <v>-9326437.7987639103</v>
      </c>
      <c r="L86" s="18">
        <f ca="1">E86*'GS 50-999 Predicted Monthly'!$V$11</f>
        <v>12869209.467996765</v>
      </c>
      <c r="M86" s="18">
        <f ca="1">F86*'GS 50-999 Predicted Monthly'!$V$12</f>
        <v>0</v>
      </c>
      <c r="N86" s="18">
        <f>G86*'GS 50-999 Predicted Monthly'!$V$13</f>
        <v>-712436.28161540756</v>
      </c>
      <c r="O86" s="18">
        <f>H86*'GS 50-999 Predicted Monthly'!$V$14</f>
        <v>6065591.0614652941</v>
      </c>
      <c r="P86" s="18">
        <f>I86*'GS 50-999 Predicted Monthly'!$V$15</f>
        <v>23929784.569177721</v>
      </c>
      <c r="Q86" s="18">
        <f t="shared" ca="1" si="8"/>
        <v>32825711.018260464</v>
      </c>
    </row>
    <row r="87" spans="1:17" x14ac:dyDescent="0.25">
      <c r="A87" s="3">
        <f>'Monthly Data'!A87</f>
        <v>44593</v>
      </c>
      <c r="B87" s="1">
        <f t="shared" si="6"/>
        <v>2022</v>
      </c>
      <c r="C87" s="1">
        <f t="shared" si="7"/>
        <v>2</v>
      </c>
      <c r="D87" s="268">
        <f>'Monthly Data'!N87</f>
        <v>33372096.669579025</v>
      </c>
      <c r="E87" s="278">
        <f t="shared" ca="1" si="9"/>
        <v>624.25501811594188</v>
      </c>
      <c r="F87" s="278">
        <f t="shared" ca="1" si="9"/>
        <v>0</v>
      </c>
      <c r="G87" s="278">
        <f>'Monthly Data'!CG87</f>
        <v>0.25</v>
      </c>
      <c r="H87" s="18">
        <f>'Monthly Data'!AL87</f>
        <v>845218</v>
      </c>
      <c r="I87" s="18">
        <f>'Monthly Data'!CD87</f>
        <v>28</v>
      </c>
      <c r="K87" s="18">
        <f>'GS 50-999 Predicted Monthly'!$V$10</f>
        <v>-9326437.7987639103</v>
      </c>
      <c r="L87" s="18">
        <f ca="1">E87*'GS 50-999 Predicted Monthly'!$V$11</f>
        <v>11520543.184164472</v>
      </c>
      <c r="M87" s="18">
        <f ca="1">F87*'GS 50-999 Predicted Monthly'!$V$12</f>
        <v>0</v>
      </c>
      <c r="N87" s="18">
        <f>G87*'GS 50-999 Predicted Monthly'!$V$13</f>
        <v>-712436.28161540756</v>
      </c>
      <c r="O87" s="18">
        <f>H87*'GS 50-999 Predicted Monthly'!$V$14</f>
        <v>6065591.0614652941</v>
      </c>
      <c r="P87" s="18">
        <f>I87*'GS 50-999 Predicted Monthly'!$V$15</f>
        <v>21613998.965708911</v>
      </c>
      <c r="Q87" s="18">
        <f t="shared" ca="1" si="8"/>
        <v>29161259.130959362</v>
      </c>
    </row>
    <row r="88" spans="1:17" x14ac:dyDescent="0.25">
      <c r="A88" s="3">
        <f>'Monthly Data'!A88</f>
        <v>44621</v>
      </c>
      <c r="B88" s="1">
        <f t="shared" si="6"/>
        <v>2022</v>
      </c>
      <c r="C88" s="1">
        <f t="shared" si="7"/>
        <v>3</v>
      </c>
      <c r="D88" s="268">
        <f>'Monthly Data'!N88</f>
        <v>30259532.358253561</v>
      </c>
      <c r="E88" s="278">
        <f t="shared" ca="1" si="9"/>
        <v>546.13298913043491</v>
      </c>
      <c r="F88" s="278">
        <f t="shared" ca="1" si="9"/>
        <v>2.9583333333332896E-2</v>
      </c>
      <c r="G88" s="278">
        <f>'Monthly Data'!CG88</f>
        <v>0.25</v>
      </c>
      <c r="H88" s="18">
        <f>'Monthly Data'!AL88</f>
        <v>845218</v>
      </c>
      <c r="I88" s="18">
        <f>'Monthly Data'!CD88</f>
        <v>31</v>
      </c>
      <c r="K88" s="18">
        <f>'GS 50-999 Predicted Monthly'!$V$10</f>
        <v>-9326437.7987639103</v>
      </c>
      <c r="L88" s="18">
        <f ca="1">E88*'GS 50-999 Predicted Monthly'!$V$11</f>
        <v>10078811.548144327</v>
      </c>
      <c r="M88" s="18">
        <f ca="1">F88*'GS 50-999 Predicted Monthly'!$V$12</f>
        <v>852.79705445350771</v>
      </c>
      <c r="N88" s="18">
        <f>G88*'GS 50-999 Predicted Monthly'!$V$13</f>
        <v>-712436.28161540756</v>
      </c>
      <c r="O88" s="18">
        <f>H88*'GS 50-999 Predicted Monthly'!$V$14</f>
        <v>6065591.0614652941</v>
      </c>
      <c r="P88" s="18">
        <f>I88*'GS 50-999 Predicted Monthly'!$V$15</f>
        <v>23929784.569177721</v>
      </c>
      <c r="Q88" s="18">
        <f t="shared" ca="1" si="8"/>
        <v>30036165.895462476</v>
      </c>
    </row>
    <row r="89" spans="1:17" x14ac:dyDescent="0.25">
      <c r="A89" s="3">
        <f>'Monthly Data'!A89</f>
        <v>44652</v>
      </c>
      <c r="B89" s="1">
        <f t="shared" si="6"/>
        <v>2022</v>
      </c>
      <c r="C89" s="1">
        <f t="shared" si="7"/>
        <v>4</v>
      </c>
      <c r="D89" s="268">
        <f>'Monthly Data'!N89</f>
        <v>27480122.684585173</v>
      </c>
      <c r="E89" s="278">
        <f t="shared" ca="1" si="9"/>
        <v>352.41399621212122</v>
      </c>
      <c r="F89" s="278">
        <f t="shared" ca="1" si="9"/>
        <v>5.6420833333333338</v>
      </c>
      <c r="G89" s="278">
        <f>'Monthly Data'!CG89</f>
        <v>0.25</v>
      </c>
      <c r="H89" s="18">
        <f>'Monthly Data'!AL89</f>
        <v>851621</v>
      </c>
      <c r="I89" s="18">
        <f>'Monthly Data'!CD89</f>
        <v>30</v>
      </c>
      <c r="K89" s="18">
        <f>'GS 50-999 Predicted Monthly'!$V$10</f>
        <v>-9326437.7987639103</v>
      </c>
      <c r="L89" s="18">
        <f ca="1">E89*'GS 50-999 Predicted Monthly'!$V$11</f>
        <v>6503753.3447775338</v>
      </c>
      <c r="M89" s="18">
        <f ca="1">F89*'GS 50-999 Predicted Monthly'!$V$12</f>
        <v>162644.01287824113</v>
      </c>
      <c r="N89" s="18">
        <f>G89*'GS 50-999 Predicted Monthly'!$V$13</f>
        <v>-712436.28161540756</v>
      </c>
      <c r="O89" s="18">
        <f>H89*'GS 50-999 Predicted Monthly'!$V$14</f>
        <v>6111541.3128401609</v>
      </c>
      <c r="P89" s="18">
        <f>I89*'GS 50-999 Predicted Monthly'!$V$15</f>
        <v>23157856.034688119</v>
      </c>
      <c r="Q89" s="18">
        <f t="shared" ca="1" si="8"/>
        <v>25896920.624804735</v>
      </c>
    </row>
    <row r="90" spans="1:17" x14ac:dyDescent="0.25">
      <c r="A90" s="3">
        <f>'Monthly Data'!A90</f>
        <v>44682</v>
      </c>
      <c r="B90" s="1">
        <f t="shared" si="6"/>
        <v>2022</v>
      </c>
      <c r="C90" s="1">
        <f t="shared" si="7"/>
        <v>5</v>
      </c>
      <c r="D90" s="268">
        <f>'Monthly Data'!N90</f>
        <v>25718021.413816359</v>
      </c>
      <c r="E90" s="278">
        <f t="shared" ca="1" si="9"/>
        <v>150.136897859768</v>
      </c>
      <c r="F90" s="278">
        <f t="shared" ca="1" si="9"/>
        <v>86.191046176046171</v>
      </c>
      <c r="G90" s="278">
        <f>'Monthly Data'!CG90</f>
        <v>0.25</v>
      </c>
      <c r="H90" s="18">
        <f>'Monthly Data'!AL90</f>
        <v>851621</v>
      </c>
      <c r="I90" s="18">
        <f>'Monthly Data'!CD90</f>
        <v>31</v>
      </c>
      <c r="K90" s="18">
        <f>'GS 50-999 Predicted Monthly'!$V$10</f>
        <v>-9326437.7987639103</v>
      </c>
      <c r="L90" s="18">
        <f ca="1">E90*'GS 50-999 Predicted Monthly'!$V$11</f>
        <v>2770756.4458996481</v>
      </c>
      <c r="M90" s="18">
        <f ca="1">F90*'GS 50-999 Predicted Monthly'!$V$12</f>
        <v>2484624.3481419561</v>
      </c>
      <c r="N90" s="18">
        <f>G90*'GS 50-999 Predicted Monthly'!$V$13</f>
        <v>-712436.28161540756</v>
      </c>
      <c r="O90" s="18">
        <f>H90*'GS 50-999 Predicted Monthly'!$V$14</f>
        <v>6111541.3128401609</v>
      </c>
      <c r="P90" s="18">
        <f>I90*'GS 50-999 Predicted Monthly'!$V$15</f>
        <v>23929784.569177721</v>
      </c>
      <c r="Q90" s="18">
        <f t="shared" ca="1" si="8"/>
        <v>25257832.59568017</v>
      </c>
    </row>
    <row r="91" spans="1:17" x14ac:dyDescent="0.25">
      <c r="A91" s="3">
        <f>'Monthly Data'!A91</f>
        <v>44713</v>
      </c>
      <c r="B91" s="1">
        <f t="shared" si="6"/>
        <v>2022</v>
      </c>
      <c r="C91" s="1">
        <f t="shared" si="7"/>
        <v>6</v>
      </c>
      <c r="D91" s="268">
        <f>'Monthly Data'!N91</f>
        <v>26994738.159102611</v>
      </c>
      <c r="E91" s="278">
        <f t="shared" ca="1" si="9"/>
        <v>32.520923826173821</v>
      </c>
      <c r="F91" s="278">
        <f t="shared" ca="1" si="9"/>
        <v>194.94285087738348</v>
      </c>
      <c r="G91" s="278">
        <f>'Monthly Data'!CG91</f>
        <v>0.25</v>
      </c>
      <c r="H91" s="18">
        <f>'Monthly Data'!AL91</f>
        <v>851621</v>
      </c>
      <c r="I91" s="18">
        <f>'Monthly Data'!CD91</f>
        <v>30</v>
      </c>
      <c r="K91" s="18">
        <f>'GS 50-999 Predicted Monthly'!$V$10</f>
        <v>-9326437.7987639103</v>
      </c>
      <c r="L91" s="18">
        <f ca="1">E91*'GS 50-999 Predicted Monthly'!$V$11</f>
        <v>600169.3161540177</v>
      </c>
      <c r="M91" s="18">
        <f ca="1">F91*'GS 50-999 Predicted Monthly'!$V$12</f>
        <v>5619606.3892395888</v>
      </c>
      <c r="N91" s="18">
        <f>G91*'GS 50-999 Predicted Monthly'!$V$13</f>
        <v>-712436.28161540756</v>
      </c>
      <c r="O91" s="18">
        <f>H91*'GS 50-999 Predicted Monthly'!$V$14</f>
        <v>6111541.3128401609</v>
      </c>
      <c r="P91" s="18">
        <f>I91*'GS 50-999 Predicted Monthly'!$V$15</f>
        <v>23157856.034688119</v>
      </c>
      <c r="Q91" s="18">
        <f t="shared" ca="1" si="8"/>
        <v>25450298.972542569</v>
      </c>
    </row>
    <row r="92" spans="1:17" x14ac:dyDescent="0.25">
      <c r="A92" s="3">
        <f>'Monthly Data'!A92</f>
        <v>44743</v>
      </c>
      <c r="B92" s="1">
        <f t="shared" si="6"/>
        <v>2022</v>
      </c>
      <c r="C92" s="1">
        <f t="shared" si="7"/>
        <v>7</v>
      </c>
      <c r="D92" s="268">
        <f>'Monthly Data'!N92</f>
        <v>30437331.985723536</v>
      </c>
      <c r="E92" s="278">
        <f t="shared" ca="1" si="9"/>
        <v>1.6179166666666653</v>
      </c>
      <c r="F92" s="278">
        <f t="shared" ca="1" si="9"/>
        <v>297.94737858727848</v>
      </c>
      <c r="G92" s="278">
        <f>'Monthly Data'!CG92</f>
        <v>0.25</v>
      </c>
      <c r="H92" s="18">
        <f>'Monthly Data'!AL92</f>
        <v>852979</v>
      </c>
      <c r="I92" s="18">
        <f>'Monthly Data'!CD92</f>
        <v>31</v>
      </c>
      <c r="K92" s="18">
        <f>'GS 50-999 Predicted Monthly'!$V$10</f>
        <v>-9326437.7987639103</v>
      </c>
      <c r="L92" s="18">
        <f ca="1">E92*'GS 50-999 Predicted Monthly'!$V$11</f>
        <v>29858.436513602697</v>
      </c>
      <c r="M92" s="18">
        <f ca="1">F92*'GS 50-999 Predicted Monthly'!$V$12</f>
        <v>8588912.0059057679</v>
      </c>
      <c r="N92" s="18">
        <f>G92*'GS 50-999 Predicted Monthly'!$V$13</f>
        <v>-712436.28161540756</v>
      </c>
      <c r="O92" s="18">
        <f>H92*'GS 50-999 Predicted Monthly'!$V$14</f>
        <v>6121286.813600284</v>
      </c>
      <c r="P92" s="18">
        <f>I92*'GS 50-999 Predicted Monthly'!$V$15</f>
        <v>23929784.569177721</v>
      </c>
      <c r="Q92" s="18">
        <f t="shared" ca="1" si="8"/>
        <v>28630967.744818058</v>
      </c>
    </row>
    <row r="93" spans="1:17" x14ac:dyDescent="0.25">
      <c r="A93" s="3">
        <f>'Monthly Data'!A93</f>
        <v>44774</v>
      </c>
      <c r="B93" s="1">
        <f t="shared" si="6"/>
        <v>2022</v>
      </c>
      <c r="C93" s="1">
        <f t="shared" si="7"/>
        <v>8</v>
      </c>
      <c r="D93" s="268">
        <f>'Monthly Data'!N93</f>
        <v>28209659.303995032</v>
      </c>
      <c r="E93" s="278">
        <f t="shared" ca="1" si="9"/>
        <v>5.6499999999999977</v>
      </c>
      <c r="F93" s="278">
        <f t="shared" ca="1" si="9"/>
        <v>272.96558794466404</v>
      </c>
      <c r="G93" s="278">
        <f>'Monthly Data'!CG93</f>
        <v>0.25</v>
      </c>
      <c r="H93" s="18">
        <f>'Monthly Data'!AL93</f>
        <v>852979</v>
      </c>
      <c r="I93" s="18">
        <f>'Monthly Data'!CD93</f>
        <v>31</v>
      </c>
      <c r="K93" s="18">
        <f>'GS 50-999 Predicted Monthly'!$V$10</f>
        <v>-9326437.7987639103</v>
      </c>
      <c r="L93" s="18">
        <f ca="1">E93*'GS 50-999 Predicted Monthly'!$V$11</f>
        <v>104269.99719918949</v>
      </c>
      <c r="M93" s="18">
        <f ca="1">F93*'GS 50-999 Predicted Monthly'!$V$12</f>
        <v>7868763.3588636462</v>
      </c>
      <c r="N93" s="18">
        <f>G93*'GS 50-999 Predicted Monthly'!$V$13</f>
        <v>-712436.28161540756</v>
      </c>
      <c r="O93" s="18">
        <f>H93*'GS 50-999 Predicted Monthly'!$V$14</f>
        <v>6121286.813600284</v>
      </c>
      <c r="P93" s="18">
        <f>I93*'GS 50-999 Predicted Monthly'!$V$15</f>
        <v>23929784.569177721</v>
      </c>
      <c r="Q93" s="18">
        <f t="shared" ca="1" si="8"/>
        <v>27985230.658461522</v>
      </c>
    </row>
    <row r="94" spans="1:17" x14ac:dyDescent="0.25">
      <c r="A94" s="3">
        <f>'Monthly Data'!A94</f>
        <v>44805</v>
      </c>
      <c r="B94" s="1">
        <f t="shared" si="6"/>
        <v>2022</v>
      </c>
      <c r="C94" s="1">
        <f t="shared" si="7"/>
        <v>9</v>
      </c>
      <c r="D94" s="268">
        <f>'Monthly Data'!N94</f>
        <v>27443738.433949891</v>
      </c>
      <c r="E94" s="278">
        <f t="shared" ref="E94:F113" ca="1" si="10">E82</f>
        <v>54.959440993788824</v>
      </c>
      <c r="F94" s="278">
        <f t="shared" ca="1" si="10"/>
        <v>158.67014233954447</v>
      </c>
      <c r="G94" s="278">
        <f>'Monthly Data'!CG94</f>
        <v>0.25</v>
      </c>
      <c r="H94" s="18">
        <f>'Monthly Data'!AL94</f>
        <v>852979</v>
      </c>
      <c r="I94" s="18">
        <f>'Monthly Data'!CD94</f>
        <v>30</v>
      </c>
      <c r="K94" s="18">
        <f>'GS 50-999 Predicted Monthly'!$V$10</f>
        <v>-9326437.7987639103</v>
      </c>
      <c r="L94" s="18">
        <f ca="1">E94*'GS 50-999 Predicted Monthly'!$V$11</f>
        <v>1014269.160794935</v>
      </c>
      <c r="M94" s="18">
        <f ca="1">F94*'GS 50-999 Predicted Monthly'!$V$12</f>
        <v>4573975.0991622871</v>
      </c>
      <c r="N94" s="18">
        <f>G94*'GS 50-999 Predicted Monthly'!$V$13</f>
        <v>-712436.28161540756</v>
      </c>
      <c r="O94" s="18">
        <f>H94*'GS 50-999 Predicted Monthly'!$V$14</f>
        <v>6121286.813600284</v>
      </c>
      <c r="P94" s="18">
        <f>I94*'GS 50-999 Predicted Monthly'!$V$15</f>
        <v>23157856.034688119</v>
      </c>
      <c r="Q94" s="18">
        <f t="shared" ca="1" si="8"/>
        <v>24828513.027866308</v>
      </c>
    </row>
    <row r="95" spans="1:17" x14ac:dyDescent="0.25">
      <c r="A95" s="3">
        <f>'Monthly Data'!A95</f>
        <v>44835</v>
      </c>
      <c r="B95" s="1">
        <f t="shared" si="6"/>
        <v>2022</v>
      </c>
      <c r="C95" s="1">
        <f t="shared" si="7"/>
        <v>10</v>
      </c>
      <c r="D95" s="268">
        <f>'Monthly Data'!N95</f>
        <v>26694582.901064809</v>
      </c>
      <c r="E95" s="278">
        <f t="shared" ca="1" si="10"/>
        <v>237.89681159420289</v>
      </c>
      <c r="F95" s="278">
        <f t="shared" ca="1" si="10"/>
        <v>35.32833333333334</v>
      </c>
      <c r="G95" s="278">
        <f>'Monthly Data'!CG95</f>
        <v>0.25</v>
      </c>
      <c r="H95" s="18">
        <f>'Monthly Data'!AL95</f>
        <v>852029</v>
      </c>
      <c r="I95" s="18">
        <f>'Monthly Data'!CD95</f>
        <v>31</v>
      </c>
      <c r="K95" s="18">
        <f>'GS 50-999 Predicted Monthly'!$V$10</f>
        <v>-9326437.7987639103</v>
      </c>
      <c r="L95" s="18">
        <f ca="1">E95*'GS 50-999 Predicted Monthly'!$V$11</f>
        <v>4390353.9608183457</v>
      </c>
      <c r="M95" s="18">
        <f ca="1">F95*'GS 50-999 Predicted Monthly'!$V$12</f>
        <v>1018407.8401831704</v>
      </c>
      <c r="N95" s="18">
        <f>G95*'GS 50-999 Predicted Monthly'!$V$13</f>
        <v>-712436.28161540756</v>
      </c>
      <c r="O95" s="18">
        <f>H95*'GS 50-999 Predicted Monthly'!$V$14</f>
        <v>6114469.2688859124</v>
      </c>
      <c r="P95" s="18">
        <f>I95*'GS 50-999 Predicted Monthly'!$V$15</f>
        <v>23929784.569177721</v>
      </c>
      <c r="Q95" s="18">
        <f t="shared" ca="1" si="8"/>
        <v>25414141.558685832</v>
      </c>
    </row>
    <row r="96" spans="1:17" x14ac:dyDescent="0.25">
      <c r="A96" s="3">
        <f>'Monthly Data'!A96</f>
        <v>44866</v>
      </c>
      <c r="B96" s="1">
        <f t="shared" si="6"/>
        <v>2022</v>
      </c>
      <c r="C96" s="1">
        <f t="shared" si="7"/>
        <v>11</v>
      </c>
      <c r="D96" s="268">
        <f>'Monthly Data'!N96</f>
        <v>27218650.297496051</v>
      </c>
      <c r="E96" s="278">
        <f t="shared" ca="1" si="10"/>
        <v>426.62991389045737</v>
      </c>
      <c r="F96" s="278">
        <f t="shared" ca="1" si="10"/>
        <v>2.2779166666666657</v>
      </c>
      <c r="G96" s="278">
        <f>'Monthly Data'!CG96</f>
        <v>0.25</v>
      </c>
      <c r="H96" s="18">
        <f>'Monthly Data'!AL96</f>
        <v>852029</v>
      </c>
      <c r="I96" s="18">
        <f>'Monthly Data'!CD96</f>
        <v>30</v>
      </c>
      <c r="K96" s="18">
        <f>'GS 50-999 Predicted Monthly'!$V$10</f>
        <v>-9326437.7987639103</v>
      </c>
      <c r="L96" s="18">
        <f ca="1">E96*'GS 50-999 Predicted Monthly'!$V$11</f>
        <v>7873398.2170705236</v>
      </c>
      <c r="M96" s="18">
        <f ca="1">F96*'GS 50-999 Predicted Monthly'!$V$12</f>
        <v>65665.373192921048</v>
      </c>
      <c r="N96" s="18">
        <f>G96*'GS 50-999 Predicted Monthly'!$V$13</f>
        <v>-712436.28161540756</v>
      </c>
      <c r="O96" s="18">
        <f>H96*'GS 50-999 Predicted Monthly'!$V$14</f>
        <v>6114469.2688859124</v>
      </c>
      <c r="P96" s="18">
        <f>I96*'GS 50-999 Predicted Monthly'!$V$15</f>
        <v>23157856.034688119</v>
      </c>
      <c r="Q96" s="18">
        <f t="shared" ca="1" si="8"/>
        <v>27172514.81345816</v>
      </c>
    </row>
    <row r="97" spans="1:20" x14ac:dyDescent="0.25">
      <c r="A97" s="3">
        <f>'Monthly Data'!A97</f>
        <v>44896</v>
      </c>
      <c r="B97" s="1">
        <f t="shared" si="6"/>
        <v>2022</v>
      </c>
      <c r="C97" s="1">
        <f t="shared" si="7"/>
        <v>12</v>
      </c>
      <c r="D97" s="268">
        <f>'Monthly Data'!N97</f>
        <v>33213275.661935754</v>
      </c>
      <c r="E97" s="278">
        <f t="shared" ca="1" si="10"/>
        <v>577.92800724637686</v>
      </c>
      <c r="F97" s="278">
        <f t="shared" ca="1" si="10"/>
        <v>0</v>
      </c>
      <c r="G97" s="278">
        <f>'Monthly Data'!CG97</f>
        <v>0.25</v>
      </c>
      <c r="H97" s="18">
        <f>'Monthly Data'!AL97</f>
        <v>852029</v>
      </c>
      <c r="I97" s="18">
        <f>'Monthly Data'!CD97</f>
        <v>31</v>
      </c>
      <c r="K97" s="18">
        <f>'GS 50-999 Predicted Monthly'!$V$10</f>
        <v>-9326437.7987639103</v>
      </c>
      <c r="L97" s="18">
        <f ca="1">E97*'GS 50-999 Predicted Monthly'!$V$11</f>
        <v>10665584.371135026</v>
      </c>
      <c r="M97" s="18">
        <f ca="1">F97*'GS 50-999 Predicted Monthly'!$V$12</f>
        <v>0</v>
      </c>
      <c r="N97" s="18">
        <f>G97*'GS 50-999 Predicted Monthly'!$V$13</f>
        <v>-712436.28161540756</v>
      </c>
      <c r="O97" s="18">
        <f>H97*'GS 50-999 Predicted Monthly'!$V$14</f>
        <v>6114469.2688859124</v>
      </c>
      <c r="P97" s="18">
        <f>I97*'GS 50-999 Predicted Monthly'!$V$15</f>
        <v>23929784.569177721</v>
      </c>
      <c r="Q97" s="18">
        <f t="shared" ca="1" si="8"/>
        <v>30670964.128819343</v>
      </c>
    </row>
    <row r="98" spans="1:20" x14ac:dyDescent="0.25">
      <c r="A98" s="3">
        <f>'Monthly Data'!A98</f>
        <v>44927</v>
      </c>
      <c r="B98" s="1">
        <f t="shared" si="6"/>
        <v>2023</v>
      </c>
      <c r="C98" s="1">
        <f t="shared" si="7"/>
        <v>1</v>
      </c>
      <c r="D98" s="268">
        <f>'Monthly Data'!N98</f>
        <v>33636244.995981395</v>
      </c>
      <c r="E98" s="278">
        <f t="shared" ca="1" si="10"/>
        <v>697.33418478260876</v>
      </c>
      <c r="F98" s="278">
        <f t="shared" ca="1" si="10"/>
        <v>0</v>
      </c>
      <c r="G98" s="278">
        <f>'Monthly Data'!CG98</f>
        <v>0</v>
      </c>
      <c r="H98" s="18">
        <f>'Monthly Data'!AL98</f>
        <v>860658</v>
      </c>
      <c r="I98" s="18">
        <f>'Monthly Data'!CD98</f>
        <v>31</v>
      </c>
      <c r="K98" s="18">
        <f>'GS 50-999 Predicted Monthly'!$V$10</f>
        <v>-9326437.7987639103</v>
      </c>
      <c r="L98" s="18">
        <f ca="1">E98*'GS 50-999 Predicted Monthly'!$V$11</f>
        <v>12869209.467996765</v>
      </c>
      <c r="M98" s="18">
        <f ca="1">F98*'GS 50-999 Predicted Monthly'!$V$12</f>
        <v>0</v>
      </c>
      <c r="N98" s="18">
        <f>G98*'GS 50-999 Predicted Monthly'!$V$13</f>
        <v>0</v>
      </c>
      <c r="O98" s="18">
        <f>H98*'GS 50-999 Predicted Monthly'!$V$14</f>
        <v>6176394.1039809817</v>
      </c>
      <c r="P98" s="18">
        <f>I98*'GS 50-999 Predicted Monthly'!$V$15</f>
        <v>23929784.569177721</v>
      </c>
      <c r="Q98" s="18">
        <f t="shared" ca="1" si="8"/>
        <v>33648950.342391558</v>
      </c>
    </row>
    <row r="99" spans="1:20" x14ac:dyDescent="0.25">
      <c r="A99" s="3">
        <f>'Monthly Data'!A99</f>
        <v>44958</v>
      </c>
      <c r="B99" s="1">
        <f t="shared" si="6"/>
        <v>2023</v>
      </c>
      <c r="C99" s="1">
        <f t="shared" si="7"/>
        <v>2</v>
      </c>
      <c r="D99" s="268">
        <f>'Monthly Data'!N99</f>
        <v>29200478.524304185</v>
      </c>
      <c r="E99" s="278">
        <f t="shared" ca="1" si="10"/>
        <v>624.25501811594188</v>
      </c>
      <c r="F99" s="278">
        <f t="shared" ca="1" si="10"/>
        <v>0</v>
      </c>
      <c r="G99" s="278">
        <f>'Monthly Data'!CG99</f>
        <v>0</v>
      </c>
      <c r="H99" s="18">
        <f>'Monthly Data'!AL99</f>
        <v>860658</v>
      </c>
      <c r="I99" s="18">
        <f>'Monthly Data'!CD99</f>
        <v>28</v>
      </c>
      <c r="K99" s="18">
        <f>'GS 50-999 Predicted Monthly'!$V$10</f>
        <v>-9326437.7987639103</v>
      </c>
      <c r="L99" s="18">
        <f ca="1">E99*'GS 50-999 Predicted Monthly'!$V$11</f>
        <v>11520543.184164472</v>
      </c>
      <c r="M99" s="18">
        <f ca="1">F99*'GS 50-999 Predicted Monthly'!$V$12</f>
        <v>0</v>
      </c>
      <c r="N99" s="18">
        <f>G99*'GS 50-999 Predicted Monthly'!$V$13</f>
        <v>0</v>
      </c>
      <c r="O99" s="18">
        <f>H99*'GS 50-999 Predicted Monthly'!$V$14</f>
        <v>6176394.1039809817</v>
      </c>
      <c r="P99" s="18">
        <f>I99*'GS 50-999 Predicted Monthly'!$V$15</f>
        <v>21613998.965708911</v>
      </c>
      <c r="Q99" s="18">
        <f t="shared" ca="1" si="8"/>
        <v>29984498.455090456</v>
      </c>
    </row>
    <row r="100" spans="1:20" x14ac:dyDescent="0.25">
      <c r="A100" s="3">
        <f>'Monthly Data'!A100</f>
        <v>44986</v>
      </c>
      <c r="B100" s="1">
        <f t="shared" si="6"/>
        <v>2023</v>
      </c>
      <c r="C100" s="1">
        <f t="shared" si="7"/>
        <v>3</v>
      </c>
      <c r="D100" s="268">
        <f>'Monthly Data'!N100</f>
        <v>28885241.896434542</v>
      </c>
      <c r="E100" s="278">
        <f t="shared" ca="1" si="10"/>
        <v>546.13298913043491</v>
      </c>
      <c r="F100" s="278">
        <f t="shared" ca="1" si="10"/>
        <v>2.9583333333332896E-2</v>
      </c>
      <c r="G100" s="278">
        <f>'Monthly Data'!CG100</f>
        <v>0</v>
      </c>
      <c r="H100" s="18">
        <f>'Monthly Data'!AL100</f>
        <v>860658</v>
      </c>
      <c r="I100" s="18">
        <f>'Monthly Data'!CD100</f>
        <v>31</v>
      </c>
      <c r="K100" s="18">
        <f>'GS 50-999 Predicted Monthly'!$V$10</f>
        <v>-9326437.7987639103</v>
      </c>
      <c r="L100" s="18">
        <f ca="1">E100*'GS 50-999 Predicted Monthly'!$V$11</f>
        <v>10078811.548144327</v>
      </c>
      <c r="M100" s="18">
        <f ca="1">F100*'GS 50-999 Predicted Monthly'!$V$12</f>
        <v>852.79705445350771</v>
      </c>
      <c r="N100" s="18">
        <f>G100*'GS 50-999 Predicted Monthly'!$V$13</f>
        <v>0</v>
      </c>
      <c r="O100" s="18">
        <f>H100*'GS 50-999 Predicted Monthly'!$V$14</f>
        <v>6176394.1039809817</v>
      </c>
      <c r="P100" s="18">
        <f>I100*'GS 50-999 Predicted Monthly'!$V$15</f>
        <v>23929784.569177721</v>
      </c>
      <c r="Q100" s="18">
        <f t="shared" ca="1" si="8"/>
        <v>30859405.219593573</v>
      </c>
      <c r="S100" s="18"/>
      <c r="T100" s="285"/>
    </row>
    <row r="101" spans="1:20" x14ac:dyDescent="0.25">
      <c r="A101" s="3">
        <f>'Monthly Data'!A101</f>
        <v>45017</v>
      </c>
      <c r="B101" s="1">
        <f t="shared" si="6"/>
        <v>2023</v>
      </c>
      <c r="C101" s="1">
        <f t="shared" si="7"/>
        <v>4</v>
      </c>
      <c r="D101" s="268">
        <f>'Monthly Data'!N101</f>
        <v>25554743.22315539</v>
      </c>
      <c r="E101" s="278">
        <f t="shared" ca="1" si="10"/>
        <v>352.41399621212122</v>
      </c>
      <c r="F101" s="278">
        <f t="shared" ca="1" si="10"/>
        <v>5.6420833333333338</v>
      </c>
      <c r="G101" s="278">
        <f>'Monthly Data'!CG101</f>
        <v>0</v>
      </c>
      <c r="H101" s="18">
        <f>'Monthly Data'!AL101</f>
        <v>865503</v>
      </c>
      <c r="I101" s="18">
        <f>'Monthly Data'!CD101</f>
        <v>30</v>
      </c>
      <c r="K101" s="18">
        <f>'GS 50-999 Predicted Monthly'!$V$10</f>
        <v>-9326437.7987639103</v>
      </c>
      <c r="L101" s="18">
        <f ca="1">E101*'GS 50-999 Predicted Monthly'!$V$11</f>
        <v>6503753.3447775338</v>
      </c>
      <c r="M101" s="18">
        <f ca="1">F101*'GS 50-999 Predicted Monthly'!$V$12</f>
        <v>162644.01287824113</v>
      </c>
      <c r="N101" s="18">
        <f>G101*'GS 50-999 Predicted Monthly'!$V$13</f>
        <v>0</v>
      </c>
      <c r="O101" s="18">
        <f>H101*'GS 50-999 Predicted Monthly'!$V$14</f>
        <v>6211163.5820242781</v>
      </c>
      <c r="P101" s="18">
        <f>I101*'GS 50-999 Predicted Monthly'!$V$15</f>
        <v>23157856.034688119</v>
      </c>
      <c r="Q101" s="18">
        <f t="shared" ca="1" si="8"/>
        <v>26708979.175604261</v>
      </c>
      <c r="S101" s="18"/>
      <c r="T101" s="285"/>
    </row>
    <row r="102" spans="1:20" x14ac:dyDescent="0.25">
      <c r="A102" s="3">
        <f>'Monthly Data'!A102</f>
        <v>45047</v>
      </c>
      <c r="B102" s="1">
        <f t="shared" si="6"/>
        <v>2023</v>
      </c>
      <c r="C102" s="1">
        <f t="shared" si="7"/>
        <v>5</v>
      </c>
      <c r="D102" s="268">
        <f>'Monthly Data'!N102</f>
        <v>26135229.719948143</v>
      </c>
      <c r="E102" s="278">
        <f t="shared" ca="1" si="10"/>
        <v>150.136897859768</v>
      </c>
      <c r="F102" s="278">
        <f t="shared" ca="1" si="10"/>
        <v>86.191046176046171</v>
      </c>
      <c r="G102" s="278">
        <f>'Monthly Data'!CG102</f>
        <v>0</v>
      </c>
      <c r="H102" s="18">
        <f>'Monthly Data'!AL102</f>
        <v>865503</v>
      </c>
      <c r="I102" s="18">
        <f>'Monthly Data'!CD102</f>
        <v>31</v>
      </c>
      <c r="K102" s="18">
        <f>'GS 50-999 Predicted Monthly'!$V$10</f>
        <v>-9326437.7987639103</v>
      </c>
      <c r="L102" s="18">
        <f ca="1">E102*'GS 50-999 Predicted Monthly'!$V$11</f>
        <v>2770756.4458996481</v>
      </c>
      <c r="M102" s="18">
        <f ca="1">F102*'GS 50-999 Predicted Monthly'!$V$12</f>
        <v>2484624.3481419561</v>
      </c>
      <c r="N102" s="18">
        <f>G102*'GS 50-999 Predicted Monthly'!$V$13</f>
        <v>0</v>
      </c>
      <c r="O102" s="18">
        <f>H102*'GS 50-999 Predicted Monthly'!$V$14</f>
        <v>6211163.5820242781</v>
      </c>
      <c r="P102" s="18">
        <f>I102*'GS 50-999 Predicted Monthly'!$V$15</f>
        <v>23929784.569177721</v>
      </c>
      <c r="Q102" s="18">
        <f t="shared" ca="1" si="8"/>
        <v>26069891.146479692</v>
      </c>
      <c r="S102" s="18"/>
      <c r="T102" s="285"/>
    </row>
    <row r="103" spans="1:20" x14ac:dyDescent="0.25">
      <c r="A103" s="3">
        <f>'Monthly Data'!A103</f>
        <v>45078</v>
      </c>
      <c r="B103" s="1">
        <f t="shared" si="6"/>
        <v>2023</v>
      </c>
      <c r="C103" s="1">
        <f t="shared" si="7"/>
        <v>6</v>
      </c>
      <c r="D103" s="268">
        <f>'Monthly Data'!N103</f>
        <v>25999923.559272785</v>
      </c>
      <c r="E103" s="278">
        <f t="shared" ca="1" si="10"/>
        <v>32.520923826173821</v>
      </c>
      <c r="F103" s="278">
        <f t="shared" ca="1" si="10"/>
        <v>194.94285087738348</v>
      </c>
      <c r="G103" s="278">
        <f>'Monthly Data'!CG103</f>
        <v>0</v>
      </c>
      <c r="H103" s="18">
        <f>'Monthly Data'!AL103</f>
        <v>865503</v>
      </c>
      <c r="I103" s="18">
        <f>'Monthly Data'!CD103</f>
        <v>30</v>
      </c>
      <c r="K103" s="18">
        <f>'GS 50-999 Predicted Monthly'!$V$10</f>
        <v>-9326437.7987639103</v>
      </c>
      <c r="L103" s="18">
        <f ca="1">E103*'GS 50-999 Predicted Monthly'!$V$11</f>
        <v>600169.3161540177</v>
      </c>
      <c r="M103" s="18">
        <f ca="1">F103*'GS 50-999 Predicted Monthly'!$V$12</f>
        <v>5619606.3892395888</v>
      </c>
      <c r="N103" s="18">
        <f>G103*'GS 50-999 Predicted Monthly'!$V$13</f>
        <v>0</v>
      </c>
      <c r="O103" s="18">
        <f>H103*'GS 50-999 Predicted Monthly'!$V$14</f>
        <v>6211163.5820242781</v>
      </c>
      <c r="P103" s="18">
        <f>I103*'GS 50-999 Predicted Monthly'!$V$15</f>
        <v>23157856.034688119</v>
      </c>
      <c r="Q103" s="18">
        <f t="shared" ca="1" si="8"/>
        <v>26262357.523342095</v>
      </c>
      <c r="S103" s="18"/>
      <c r="T103" s="285"/>
    </row>
    <row r="104" spans="1:20" x14ac:dyDescent="0.25">
      <c r="A104" s="3">
        <f>'Monthly Data'!A104</f>
        <v>45108</v>
      </c>
      <c r="B104" s="1">
        <f t="shared" si="6"/>
        <v>2023</v>
      </c>
      <c r="C104" s="1">
        <f t="shared" si="7"/>
        <v>7</v>
      </c>
      <c r="D104" s="268">
        <f>'Monthly Data'!N104</f>
        <v>29212920.160447795</v>
      </c>
      <c r="E104" s="278">
        <f t="shared" ca="1" si="10"/>
        <v>1.6179166666666653</v>
      </c>
      <c r="F104" s="278">
        <f t="shared" ca="1" si="10"/>
        <v>297.94737858727848</v>
      </c>
      <c r="G104" s="278">
        <f>'Monthly Data'!CG104</f>
        <v>0</v>
      </c>
      <c r="H104" s="18">
        <f>'Monthly Data'!AL104</f>
        <v>867701</v>
      </c>
      <c r="I104" s="18">
        <f>'Monthly Data'!CD104</f>
        <v>31</v>
      </c>
      <c r="K104" s="18">
        <f>'GS 50-999 Predicted Monthly'!$V$10</f>
        <v>-9326437.7987639103</v>
      </c>
      <c r="L104" s="18">
        <f ca="1">E104*'GS 50-999 Predicted Monthly'!$V$11</f>
        <v>29858.436513602697</v>
      </c>
      <c r="M104" s="18">
        <f ca="1">F104*'GS 50-999 Predicted Monthly'!$V$12</f>
        <v>8588912.0059057679</v>
      </c>
      <c r="N104" s="18">
        <f>G104*'GS 50-999 Predicted Monthly'!$V$13</f>
        <v>0</v>
      </c>
      <c r="O104" s="18">
        <f>H104*'GS 50-999 Predicted Monthly'!$V$14</f>
        <v>6226937.2275844775</v>
      </c>
      <c r="P104" s="18">
        <f>I104*'GS 50-999 Predicted Monthly'!$V$15</f>
        <v>23929784.569177721</v>
      </c>
      <c r="Q104" s="18">
        <f t="shared" ca="1" si="8"/>
        <v>29449054.440417659</v>
      </c>
      <c r="S104" s="18"/>
      <c r="T104" s="285"/>
    </row>
    <row r="105" spans="1:20" x14ac:dyDescent="0.25">
      <c r="A105" s="3">
        <f>'Monthly Data'!A105</f>
        <v>45139</v>
      </c>
      <c r="B105" s="1">
        <f t="shared" si="6"/>
        <v>2023</v>
      </c>
      <c r="C105" s="1">
        <f t="shared" si="7"/>
        <v>8</v>
      </c>
      <c r="D105" s="268">
        <f>'Monthly Data'!N105</f>
        <v>27242931.309821352</v>
      </c>
      <c r="E105" s="278">
        <f t="shared" ca="1" si="10"/>
        <v>5.6499999999999977</v>
      </c>
      <c r="F105" s="278">
        <f t="shared" ca="1" si="10"/>
        <v>272.96558794466404</v>
      </c>
      <c r="G105" s="278">
        <f>'Monthly Data'!CG105</f>
        <v>0</v>
      </c>
      <c r="H105" s="18">
        <f>'Monthly Data'!AL105</f>
        <v>867701</v>
      </c>
      <c r="I105" s="18">
        <f>'Monthly Data'!CD105</f>
        <v>31</v>
      </c>
      <c r="K105" s="18">
        <f>'GS 50-999 Predicted Monthly'!$V$10</f>
        <v>-9326437.7987639103</v>
      </c>
      <c r="L105" s="18">
        <f ca="1">E105*'GS 50-999 Predicted Monthly'!$V$11</f>
        <v>104269.99719918949</v>
      </c>
      <c r="M105" s="18">
        <f ca="1">F105*'GS 50-999 Predicted Monthly'!$V$12</f>
        <v>7868763.3588636462</v>
      </c>
      <c r="N105" s="18">
        <f>G105*'GS 50-999 Predicted Monthly'!$V$13</f>
        <v>0</v>
      </c>
      <c r="O105" s="18">
        <f>H105*'GS 50-999 Predicted Monthly'!$V$14</f>
        <v>6226937.2275844775</v>
      </c>
      <c r="P105" s="18">
        <f>I105*'GS 50-999 Predicted Monthly'!$V$15</f>
        <v>23929784.569177721</v>
      </c>
      <c r="Q105" s="18">
        <f t="shared" ca="1" si="8"/>
        <v>28803317.354061123</v>
      </c>
      <c r="S105" s="18"/>
      <c r="T105" s="285"/>
    </row>
    <row r="106" spans="1:20" x14ac:dyDescent="0.25">
      <c r="A106" s="3">
        <f>'Monthly Data'!A106</f>
        <v>45170</v>
      </c>
      <c r="B106" s="1">
        <f t="shared" si="6"/>
        <v>2023</v>
      </c>
      <c r="C106" s="1">
        <f t="shared" si="7"/>
        <v>9</v>
      </c>
      <c r="D106" s="268">
        <f>'Monthly Data'!N106</f>
        <v>25831337.90539835</v>
      </c>
      <c r="E106" s="278">
        <f t="shared" ca="1" si="10"/>
        <v>54.959440993788824</v>
      </c>
      <c r="F106" s="278">
        <f t="shared" ca="1" si="10"/>
        <v>158.67014233954447</v>
      </c>
      <c r="G106" s="278">
        <f>'Monthly Data'!CG106</f>
        <v>0</v>
      </c>
      <c r="H106" s="18">
        <f>'Monthly Data'!AL106</f>
        <v>867701</v>
      </c>
      <c r="I106" s="18">
        <f>'Monthly Data'!CD106</f>
        <v>30</v>
      </c>
      <c r="K106" s="18">
        <f>'GS 50-999 Predicted Monthly'!$V$10</f>
        <v>-9326437.7987639103</v>
      </c>
      <c r="L106" s="18">
        <f ca="1">E106*'GS 50-999 Predicted Monthly'!$V$11</f>
        <v>1014269.160794935</v>
      </c>
      <c r="M106" s="18">
        <f ca="1">F106*'GS 50-999 Predicted Monthly'!$V$12</f>
        <v>4573975.0991622871</v>
      </c>
      <c r="N106" s="18">
        <f>G106*'GS 50-999 Predicted Monthly'!$V$13</f>
        <v>0</v>
      </c>
      <c r="O106" s="18">
        <f>H106*'GS 50-999 Predicted Monthly'!$V$14</f>
        <v>6226937.2275844775</v>
      </c>
      <c r="P106" s="18">
        <f>I106*'GS 50-999 Predicted Monthly'!$V$15</f>
        <v>23157856.034688119</v>
      </c>
      <c r="Q106" s="18">
        <f t="shared" ca="1" si="8"/>
        <v>25646599.723465908</v>
      </c>
      <c r="S106" s="18"/>
      <c r="T106" s="285"/>
    </row>
    <row r="107" spans="1:20" x14ac:dyDescent="0.25">
      <c r="A107" s="3">
        <f>'Monthly Data'!A107</f>
        <v>45200</v>
      </c>
      <c r="B107" s="1">
        <f t="shared" si="6"/>
        <v>2023</v>
      </c>
      <c r="C107" s="1">
        <f t="shared" si="7"/>
        <v>10</v>
      </c>
      <c r="D107" s="268">
        <f>'Monthly Data'!N107</f>
        <v>25438573.17175157</v>
      </c>
      <c r="E107" s="278">
        <f t="shared" ca="1" si="10"/>
        <v>237.89681159420289</v>
      </c>
      <c r="F107" s="278">
        <f t="shared" ca="1" si="10"/>
        <v>35.32833333333334</v>
      </c>
      <c r="G107" s="278">
        <f>'Monthly Data'!CG107</f>
        <v>0</v>
      </c>
      <c r="H107" s="18">
        <f>'Monthly Data'!AL107</f>
        <v>869576</v>
      </c>
      <c r="I107" s="18">
        <f>'Monthly Data'!CD107</f>
        <v>31</v>
      </c>
      <c r="K107" s="18">
        <f>'GS 50-999 Predicted Monthly'!$V$10</f>
        <v>-9326437.7987639103</v>
      </c>
      <c r="L107" s="18">
        <f ca="1">E107*'GS 50-999 Predicted Monthly'!$V$11</f>
        <v>4390353.9608183457</v>
      </c>
      <c r="M107" s="18">
        <f ca="1">F107*'GS 50-999 Predicted Monthly'!$V$12</f>
        <v>1018407.8401831704</v>
      </c>
      <c r="N107" s="18">
        <f>G107*'GS 50-999 Predicted Monthly'!$V$13</f>
        <v>0</v>
      </c>
      <c r="O107" s="18">
        <f>H107*'GS 50-999 Predicted Monthly'!$V$14</f>
        <v>6240392.9079417912</v>
      </c>
      <c r="P107" s="18">
        <f>I107*'GS 50-999 Predicted Monthly'!$V$15</f>
        <v>23929784.569177721</v>
      </c>
      <c r="Q107" s="18">
        <f t="shared" ca="1" si="8"/>
        <v>26252501.479357116</v>
      </c>
      <c r="S107" s="18"/>
      <c r="T107" s="285"/>
    </row>
    <row r="108" spans="1:20" x14ac:dyDescent="0.25">
      <c r="A108" s="3">
        <f>'Monthly Data'!A108</f>
        <v>45231</v>
      </c>
      <c r="B108" s="1">
        <f t="shared" si="6"/>
        <v>2023</v>
      </c>
      <c r="C108" s="1">
        <f t="shared" si="7"/>
        <v>11</v>
      </c>
      <c r="D108" s="268">
        <f>'Monthly Data'!N108</f>
        <v>27646103.846945822</v>
      </c>
      <c r="E108" s="278">
        <f t="shared" ca="1" si="10"/>
        <v>426.62991389045737</v>
      </c>
      <c r="F108" s="278">
        <f t="shared" ca="1" si="10"/>
        <v>2.2779166666666657</v>
      </c>
      <c r="G108" s="278">
        <f>'Monthly Data'!CG108</f>
        <v>0</v>
      </c>
      <c r="H108" s="18">
        <f>'Monthly Data'!AL108</f>
        <v>869576</v>
      </c>
      <c r="I108" s="18">
        <f>'Monthly Data'!CD108</f>
        <v>30</v>
      </c>
      <c r="K108" s="18">
        <f>'GS 50-999 Predicted Monthly'!$V$10</f>
        <v>-9326437.7987639103</v>
      </c>
      <c r="L108" s="18">
        <f ca="1">E108*'GS 50-999 Predicted Monthly'!$V$11</f>
        <v>7873398.2170705236</v>
      </c>
      <c r="M108" s="18">
        <f ca="1">F108*'GS 50-999 Predicted Monthly'!$V$12</f>
        <v>65665.373192921048</v>
      </c>
      <c r="N108" s="18">
        <f>G108*'GS 50-999 Predicted Monthly'!$V$13</f>
        <v>0</v>
      </c>
      <c r="O108" s="18">
        <f>H108*'GS 50-999 Predicted Monthly'!$V$14</f>
        <v>6240392.9079417912</v>
      </c>
      <c r="P108" s="18">
        <f>I108*'GS 50-999 Predicted Monthly'!$V$15</f>
        <v>23157856.034688119</v>
      </c>
      <c r="Q108" s="18">
        <f t="shared" ca="1" si="8"/>
        <v>28010874.734129444</v>
      </c>
      <c r="S108" s="18"/>
      <c r="T108" s="285"/>
    </row>
    <row r="109" spans="1:20" x14ac:dyDescent="0.25">
      <c r="A109" s="3">
        <f>'Monthly Data'!A109</f>
        <v>45261</v>
      </c>
      <c r="B109" s="1">
        <f t="shared" si="6"/>
        <v>2023</v>
      </c>
      <c r="C109" s="1">
        <f t="shared" si="7"/>
        <v>12</v>
      </c>
      <c r="D109" s="268">
        <f>'Monthly Data'!N109</f>
        <v>28943355.630869403</v>
      </c>
      <c r="E109" s="278">
        <f t="shared" ca="1" si="10"/>
        <v>577.92800724637686</v>
      </c>
      <c r="F109" s="278">
        <f t="shared" ca="1" si="10"/>
        <v>0</v>
      </c>
      <c r="G109" s="278">
        <f>'Monthly Data'!CG109</f>
        <v>0</v>
      </c>
      <c r="H109" s="18">
        <f>'Monthly Data'!AL109</f>
        <v>869576</v>
      </c>
      <c r="I109" s="18">
        <f>'Monthly Data'!CD109</f>
        <v>31</v>
      </c>
      <c r="K109" s="18">
        <f>'GS 50-999 Predicted Monthly'!$V$10</f>
        <v>-9326437.7987639103</v>
      </c>
      <c r="L109" s="18">
        <f ca="1">E109*'GS 50-999 Predicted Monthly'!$V$11</f>
        <v>10665584.371135026</v>
      </c>
      <c r="M109" s="18">
        <f ca="1">F109*'GS 50-999 Predicted Monthly'!$V$12</f>
        <v>0</v>
      </c>
      <c r="N109" s="18">
        <f>G109*'GS 50-999 Predicted Monthly'!$V$13</f>
        <v>0</v>
      </c>
      <c r="O109" s="18">
        <f>H109*'GS 50-999 Predicted Monthly'!$V$14</f>
        <v>6240392.9079417912</v>
      </c>
      <c r="P109" s="18">
        <f>I109*'GS 50-999 Predicted Monthly'!$V$15</f>
        <v>23929784.569177721</v>
      </c>
      <c r="Q109" s="18">
        <f t="shared" ca="1" si="8"/>
        <v>31509324.049490627</v>
      </c>
      <c r="R109" s="268"/>
      <c r="S109" s="18"/>
      <c r="T109" s="285"/>
    </row>
    <row r="110" spans="1:20" x14ac:dyDescent="0.25">
      <c r="A110" s="3">
        <f>'Monthly Data'!A110</f>
        <v>45292</v>
      </c>
      <c r="B110" s="1">
        <f t="shared" si="6"/>
        <v>2024</v>
      </c>
      <c r="C110" s="1">
        <f t="shared" si="7"/>
        <v>1</v>
      </c>
      <c r="D110" s="268">
        <f>'Monthly Data'!N110</f>
        <v>32152306.892326869</v>
      </c>
      <c r="E110" s="278">
        <f t="shared" ca="1" si="10"/>
        <v>697.33418478260876</v>
      </c>
      <c r="F110" s="278">
        <f t="shared" ca="1" si="10"/>
        <v>0</v>
      </c>
      <c r="G110" s="278">
        <f>'Monthly Data'!CG110</f>
        <v>0</v>
      </c>
      <c r="H110" s="18">
        <f>'Monthly Data'!AL110</f>
        <v>874402</v>
      </c>
      <c r="I110" s="18">
        <f>'Monthly Data'!CD110</f>
        <v>31</v>
      </c>
      <c r="K110" s="18">
        <f>'GS 50-999 Predicted Monthly'!$V$10</f>
        <v>-9326437.7987639103</v>
      </c>
      <c r="L110" s="18">
        <f ca="1">E110*'GS 50-999 Predicted Monthly'!$V$11</f>
        <v>12869209.467996765</v>
      </c>
      <c r="M110" s="18">
        <f ca="1">F110*'GS 50-999 Predicted Monthly'!$V$12</f>
        <v>0</v>
      </c>
      <c r="N110" s="18">
        <f>G110*'GS 50-999 Predicted Monthly'!$V$13</f>
        <v>0</v>
      </c>
      <c r="O110" s="18">
        <f>H110*'GS 50-999 Predicted Monthly'!$V$14</f>
        <v>6275026.0350908004</v>
      </c>
      <c r="P110" s="18">
        <f>I110*'GS 50-999 Predicted Monthly'!$V$15</f>
        <v>23929784.569177721</v>
      </c>
      <c r="Q110" s="18">
        <f t="shared" ca="1" si="8"/>
        <v>33747582.273501374</v>
      </c>
      <c r="R110" s="268"/>
      <c r="S110" s="18"/>
      <c r="T110" s="285"/>
    </row>
    <row r="111" spans="1:20" x14ac:dyDescent="0.25">
      <c r="A111" s="3">
        <f>'Monthly Data'!A111</f>
        <v>45323</v>
      </c>
      <c r="B111" s="1">
        <f t="shared" si="6"/>
        <v>2024</v>
      </c>
      <c r="C111" s="1">
        <f t="shared" si="7"/>
        <v>2</v>
      </c>
      <c r="D111" s="268">
        <f>'Monthly Data'!N111</f>
        <v>27790587.798842903</v>
      </c>
      <c r="E111" s="278">
        <f t="shared" ca="1" si="10"/>
        <v>624.25501811594188</v>
      </c>
      <c r="F111" s="278">
        <f t="shared" ca="1" si="10"/>
        <v>0</v>
      </c>
      <c r="G111" s="278">
        <f>'Monthly Data'!CG111</f>
        <v>0</v>
      </c>
      <c r="H111" s="18">
        <f>'Monthly Data'!AL111</f>
        <v>874402</v>
      </c>
      <c r="I111" s="18">
        <f>'Monthly Data'!CD111</f>
        <v>29</v>
      </c>
      <c r="K111" s="18">
        <f>'GS 50-999 Predicted Monthly'!$V$10</f>
        <v>-9326437.7987639103</v>
      </c>
      <c r="L111" s="18">
        <f ca="1">E111*'GS 50-999 Predicted Monthly'!$V$11</f>
        <v>11520543.184164472</v>
      </c>
      <c r="M111" s="18">
        <f ca="1">F111*'GS 50-999 Predicted Monthly'!$V$12</f>
        <v>0</v>
      </c>
      <c r="N111" s="18">
        <f>G111*'GS 50-999 Predicted Monthly'!$V$13</f>
        <v>0</v>
      </c>
      <c r="O111" s="18">
        <f>H111*'GS 50-999 Predicted Monthly'!$V$14</f>
        <v>6275026.0350908004</v>
      </c>
      <c r="P111" s="18">
        <f>I111*'GS 50-999 Predicted Monthly'!$V$15</f>
        <v>22385927.500198513</v>
      </c>
      <c r="Q111" s="18">
        <f t="shared" ca="1" si="8"/>
        <v>30855058.920689873</v>
      </c>
      <c r="R111" s="268"/>
      <c r="S111" s="18"/>
      <c r="T111" s="285"/>
    </row>
    <row r="112" spans="1:20" x14ac:dyDescent="0.25">
      <c r="A112" s="3">
        <f>'Monthly Data'!A112</f>
        <v>45352</v>
      </c>
      <c r="B112" s="1">
        <f t="shared" si="6"/>
        <v>2024</v>
      </c>
      <c r="C112" s="1">
        <f t="shared" si="7"/>
        <v>3</v>
      </c>
      <c r="D112" s="268">
        <f>'Monthly Data'!N112</f>
        <v>27467300.51056587</v>
      </c>
      <c r="E112" s="278">
        <f t="shared" ca="1" si="10"/>
        <v>546.13298913043491</v>
      </c>
      <c r="F112" s="278">
        <f t="shared" ca="1" si="10"/>
        <v>2.9583333333332896E-2</v>
      </c>
      <c r="G112" s="278">
        <f>'Monthly Data'!CG112</f>
        <v>0</v>
      </c>
      <c r="H112" s="18">
        <f>'Monthly Data'!AL112</f>
        <v>874402</v>
      </c>
      <c r="I112" s="18">
        <f>'Monthly Data'!CD112</f>
        <v>31</v>
      </c>
      <c r="K112" s="18">
        <f>'GS 50-999 Predicted Monthly'!$V$10</f>
        <v>-9326437.7987639103</v>
      </c>
      <c r="L112" s="18">
        <f ca="1">E112*'GS 50-999 Predicted Monthly'!$V$11</f>
        <v>10078811.548144327</v>
      </c>
      <c r="M112" s="18">
        <f ca="1">F112*'GS 50-999 Predicted Monthly'!$V$12</f>
        <v>852.79705445350771</v>
      </c>
      <c r="N112" s="18">
        <f>G112*'GS 50-999 Predicted Monthly'!$V$13</f>
        <v>0</v>
      </c>
      <c r="O112" s="18">
        <f>H112*'GS 50-999 Predicted Monthly'!$V$14</f>
        <v>6275026.0350908004</v>
      </c>
      <c r="P112" s="18">
        <f>I112*'GS 50-999 Predicted Monthly'!$V$15</f>
        <v>23929784.569177721</v>
      </c>
      <c r="Q112" s="18">
        <f t="shared" ca="1" si="8"/>
        <v>30958037.150703393</v>
      </c>
      <c r="R112" s="268"/>
    </row>
    <row r="113" spans="1:19" x14ac:dyDescent="0.25">
      <c r="A113" s="3">
        <f>'Monthly Data'!A113</f>
        <v>45383</v>
      </c>
      <c r="B113" s="1">
        <f t="shared" si="6"/>
        <v>2024</v>
      </c>
      <c r="C113" s="1">
        <f t="shared" si="7"/>
        <v>4</v>
      </c>
      <c r="D113" s="268">
        <f>'Monthly Data'!N113</f>
        <v>23458667.73674326</v>
      </c>
      <c r="E113" s="278">
        <f t="shared" ca="1" si="10"/>
        <v>352.41399621212122</v>
      </c>
      <c r="F113" s="278">
        <f t="shared" ca="1" si="10"/>
        <v>5.6420833333333338</v>
      </c>
      <c r="G113" s="278">
        <f>'Monthly Data'!CG113</f>
        <v>0</v>
      </c>
      <c r="H113" s="18">
        <f>'Monthly Data'!AL113</f>
        <v>877135</v>
      </c>
      <c r="I113" s="18">
        <f>'Monthly Data'!CD113</f>
        <v>30</v>
      </c>
      <c r="K113" s="18">
        <f>'GS 50-999 Predicted Monthly'!$V$10</f>
        <v>-9326437.7987639103</v>
      </c>
      <c r="L113" s="18">
        <f ca="1">E113*'GS 50-999 Predicted Monthly'!$V$11</f>
        <v>6503753.3447775338</v>
      </c>
      <c r="M113" s="18">
        <f ca="1">F113*'GS 50-999 Predicted Monthly'!$V$12</f>
        <v>162644.01287824113</v>
      </c>
      <c r="N113" s="18">
        <f>G113*'GS 50-999 Predicted Monthly'!$V$13</f>
        <v>0</v>
      </c>
      <c r="O113" s="18">
        <f>H113*'GS 50-999 Predicted Monthly'!$V$14</f>
        <v>6294639.0347796204</v>
      </c>
      <c r="P113" s="18">
        <f>I113*'GS 50-999 Predicted Monthly'!$V$15</f>
        <v>23157856.034688119</v>
      </c>
      <c r="Q113" s="18">
        <f t="shared" ca="1" si="8"/>
        <v>26792454.628359605</v>
      </c>
      <c r="R113" s="268"/>
      <c r="S113" s="18"/>
    </row>
    <row r="114" spans="1:19" x14ac:dyDescent="0.25">
      <c r="A114" s="3">
        <f>'Monthly Data'!A114</f>
        <v>45413</v>
      </c>
      <c r="B114" s="1">
        <f t="shared" si="6"/>
        <v>2024</v>
      </c>
      <c r="C114" s="1">
        <f t="shared" si="7"/>
        <v>5</v>
      </c>
      <c r="D114" s="268">
        <f>'Monthly Data'!N114</f>
        <v>25229138.419557389</v>
      </c>
      <c r="E114" s="278">
        <f t="shared" ref="E114:F133" ca="1" si="11">E102</f>
        <v>150.136897859768</v>
      </c>
      <c r="F114" s="278">
        <f t="shared" ca="1" si="11"/>
        <v>86.191046176046171</v>
      </c>
      <c r="G114" s="278">
        <f>'Monthly Data'!CG114</f>
        <v>0</v>
      </c>
      <c r="H114" s="18">
        <f>'Monthly Data'!AL114</f>
        <v>877135</v>
      </c>
      <c r="I114" s="18">
        <f>'Monthly Data'!CD114</f>
        <v>31</v>
      </c>
      <c r="K114" s="18">
        <f>'GS 50-999 Predicted Monthly'!$V$10</f>
        <v>-9326437.7987639103</v>
      </c>
      <c r="L114" s="18">
        <f ca="1">E114*'GS 50-999 Predicted Monthly'!$V$11</f>
        <v>2770756.4458996481</v>
      </c>
      <c r="M114" s="18">
        <f ca="1">F114*'GS 50-999 Predicted Monthly'!$V$12</f>
        <v>2484624.3481419561</v>
      </c>
      <c r="N114" s="18">
        <f>G114*'GS 50-999 Predicted Monthly'!$V$13</f>
        <v>0</v>
      </c>
      <c r="O114" s="18">
        <f>H114*'GS 50-999 Predicted Monthly'!$V$14</f>
        <v>6294639.0347796204</v>
      </c>
      <c r="P114" s="18">
        <f>I114*'GS 50-999 Predicted Monthly'!$V$15</f>
        <v>23929784.569177721</v>
      </c>
      <c r="Q114" s="18">
        <f t="shared" ca="1" si="8"/>
        <v>26153366.599235035</v>
      </c>
      <c r="R114" s="268"/>
      <c r="S114" s="18"/>
    </row>
    <row r="115" spans="1:19" x14ac:dyDescent="0.25">
      <c r="A115" s="3">
        <f>'Monthly Data'!A115</f>
        <v>45444</v>
      </c>
      <c r="B115" s="1">
        <f t="shared" si="6"/>
        <v>2024</v>
      </c>
      <c r="C115" s="1">
        <f t="shared" si="7"/>
        <v>6</v>
      </c>
      <c r="D115" s="268">
        <f>'Monthly Data'!N115</f>
        <v>26750740.64573478</v>
      </c>
      <c r="E115" s="278">
        <f t="shared" ca="1" si="11"/>
        <v>32.520923826173821</v>
      </c>
      <c r="F115" s="278">
        <f t="shared" ca="1" si="11"/>
        <v>194.94285087738348</v>
      </c>
      <c r="G115" s="278">
        <f>'Monthly Data'!CG115</f>
        <v>0</v>
      </c>
      <c r="H115" s="18">
        <f>'Monthly Data'!AL115</f>
        <v>877135</v>
      </c>
      <c r="I115" s="18">
        <f>'Monthly Data'!CD115</f>
        <v>30</v>
      </c>
      <c r="K115" s="18">
        <f>'GS 50-999 Predicted Monthly'!$V$10</f>
        <v>-9326437.7987639103</v>
      </c>
      <c r="L115" s="18">
        <f ca="1">E115*'GS 50-999 Predicted Monthly'!$V$11</f>
        <v>600169.3161540177</v>
      </c>
      <c r="M115" s="18">
        <f ca="1">F115*'GS 50-999 Predicted Monthly'!$V$12</f>
        <v>5619606.3892395888</v>
      </c>
      <c r="N115" s="18">
        <f>G115*'GS 50-999 Predicted Monthly'!$V$13</f>
        <v>0</v>
      </c>
      <c r="O115" s="18">
        <f>H115*'GS 50-999 Predicted Monthly'!$V$14</f>
        <v>6294639.0347796204</v>
      </c>
      <c r="P115" s="18">
        <f>I115*'GS 50-999 Predicted Monthly'!$V$15</f>
        <v>23157856.034688119</v>
      </c>
      <c r="Q115" s="18">
        <f t="shared" ca="1" si="8"/>
        <v>26345832.976097435</v>
      </c>
      <c r="R115" s="268"/>
      <c r="S115" s="18"/>
    </row>
    <row r="116" spans="1:19" x14ac:dyDescent="0.25">
      <c r="A116" s="3">
        <v>45474</v>
      </c>
      <c r="B116" s="1">
        <f t="shared" ref="B116:B125" si="12">YEAR(A116)</f>
        <v>2024</v>
      </c>
      <c r="C116" s="1">
        <f t="shared" ref="C116:C125" si="13">MONTH(A116)</f>
        <v>7</v>
      </c>
      <c r="D116" s="268">
        <f>'Monthly Data'!N116</f>
        <v>29067750.35745775</v>
      </c>
      <c r="E116" s="278">
        <f t="shared" ca="1" si="11"/>
        <v>1.6179166666666653</v>
      </c>
      <c r="F116" s="278">
        <f t="shared" ca="1" si="11"/>
        <v>297.94737858727848</v>
      </c>
      <c r="G116" s="278">
        <f>'Monthly Data'!CG116</f>
        <v>0</v>
      </c>
      <c r="H116" s="18">
        <f>'Monthly Data'!AL116</f>
        <v>877865</v>
      </c>
      <c r="I116" s="18">
        <f>'Monthly Data'!CD116</f>
        <v>31</v>
      </c>
      <c r="K116" s="18">
        <f>'GS 50-999 Predicted Monthly'!$V$10</f>
        <v>-9326437.7987639103</v>
      </c>
      <c r="L116" s="18">
        <f ca="1">E116*'GS 50-999 Predicted Monthly'!$V$11</f>
        <v>29858.436513602697</v>
      </c>
      <c r="M116" s="18">
        <f ca="1">F116*'GS 50-999 Predicted Monthly'!$V$12</f>
        <v>8588912.0059057679</v>
      </c>
      <c r="N116" s="18">
        <f>G116*'GS 50-999 Predicted Monthly'!$V$13</f>
        <v>0</v>
      </c>
      <c r="O116" s="18">
        <f>H116*'GS 50-999 Predicted Monthly'!$V$14</f>
        <v>6299877.7796654003</v>
      </c>
      <c r="P116" s="18">
        <f>I116*'GS 50-999 Predicted Monthly'!$V$15</f>
        <v>23929784.569177721</v>
      </c>
      <c r="Q116" s="18">
        <f t="shared" ca="1" si="8"/>
        <v>29521994.99249858</v>
      </c>
      <c r="R116" s="268"/>
      <c r="S116" s="18"/>
    </row>
    <row r="117" spans="1:19" x14ac:dyDescent="0.25">
      <c r="A117" s="3">
        <v>45505</v>
      </c>
      <c r="B117" s="1">
        <f t="shared" si="12"/>
        <v>2024</v>
      </c>
      <c r="C117" s="1">
        <f t="shared" si="13"/>
        <v>8</v>
      </c>
      <c r="D117" s="268">
        <f>'Monthly Data'!N117</f>
        <v>24089836.06918072</v>
      </c>
      <c r="E117" s="278">
        <f t="shared" ca="1" si="11"/>
        <v>5.6499999999999977</v>
      </c>
      <c r="F117" s="278">
        <f t="shared" ca="1" si="11"/>
        <v>272.96558794466404</v>
      </c>
      <c r="G117" s="278">
        <f>'Monthly Data'!CG117</f>
        <v>0</v>
      </c>
      <c r="H117" s="18">
        <f>'Monthly Data'!AL117</f>
        <v>877865</v>
      </c>
      <c r="I117" s="18">
        <f>'Monthly Data'!CD117</f>
        <v>31</v>
      </c>
      <c r="K117" s="18">
        <f>'GS 50-999 Predicted Monthly'!$V$10</f>
        <v>-9326437.7987639103</v>
      </c>
      <c r="L117" s="18">
        <f ca="1">E117*'GS 50-999 Predicted Monthly'!$V$11</f>
        <v>104269.99719918949</v>
      </c>
      <c r="M117" s="18">
        <f ca="1">F117*'GS 50-999 Predicted Monthly'!$V$12</f>
        <v>7868763.3588636462</v>
      </c>
      <c r="N117" s="18">
        <f>G117*'GS 50-999 Predicted Monthly'!$V$13</f>
        <v>0</v>
      </c>
      <c r="O117" s="18">
        <f>H117*'GS 50-999 Predicted Monthly'!$V$14</f>
        <v>6299877.7796654003</v>
      </c>
      <c r="P117" s="18">
        <f>I117*'GS 50-999 Predicted Monthly'!$V$15</f>
        <v>23929784.569177721</v>
      </c>
      <c r="Q117" s="18">
        <f t="shared" ca="1" si="8"/>
        <v>28876257.906142045</v>
      </c>
      <c r="S117" s="18"/>
    </row>
    <row r="118" spans="1:19" x14ac:dyDescent="0.25">
      <c r="A118" s="3">
        <v>45536</v>
      </c>
      <c r="B118" s="1">
        <f t="shared" si="12"/>
        <v>2024</v>
      </c>
      <c r="C118" s="1">
        <f t="shared" si="13"/>
        <v>9</v>
      </c>
      <c r="D118" s="268">
        <f>'Monthly Data'!N118</f>
        <v>23502012.78090369</v>
      </c>
      <c r="E118" s="278">
        <f t="shared" ca="1" si="11"/>
        <v>54.959440993788824</v>
      </c>
      <c r="F118" s="278">
        <f t="shared" ca="1" si="11"/>
        <v>158.67014233954447</v>
      </c>
      <c r="G118" s="278">
        <f>'Monthly Data'!CG118</f>
        <v>0</v>
      </c>
      <c r="H118" s="18">
        <f>'Monthly Data'!AL118</f>
        <v>877865</v>
      </c>
      <c r="I118" s="18">
        <f>'Monthly Data'!CD118</f>
        <v>30</v>
      </c>
      <c r="K118" s="18">
        <f>'GS 50-999 Predicted Monthly'!$V$10</f>
        <v>-9326437.7987639103</v>
      </c>
      <c r="L118" s="18">
        <f ca="1">E118*'GS 50-999 Predicted Monthly'!$V$11</f>
        <v>1014269.160794935</v>
      </c>
      <c r="M118" s="18">
        <f ca="1">F118*'GS 50-999 Predicted Monthly'!$V$12</f>
        <v>4573975.0991622871</v>
      </c>
      <c r="N118" s="18">
        <f>G118*'GS 50-999 Predicted Monthly'!$V$13</f>
        <v>0</v>
      </c>
      <c r="O118" s="18">
        <f>H118*'GS 50-999 Predicted Monthly'!$V$14</f>
        <v>6299877.7796654003</v>
      </c>
      <c r="P118" s="18">
        <f>I118*'GS 50-999 Predicted Monthly'!$V$15</f>
        <v>23157856.034688119</v>
      </c>
      <c r="Q118" s="18">
        <f t="shared" ca="1" si="8"/>
        <v>25719540.27554683</v>
      </c>
      <c r="S118" s="18"/>
    </row>
    <row r="119" spans="1:19" x14ac:dyDescent="0.25">
      <c r="A119" s="3">
        <v>45566</v>
      </c>
      <c r="B119" s="1">
        <f t="shared" si="12"/>
        <v>2024</v>
      </c>
      <c r="C119" s="1">
        <f t="shared" si="13"/>
        <v>10</v>
      </c>
      <c r="D119" s="268">
        <f>'Monthly Data'!N119</f>
        <v>24709285.492626656</v>
      </c>
      <c r="E119" s="278">
        <f t="shared" ca="1" si="11"/>
        <v>237.89681159420289</v>
      </c>
      <c r="F119" s="278">
        <f t="shared" ca="1" si="11"/>
        <v>35.32833333333334</v>
      </c>
      <c r="G119" s="278">
        <f>'Monthly Data'!CG119</f>
        <v>0</v>
      </c>
      <c r="H119" s="18">
        <f>'Monthly Data'!AL119</f>
        <v>882184.85199999996</v>
      </c>
      <c r="I119" s="18">
        <f>'Monthly Data'!CD119</f>
        <v>31</v>
      </c>
      <c r="K119" s="18">
        <f>'GS 50-999 Predicted Monthly'!$V$10</f>
        <v>-9326437.7987639103</v>
      </c>
      <c r="L119" s="18">
        <f ca="1">E119*'GS 50-999 Predicted Monthly'!$V$11</f>
        <v>4390353.9608183457</v>
      </c>
      <c r="M119" s="18">
        <f ca="1">F119*'GS 50-999 Predicted Monthly'!$V$12</f>
        <v>1018407.8401831704</v>
      </c>
      <c r="N119" s="18">
        <f>G119*'GS 50-999 Predicted Monthly'!$V$13</f>
        <v>0</v>
      </c>
      <c r="O119" s="18">
        <f>H119*'GS 50-999 Predicted Monthly'!$V$14</f>
        <v>6330878.605106947</v>
      </c>
      <c r="P119" s="18">
        <f>I119*'GS 50-999 Predicted Monthly'!$V$15</f>
        <v>23929784.569177721</v>
      </c>
      <c r="Q119" s="18">
        <f t="shared" ca="1" si="8"/>
        <v>26342987.176522274</v>
      </c>
      <c r="S119" s="18"/>
    </row>
    <row r="120" spans="1:19" x14ac:dyDescent="0.25">
      <c r="A120" s="3">
        <v>45597</v>
      </c>
      <c r="B120" s="1">
        <f t="shared" si="12"/>
        <v>2024</v>
      </c>
      <c r="C120" s="1">
        <f t="shared" si="13"/>
        <v>11</v>
      </c>
      <c r="D120" s="268">
        <f>'Monthly Data'!N120</f>
        <v>27625583.204349626</v>
      </c>
      <c r="E120" s="278">
        <f t="shared" ca="1" si="11"/>
        <v>426.62991389045737</v>
      </c>
      <c r="F120" s="278">
        <f t="shared" ca="1" si="11"/>
        <v>2.2779166666666657</v>
      </c>
      <c r="G120" s="278">
        <f>'Monthly Data'!CG120</f>
        <v>0</v>
      </c>
      <c r="H120" s="18">
        <f>'Monthly Data'!AL120</f>
        <v>882184.85199999996</v>
      </c>
      <c r="I120" s="18">
        <f>'Monthly Data'!CD120</f>
        <v>30</v>
      </c>
      <c r="K120" s="18">
        <f>'GS 50-999 Predicted Monthly'!$V$10</f>
        <v>-9326437.7987639103</v>
      </c>
      <c r="L120" s="18">
        <f ca="1">E120*'GS 50-999 Predicted Monthly'!$V$11</f>
        <v>7873398.2170705236</v>
      </c>
      <c r="M120" s="18">
        <f ca="1">F120*'GS 50-999 Predicted Monthly'!$V$12</f>
        <v>65665.373192921048</v>
      </c>
      <c r="N120" s="18">
        <f>G120*'GS 50-999 Predicted Monthly'!$V$13</f>
        <v>0</v>
      </c>
      <c r="O120" s="18">
        <f>H120*'GS 50-999 Predicted Monthly'!$V$14</f>
        <v>6330878.605106947</v>
      </c>
      <c r="P120" s="18">
        <f>I120*'GS 50-999 Predicted Monthly'!$V$15</f>
        <v>23157856.034688119</v>
      </c>
      <c r="Q120" s="18">
        <f t="shared" ca="1" si="8"/>
        <v>28101360.431294601</v>
      </c>
      <c r="S120" s="18"/>
    </row>
    <row r="121" spans="1:19" x14ac:dyDescent="0.25">
      <c r="A121" s="3">
        <v>45627</v>
      </c>
      <c r="B121" s="1">
        <f t="shared" si="12"/>
        <v>2024</v>
      </c>
      <c r="C121" s="1">
        <f t="shared" si="13"/>
        <v>12</v>
      </c>
      <c r="D121" s="268">
        <f>'Monthly Data'!N121</f>
        <v>33184612.916072596</v>
      </c>
      <c r="E121" s="278">
        <f t="shared" ca="1" si="11"/>
        <v>577.92800724637686</v>
      </c>
      <c r="F121" s="278">
        <f t="shared" ca="1" si="11"/>
        <v>0</v>
      </c>
      <c r="G121" s="278">
        <f>'Monthly Data'!CG121</f>
        <v>0</v>
      </c>
      <c r="H121" s="18">
        <f>'Monthly Data'!AL121</f>
        <v>882184.85199999996</v>
      </c>
      <c r="I121" s="18">
        <f>'Monthly Data'!CD121</f>
        <v>31</v>
      </c>
      <c r="K121" s="18">
        <f>'GS 50-999 Predicted Monthly'!$V$10</f>
        <v>-9326437.7987639103</v>
      </c>
      <c r="L121" s="18">
        <f ca="1">E121*'GS 50-999 Predicted Monthly'!$V$11</f>
        <v>10665584.371135026</v>
      </c>
      <c r="M121" s="18">
        <f ca="1">F121*'GS 50-999 Predicted Monthly'!$V$12</f>
        <v>0</v>
      </c>
      <c r="N121" s="18">
        <f>G121*'GS 50-999 Predicted Monthly'!$V$13</f>
        <v>0</v>
      </c>
      <c r="O121" s="18">
        <f>H121*'GS 50-999 Predicted Monthly'!$V$14</f>
        <v>6330878.605106947</v>
      </c>
      <c r="P121" s="18">
        <f>I121*'GS 50-999 Predicted Monthly'!$V$15</f>
        <v>23929784.569177721</v>
      </c>
      <c r="Q121" s="18">
        <f t="shared" ca="1" si="8"/>
        <v>31599809.746655785</v>
      </c>
      <c r="S121" s="18"/>
    </row>
    <row r="122" spans="1:19" x14ac:dyDescent="0.25">
      <c r="A122" s="3">
        <v>45658</v>
      </c>
      <c r="B122" s="1">
        <f t="shared" si="12"/>
        <v>2025</v>
      </c>
      <c r="C122" s="1">
        <f t="shared" si="13"/>
        <v>1</v>
      </c>
      <c r="D122" s="268"/>
      <c r="E122" s="278">
        <f t="shared" ca="1" si="11"/>
        <v>697.33418478260876</v>
      </c>
      <c r="F122" s="278">
        <f t="shared" ca="1" si="11"/>
        <v>0</v>
      </c>
      <c r="G122" s="278"/>
      <c r="H122" s="18">
        <f>Economic!K124</f>
        <v>882271.6179999999</v>
      </c>
      <c r="I122" s="18">
        <f>I74</f>
        <v>31</v>
      </c>
      <c r="K122" s="18">
        <f>'GS 50-999 Predicted Monthly'!$V$10</f>
        <v>-9326437.7987639103</v>
      </c>
      <c r="L122" s="18">
        <f ca="1">E122*'GS 50-999 Predicted Monthly'!$V$11</f>
        <v>12869209.467996765</v>
      </c>
      <c r="M122" s="18">
        <f ca="1">F122*'GS 50-999 Predicted Monthly'!$V$12</f>
        <v>0</v>
      </c>
      <c r="N122" s="18">
        <f>G122*'GS 50-999 Predicted Monthly'!$V$13</f>
        <v>0</v>
      </c>
      <c r="O122" s="18">
        <f>H122*'GS 50-999 Predicted Monthly'!$V$14</f>
        <v>6331501.2694066167</v>
      </c>
      <c r="P122" s="18">
        <f>I122*'GS 50-999 Predicted Monthly'!$V$15</f>
        <v>23929784.569177721</v>
      </c>
      <c r="Q122" s="18">
        <f t="shared" ca="1" si="8"/>
        <v>33804057.507817194</v>
      </c>
      <c r="S122" s="18"/>
    </row>
    <row r="123" spans="1:19" x14ac:dyDescent="0.25">
      <c r="A123" s="3">
        <v>45689</v>
      </c>
      <c r="B123" s="1">
        <f t="shared" si="12"/>
        <v>2025</v>
      </c>
      <c r="C123" s="1">
        <f t="shared" si="13"/>
        <v>2</v>
      </c>
      <c r="D123" s="268"/>
      <c r="E123" s="278">
        <f t="shared" ca="1" si="11"/>
        <v>624.25501811594188</v>
      </c>
      <c r="F123" s="278">
        <f t="shared" ca="1" si="11"/>
        <v>0</v>
      </c>
      <c r="G123" s="278"/>
      <c r="H123" s="18">
        <f>Economic!K125</f>
        <v>882271.6179999999</v>
      </c>
      <c r="I123" s="18">
        <f t="shared" ref="I123:I145" si="14">I75</f>
        <v>28</v>
      </c>
      <c r="K123" s="18">
        <f>'GS 50-999 Predicted Monthly'!$V$10</f>
        <v>-9326437.7987639103</v>
      </c>
      <c r="L123" s="18">
        <f ca="1">E123*'GS 50-999 Predicted Monthly'!$V$11</f>
        <v>11520543.184164472</v>
      </c>
      <c r="M123" s="18">
        <f ca="1">F123*'GS 50-999 Predicted Monthly'!$V$12</f>
        <v>0</v>
      </c>
      <c r="N123" s="18">
        <f>G123*'GS 50-999 Predicted Monthly'!$V$13</f>
        <v>0</v>
      </c>
      <c r="O123" s="18">
        <f>H123*'GS 50-999 Predicted Monthly'!$V$14</f>
        <v>6331501.2694066167</v>
      </c>
      <c r="P123" s="18">
        <f>I123*'GS 50-999 Predicted Monthly'!$V$15</f>
        <v>21613998.965708911</v>
      </c>
      <c r="Q123" s="18">
        <f t="shared" ca="1" si="8"/>
        <v>30139605.620516092</v>
      </c>
      <c r="S123" s="18"/>
    </row>
    <row r="124" spans="1:19" x14ac:dyDescent="0.25">
      <c r="A124" s="3">
        <v>45717</v>
      </c>
      <c r="B124" s="1">
        <f t="shared" si="12"/>
        <v>2025</v>
      </c>
      <c r="C124" s="1">
        <f t="shared" si="13"/>
        <v>3</v>
      </c>
      <c r="D124" s="268"/>
      <c r="E124" s="278">
        <f t="shared" ca="1" si="11"/>
        <v>546.13298913043491</v>
      </c>
      <c r="F124" s="278">
        <f t="shared" ca="1" si="11"/>
        <v>2.9583333333332896E-2</v>
      </c>
      <c r="G124" s="278"/>
      <c r="H124" s="18">
        <f>Economic!K126</f>
        <v>882271.6179999999</v>
      </c>
      <c r="I124" s="18">
        <f t="shared" si="14"/>
        <v>31</v>
      </c>
      <c r="K124" s="18">
        <f>'GS 50-999 Predicted Monthly'!$V$10</f>
        <v>-9326437.7987639103</v>
      </c>
      <c r="L124" s="18">
        <f ca="1">E124*'GS 50-999 Predicted Monthly'!$V$11</f>
        <v>10078811.548144327</v>
      </c>
      <c r="M124" s="18">
        <f ca="1">F124*'GS 50-999 Predicted Monthly'!$V$12</f>
        <v>852.79705445350771</v>
      </c>
      <c r="N124" s="18">
        <f>G124*'GS 50-999 Predicted Monthly'!$V$13</f>
        <v>0</v>
      </c>
      <c r="O124" s="18">
        <f>H124*'GS 50-999 Predicted Monthly'!$V$14</f>
        <v>6331501.2694066167</v>
      </c>
      <c r="P124" s="18">
        <f>I124*'GS 50-999 Predicted Monthly'!$V$15</f>
        <v>23929784.569177721</v>
      </c>
      <c r="Q124" s="18">
        <f t="shared" ca="1" si="8"/>
        <v>31014512.385019209</v>
      </c>
      <c r="S124" s="18"/>
    </row>
    <row r="125" spans="1:19" x14ac:dyDescent="0.25">
      <c r="A125" s="3">
        <v>45748</v>
      </c>
      <c r="B125" s="1">
        <f t="shared" si="12"/>
        <v>2025</v>
      </c>
      <c r="C125" s="1">
        <f t="shared" si="13"/>
        <v>4</v>
      </c>
      <c r="D125" s="268"/>
      <c r="E125" s="278">
        <f t="shared" ca="1" si="11"/>
        <v>352.41399621212122</v>
      </c>
      <c r="F125" s="278">
        <f t="shared" ca="1" si="11"/>
        <v>5.6420833333333338</v>
      </c>
      <c r="G125" s="278"/>
      <c r="H125" s="18">
        <f>Economic!K127</f>
        <v>885029.21499999997</v>
      </c>
      <c r="I125" s="18">
        <f t="shared" si="14"/>
        <v>30</v>
      </c>
      <c r="K125" s="18">
        <f>'GS 50-999 Predicted Monthly'!$V$10</f>
        <v>-9326437.7987639103</v>
      </c>
      <c r="L125" s="18">
        <f ca="1">E125*'GS 50-999 Predicted Monthly'!$V$11</f>
        <v>6503753.3447775338</v>
      </c>
      <c r="M125" s="18">
        <f ca="1">F125*'GS 50-999 Predicted Monthly'!$V$12</f>
        <v>162644.01287824113</v>
      </c>
      <c r="N125" s="18">
        <f>G125*'GS 50-999 Predicted Monthly'!$V$13</f>
        <v>0</v>
      </c>
      <c r="O125" s="18">
        <f>H125*'GS 50-999 Predicted Monthly'!$V$14</f>
        <v>6351290.7860926362</v>
      </c>
      <c r="P125" s="18">
        <f>I125*'GS 50-999 Predicted Monthly'!$V$15</f>
        <v>23157856.034688119</v>
      </c>
      <c r="Q125" s="18">
        <f t="shared" ca="1" si="8"/>
        <v>26849106.37967262</v>
      </c>
    </row>
    <row r="126" spans="1:19" x14ac:dyDescent="0.25">
      <c r="A126" s="3">
        <v>45778</v>
      </c>
      <c r="B126" s="1">
        <f t="shared" ref="B126:B145" si="15">YEAR(A126)</f>
        <v>2025</v>
      </c>
      <c r="C126" s="1">
        <f t="shared" ref="C126:C145" si="16">MONTH(A126)</f>
        <v>5</v>
      </c>
      <c r="D126" s="268"/>
      <c r="E126" s="278">
        <f t="shared" ca="1" si="11"/>
        <v>150.136897859768</v>
      </c>
      <c r="F126" s="278">
        <f t="shared" ca="1" si="11"/>
        <v>86.191046176046171</v>
      </c>
      <c r="G126" s="278"/>
      <c r="H126" s="18">
        <f>Economic!K128</f>
        <v>885029.21499999997</v>
      </c>
      <c r="I126" s="18">
        <f t="shared" si="14"/>
        <v>31</v>
      </c>
      <c r="K126" s="18">
        <f>'GS 50-999 Predicted Monthly'!$V$10</f>
        <v>-9326437.7987639103</v>
      </c>
      <c r="L126" s="18">
        <f ca="1">E126*'GS 50-999 Predicted Monthly'!$V$11</f>
        <v>2770756.4458996481</v>
      </c>
      <c r="M126" s="18">
        <f ca="1">F126*'GS 50-999 Predicted Monthly'!$V$12</f>
        <v>2484624.3481419561</v>
      </c>
      <c r="N126" s="18">
        <f>G126*'GS 50-999 Predicted Monthly'!$V$13</f>
        <v>0</v>
      </c>
      <c r="O126" s="18">
        <f>H126*'GS 50-999 Predicted Monthly'!$V$14</f>
        <v>6351290.7860926362</v>
      </c>
      <c r="P126" s="18">
        <f>I126*'GS 50-999 Predicted Monthly'!$V$15</f>
        <v>23929784.569177721</v>
      </c>
      <c r="Q126" s="18">
        <f t="shared" ca="1" si="8"/>
        <v>26210018.350548051</v>
      </c>
    </row>
    <row r="127" spans="1:19" x14ac:dyDescent="0.25">
      <c r="A127" s="3">
        <v>45809</v>
      </c>
      <c r="B127" s="1">
        <f t="shared" si="15"/>
        <v>2025</v>
      </c>
      <c r="C127" s="1">
        <f t="shared" si="16"/>
        <v>6</v>
      </c>
      <c r="D127" s="268"/>
      <c r="E127" s="278">
        <f t="shared" ca="1" si="11"/>
        <v>32.520923826173821</v>
      </c>
      <c r="F127" s="278">
        <f t="shared" ca="1" si="11"/>
        <v>194.94285087738348</v>
      </c>
      <c r="G127" s="278"/>
      <c r="H127" s="18">
        <f>Economic!K129</f>
        <v>885029.21499999997</v>
      </c>
      <c r="I127" s="18">
        <f t="shared" si="14"/>
        <v>30</v>
      </c>
      <c r="K127" s="18">
        <f>'GS 50-999 Predicted Monthly'!$V$10</f>
        <v>-9326437.7987639103</v>
      </c>
      <c r="L127" s="18">
        <f ca="1">E127*'GS 50-999 Predicted Monthly'!$V$11</f>
        <v>600169.3161540177</v>
      </c>
      <c r="M127" s="18">
        <f ca="1">F127*'GS 50-999 Predicted Monthly'!$V$12</f>
        <v>5619606.3892395888</v>
      </c>
      <c r="N127" s="18">
        <f>G127*'GS 50-999 Predicted Monthly'!$V$13</f>
        <v>0</v>
      </c>
      <c r="O127" s="18">
        <f>H127*'GS 50-999 Predicted Monthly'!$V$14</f>
        <v>6351290.7860926362</v>
      </c>
      <c r="P127" s="18">
        <f>I127*'GS 50-999 Predicted Monthly'!$V$15</f>
        <v>23157856.034688119</v>
      </c>
      <c r="Q127" s="18">
        <f t="shared" ca="1" si="8"/>
        <v>26402484.727410451</v>
      </c>
    </row>
    <row r="128" spans="1:19" x14ac:dyDescent="0.25">
      <c r="A128" s="3">
        <v>45839</v>
      </c>
      <c r="B128" s="1">
        <f t="shared" si="15"/>
        <v>2025</v>
      </c>
      <c r="C128" s="1">
        <f t="shared" si="16"/>
        <v>7</v>
      </c>
      <c r="D128" s="268"/>
      <c r="E128" s="278">
        <f t="shared" ca="1" si="11"/>
        <v>1.6179166666666653</v>
      </c>
      <c r="F128" s="278">
        <f t="shared" ca="1" si="11"/>
        <v>297.94737858727848</v>
      </c>
      <c r="G128" s="278"/>
      <c r="H128" s="18">
        <f>Economic!K130</f>
        <v>885765.78499999992</v>
      </c>
      <c r="I128" s="18">
        <f t="shared" si="14"/>
        <v>31</v>
      </c>
      <c r="K128" s="18">
        <f>'GS 50-999 Predicted Monthly'!$V$10</f>
        <v>-9326437.7987639103</v>
      </c>
      <c r="L128" s="18">
        <f ca="1">E128*'GS 50-999 Predicted Monthly'!$V$11</f>
        <v>29858.436513602697</v>
      </c>
      <c r="M128" s="18">
        <f ca="1">F128*'GS 50-999 Predicted Monthly'!$V$12</f>
        <v>8588912.0059057679</v>
      </c>
      <c r="N128" s="18">
        <f>G128*'GS 50-999 Predicted Monthly'!$V$13</f>
        <v>0</v>
      </c>
      <c r="O128" s="18">
        <f>H128*'GS 50-999 Predicted Monthly'!$V$14</f>
        <v>6356576.6796823889</v>
      </c>
      <c r="P128" s="18">
        <f>I128*'GS 50-999 Predicted Monthly'!$V$15</f>
        <v>23929784.569177721</v>
      </c>
      <c r="Q128" s="18">
        <f t="shared" ca="1" si="8"/>
        <v>29578693.89251557</v>
      </c>
    </row>
    <row r="129" spans="1:17" x14ac:dyDescent="0.25">
      <c r="A129" s="3">
        <v>45870</v>
      </c>
      <c r="B129" s="1">
        <f t="shared" si="15"/>
        <v>2025</v>
      </c>
      <c r="C129" s="1">
        <f t="shared" si="16"/>
        <v>8</v>
      </c>
      <c r="D129" s="268"/>
      <c r="E129" s="278">
        <f t="shared" ca="1" si="11"/>
        <v>5.6499999999999977</v>
      </c>
      <c r="F129" s="278">
        <f t="shared" ca="1" si="11"/>
        <v>272.96558794466404</v>
      </c>
      <c r="G129" s="278"/>
      <c r="H129" s="18">
        <f>Economic!K131</f>
        <v>885765.78499999992</v>
      </c>
      <c r="I129" s="18">
        <f t="shared" si="14"/>
        <v>31</v>
      </c>
      <c r="K129" s="18">
        <f>'GS 50-999 Predicted Monthly'!$V$10</f>
        <v>-9326437.7987639103</v>
      </c>
      <c r="L129" s="18">
        <f ca="1">E129*'GS 50-999 Predicted Monthly'!$V$11</f>
        <v>104269.99719918949</v>
      </c>
      <c r="M129" s="18">
        <f ca="1">F129*'GS 50-999 Predicted Monthly'!$V$12</f>
        <v>7868763.3588636462</v>
      </c>
      <c r="N129" s="18">
        <f>G129*'GS 50-999 Predicted Monthly'!$V$13</f>
        <v>0</v>
      </c>
      <c r="O129" s="18">
        <f>H129*'GS 50-999 Predicted Monthly'!$V$14</f>
        <v>6356576.6796823889</v>
      </c>
      <c r="P129" s="18">
        <f>I129*'GS 50-999 Predicted Monthly'!$V$15</f>
        <v>23929784.569177721</v>
      </c>
      <c r="Q129" s="18">
        <f t="shared" ca="1" si="8"/>
        <v>28932956.806159034</v>
      </c>
    </row>
    <row r="130" spans="1:17" x14ac:dyDescent="0.25">
      <c r="A130" s="3">
        <v>45901</v>
      </c>
      <c r="B130" s="1">
        <f t="shared" si="15"/>
        <v>2025</v>
      </c>
      <c r="C130" s="1">
        <f t="shared" si="16"/>
        <v>9</v>
      </c>
      <c r="D130" s="268"/>
      <c r="E130" s="278">
        <f t="shared" ca="1" si="11"/>
        <v>54.959440993788824</v>
      </c>
      <c r="F130" s="278">
        <f t="shared" ca="1" si="11"/>
        <v>158.67014233954447</v>
      </c>
      <c r="G130" s="278"/>
      <c r="H130" s="18">
        <f>Economic!K132</f>
        <v>885765.78499999992</v>
      </c>
      <c r="I130" s="18">
        <f t="shared" si="14"/>
        <v>30</v>
      </c>
      <c r="K130" s="18">
        <f>'GS 50-999 Predicted Monthly'!$V$10</f>
        <v>-9326437.7987639103</v>
      </c>
      <c r="L130" s="18">
        <f ca="1">E130*'GS 50-999 Predicted Monthly'!$V$11</f>
        <v>1014269.160794935</v>
      </c>
      <c r="M130" s="18">
        <f ca="1">F130*'GS 50-999 Predicted Monthly'!$V$12</f>
        <v>4573975.0991622871</v>
      </c>
      <c r="N130" s="18">
        <f>G130*'GS 50-999 Predicted Monthly'!$V$13</f>
        <v>0</v>
      </c>
      <c r="O130" s="18">
        <f>H130*'GS 50-999 Predicted Monthly'!$V$14</f>
        <v>6356576.6796823889</v>
      </c>
      <c r="P130" s="18">
        <f>I130*'GS 50-999 Predicted Monthly'!$V$15</f>
        <v>23157856.034688119</v>
      </c>
      <c r="Q130" s="18">
        <f t="shared" ca="1" si="8"/>
        <v>25776239.17556382</v>
      </c>
    </row>
    <row r="131" spans="1:17" x14ac:dyDescent="0.25">
      <c r="A131" s="3">
        <v>45931</v>
      </c>
      <c r="B131" s="1">
        <f t="shared" si="15"/>
        <v>2025</v>
      </c>
      <c r="C131" s="1">
        <f t="shared" si="16"/>
        <v>10</v>
      </c>
      <c r="D131" s="268"/>
      <c r="E131" s="278">
        <f t="shared" ca="1" si="11"/>
        <v>237.89681159420289</v>
      </c>
      <c r="F131" s="278">
        <f t="shared" ca="1" si="11"/>
        <v>35.32833333333334</v>
      </c>
      <c r="G131" s="278"/>
      <c r="H131" s="18">
        <f>Economic!K133</f>
        <v>890124.51566799986</v>
      </c>
      <c r="I131" s="18">
        <f t="shared" si="14"/>
        <v>31</v>
      </c>
      <c r="K131" s="18">
        <f>'GS 50-999 Predicted Monthly'!$V$10</f>
        <v>-9326437.7987639103</v>
      </c>
      <c r="L131" s="18">
        <f ca="1">E131*'GS 50-999 Predicted Monthly'!$V$11</f>
        <v>4390353.9608183457</v>
      </c>
      <c r="M131" s="18">
        <f ca="1">F131*'GS 50-999 Predicted Monthly'!$V$12</f>
        <v>1018407.8401831704</v>
      </c>
      <c r="N131" s="18">
        <f>G131*'GS 50-999 Predicted Monthly'!$V$13</f>
        <v>0</v>
      </c>
      <c r="O131" s="18">
        <f>H131*'GS 50-999 Predicted Monthly'!$V$14</f>
        <v>6387856.5125529086</v>
      </c>
      <c r="P131" s="18">
        <f>I131*'GS 50-999 Predicted Monthly'!$V$15</f>
        <v>23929784.569177721</v>
      </c>
      <c r="Q131" s="18">
        <f t="shared" ref="Q131:Q145" ca="1" si="17">SUM(K131:P131)</f>
        <v>26399965.083968237</v>
      </c>
    </row>
    <row r="132" spans="1:17" x14ac:dyDescent="0.25">
      <c r="A132" s="3">
        <v>45962</v>
      </c>
      <c r="B132" s="1">
        <f t="shared" si="15"/>
        <v>2025</v>
      </c>
      <c r="C132" s="1">
        <f t="shared" si="16"/>
        <v>11</v>
      </c>
      <c r="D132" s="268"/>
      <c r="E132" s="278">
        <f t="shared" ca="1" si="11"/>
        <v>426.62991389045737</v>
      </c>
      <c r="F132" s="278">
        <f t="shared" ca="1" si="11"/>
        <v>2.2779166666666657</v>
      </c>
      <c r="G132" s="278"/>
      <c r="H132" s="18">
        <f>Economic!K134</f>
        <v>890124.51566799986</v>
      </c>
      <c r="I132" s="18">
        <f t="shared" si="14"/>
        <v>30</v>
      </c>
      <c r="K132" s="18">
        <f>'GS 50-999 Predicted Monthly'!$V$10</f>
        <v>-9326437.7987639103</v>
      </c>
      <c r="L132" s="18">
        <f ca="1">E132*'GS 50-999 Predicted Monthly'!$V$11</f>
        <v>7873398.2170705236</v>
      </c>
      <c r="M132" s="18">
        <f ca="1">F132*'GS 50-999 Predicted Monthly'!$V$12</f>
        <v>65665.373192921048</v>
      </c>
      <c r="N132" s="18">
        <f>G132*'GS 50-999 Predicted Monthly'!$V$13</f>
        <v>0</v>
      </c>
      <c r="O132" s="18">
        <f>H132*'GS 50-999 Predicted Monthly'!$V$14</f>
        <v>6387856.5125529086</v>
      </c>
      <c r="P132" s="18">
        <f>I132*'GS 50-999 Predicted Monthly'!$V$15</f>
        <v>23157856.034688119</v>
      </c>
      <c r="Q132" s="18">
        <f t="shared" ca="1" si="17"/>
        <v>28158338.338740561</v>
      </c>
    </row>
    <row r="133" spans="1:17" x14ac:dyDescent="0.25">
      <c r="A133" s="3">
        <v>45992</v>
      </c>
      <c r="B133" s="1">
        <f t="shared" si="15"/>
        <v>2025</v>
      </c>
      <c r="C133" s="1">
        <f t="shared" si="16"/>
        <v>12</v>
      </c>
      <c r="D133" s="268"/>
      <c r="E133" s="278">
        <f t="shared" ca="1" si="11"/>
        <v>577.92800724637686</v>
      </c>
      <c r="F133" s="278">
        <f t="shared" ca="1" si="11"/>
        <v>0</v>
      </c>
      <c r="G133" s="278"/>
      <c r="H133" s="18">
        <f>Economic!K135</f>
        <v>890124.51566799986</v>
      </c>
      <c r="I133" s="18">
        <f t="shared" si="14"/>
        <v>31</v>
      </c>
      <c r="K133" s="18">
        <f>'GS 50-999 Predicted Monthly'!$V$10</f>
        <v>-9326437.7987639103</v>
      </c>
      <c r="L133" s="18">
        <f ca="1">E133*'GS 50-999 Predicted Monthly'!$V$11</f>
        <v>10665584.371135026</v>
      </c>
      <c r="M133" s="18">
        <f ca="1">F133*'GS 50-999 Predicted Monthly'!$V$12</f>
        <v>0</v>
      </c>
      <c r="N133" s="18">
        <f>G133*'GS 50-999 Predicted Monthly'!$V$13</f>
        <v>0</v>
      </c>
      <c r="O133" s="18">
        <f>H133*'GS 50-999 Predicted Monthly'!$V$14</f>
        <v>6387856.5125529086</v>
      </c>
      <c r="P133" s="18">
        <f>I133*'GS 50-999 Predicted Monthly'!$V$15</f>
        <v>23929784.569177721</v>
      </c>
      <c r="Q133" s="18">
        <f t="shared" ca="1" si="17"/>
        <v>31656787.654101744</v>
      </c>
    </row>
    <row r="134" spans="1:17" x14ac:dyDescent="0.25">
      <c r="A134" s="3">
        <v>46023</v>
      </c>
      <c r="B134" s="1">
        <f t="shared" si="15"/>
        <v>2026</v>
      </c>
      <c r="C134" s="1">
        <f t="shared" si="16"/>
        <v>1</v>
      </c>
      <c r="D134" s="268"/>
      <c r="E134" s="278">
        <f t="shared" ref="E134:F145" ca="1" si="18">E122</f>
        <v>697.33418478260876</v>
      </c>
      <c r="F134" s="278">
        <f t="shared" ca="1" si="18"/>
        <v>0</v>
      </c>
      <c r="G134" s="278"/>
      <c r="H134" s="18">
        <f>Economic!K136</f>
        <v>890212.06256199977</v>
      </c>
      <c r="I134" s="18">
        <f t="shared" si="14"/>
        <v>31</v>
      </c>
      <c r="K134" s="18">
        <f>'GS 50-999 Predicted Monthly'!$V$10</f>
        <v>-9326437.7987639103</v>
      </c>
      <c r="L134" s="18">
        <f ca="1">E134*'GS 50-999 Predicted Monthly'!$V$11</f>
        <v>12869209.467996765</v>
      </c>
      <c r="M134" s="18">
        <f ca="1">F134*'GS 50-999 Predicted Monthly'!$V$12</f>
        <v>0</v>
      </c>
      <c r="N134" s="18">
        <f>G134*'GS 50-999 Predicted Monthly'!$V$13</f>
        <v>0</v>
      </c>
      <c r="O134" s="18">
        <f>H134*'GS 50-999 Predicted Monthly'!$V$14</f>
        <v>6388484.7808312755</v>
      </c>
      <c r="P134" s="18">
        <f>I134*'GS 50-999 Predicted Monthly'!$V$15</f>
        <v>23929784.569177721</v>
      </c>
      <c r="Q134" s="18">
        <f t="shared" ca="1" si="17"/>
        <v>33861041.019241855</v>
      </c>
    </row>
    <row r="135" spans="1:17" x14ac:dyDescent="0.25">
      <c r="A135" s="3">
        <v>46054</v>
      </c>
      <c r="B135" s="1">
        <f t="shared" si="15"/>
        <v>2026</v>
      </c>
      <c r="C135" s="1">
        <f t="shared" si="16"/>
        <v>2</v>
      </c>
      <c r="D135" s="268"/>
      <c r="E135" s="278">
        <f t="shared" ca="1" si="18"/>
        <v>624.25501811594188</v>
      </c>
      <c r="F135" s="278">
        <f t="shared" ca="1" si="18"/>
        <v>0</v>
      </c>
      <c r="G135" s="278"/>
      <c r="H135" s="18">
        <f>Economic!K137</f>
        <v>890212.06256199977</v>
      </c>
      <c r="I135" s="18">
        <f t="shared" si="14"/>
        <v>28</v>
      </c>
      <c r="K135" s="18">
        <f>'GS 50-999 Predicted Monthly'!$V$10</f>
        <v>-9326437.7987639103</v>
      </c>
      <c r="L135" s="18">
        <f ca="1">E135*'GS 50-999 Predicted Monthly'!$V$11</f>
        <v>11520543.184164472</v>
      </c>
      <c r="M135" s="18">
        <f ca="1">F135*'GS 50-999 Predicted Monthly'!$V$12</f>
        <v>0</v>
      </c>
      <c r="N135" s="18">
        <f>G135*'GS 50-999 Predicted Monthly'!$V$13</f>
        <v>0</v>
      </c>
      <c r="O135" s="18">
        <f>H135*'GS 50-999 Predicted Monthly'!$V$14</f>
        <v>6388484.7808312755</v>
      </c>
      <c r="P135" s="18">
        <f>I135*'GS 50-999 Predicted Monthly'!$V$15</f>
        <v>21613998.965708911</v>
      </c>
      <c r="Q135" s="18">
        <f t="shared" ca="1" si="17"/>
        <v>30196589.131940749</v>
      </c>
    </row>
    <row r="136" spans="1:17" x14ac:dyDescent="0.25">
      <c r="A136" s="3">
        <v>46082</v>
      </c>
      <c r="B136" s="1">
        <f t="shared" si="15"/>
        <v>2026</v>
      </c>
      <c r="C136" s="1">
        <f t="shared" si="16"/>
        <v>3</v>
      </c>
      <c r="D136" s="268"/>
      <c r="E136" s="278">
        <f t="shared" ca="1" si="18"/>
        <v>546.13298913043491</v>
      </c>
      <c r="F136" s="278">
        <f t="shared" ca="1" si="18"/>
        <v>2.9583333333332896E-2</v>
      </c>
      <c r="G136" s="278"/>
      <c r="H136" s="18">
        <f>Economic!K138</f>
        <v>890212.06256199977</v>
      </c>
      <c r="I136" s="18">
        <f t="shared" si="14"/>
        <v>31</v>
      </c>
      <c r="K136" s="18">
        <f>'GS 50-999 Predicted Monthly'!$V$10</f>
        <v>-9326437.7987639103</v>
      </c>
      <c r="L136" s="18">
        <f ca="1">E136*'GS 50-999 Predicted Monthly'!$V$11</f>
        <v>10078811.548144327</v>
      </c>
      <c r="M136" s="18">
        <f ca="1">F136*'GS 50-999 Predicted Monthly'!$V$12</f>
        <v>852.79705445350771</v>
      </c>
      <c r="N136" s="18">
        <f>G136*'GS 50-999 Predicted Monthly'!$V$13</f>
        <v>0</v>
      </c>
      <c r="O136" s="18">
        <f>H136*'GS 50-999 Predicted Monthly'!$V$14</f>
        <v>6388484.7808312755</v>
      </c>
      <c r="P136" s="18">
        <f>I136*'GS 50-999 Predicted Monthly'!$V$15</f>
        <v>23929784.569177721</v>
      </c>
      <c r="Q136" s="18">
        <f t="shared" ca="1" si="17"/>
        <v>31071495.896443866</v>
      </c>
    </row>
    <row r="137" spans="1:17" x14ac:dyDescent="0.25">
      <c r="A137" s="3">
        <v>46113</v>
      </c>
      <c r="B137" s="1">
        <f t="shared" si="15"/>
        <v>2026</v>
      </c>
      <c r="C137" s="1">
        <f t="shared" si="16"/>
        <v>4</v>
      </c>
      <c r="D137" s="268"/>
      <c r="E137" s="278">
        <f t="shared" ca="1" si="18"/>
        <v>352.41399621212122</v>
      </c>
      <c r="F137" s="278">
        <f t="shared" ca="1" si="18"/>
        <v>5.6420833333333338</v>
      </c>
      <c r="G137" s="278"/>
      <c r="H137" s="18">
        <f>Economic!K139</f>
        <v>892994.47793499986</v>
      </c>
      <c r="I137" s="18">
        <f t="shared" si="14"/>
        <v>30</v>
      </c>
      <c r="K137" s="18">
        <f>'GS 50-999 Predicted Monthly'!$V$10</f>
        <v>-9326437.7987639103</v>
      </c>
      <c r="L137" s="18">
        <f ca="1">E137*'GS 50-999 Predicted Monthly'!$V$11</f>
        <v>6503753.3447775338</v>
      </c>
      <c r="M137" s="18">
        <f ca="1">F137*'GS 50-999 Predicted Monthly'!$V$12</f>
        <v>162644.01287824113</v>
      </c>
      <c r="N137" s="18">
        <f>G137*'GS 50-999 Predicted Monthly'!$V$13</f>
        <v>0</v>
      </c>
      <c r="O137" s="18">
        <f>H137*'GS 50-999 Predicted Monthly'!$V$14</f>
        <v>6408452.4031674694</v>
      </c>
      <c r="P137" s="18">
        <f>I137*'GS 50-999 Predicted Monthly'!$V$15</f>
        <v>23157856.034688119</v>
      </c>
      <c r="Q137" s="18">
        <f t="shared" ca="1" si="17"/>
        <v>26906267.996747453</v>
      </c>
    </row>
    <row r="138" spans="1:17" x14ac:dyDescent="0.25">
      <c r="A138" s="3">
        <v>46143</v>
      </c>
      <c r="B138" s="1">
        <f t="shared" si="15"/>
        <v>2026</v>
      </c>
      <c r="C138" s="1">
        <f t="shared" si="16"/>
        <v>5</v>
      </c>
      <c r="D138" s="268"/>
      <c r="E138" s="278">
        <f t="shared" ca="1" si="18"/>
        <v>150.136897859768</v>
      </c>
      <c r="F138" s="278">
        <f t="shared" ca="1" si="18"/>
        <v>86.191046176046171</v>
      </c>
      <c r="G138" s="278"/>
      <c r="H138" s="18">
        <f>Economic!K140</f>
        <v>892994.47793499986</v>
      </c>
      <c r="I138" s="18">
        <f t="shared" si="14"/>
        <v>31</v>
      </c>
      <c r="K138" s="18">
        <f>'GS 50-999 Predicted Monthly'!$V$10</f>
        <v>-9326437.7987639103</v>
      </c>
      <c r="L138" s="18">
        <f ca="1">E138*'GS 50-999 Predicted Monthly'!$V$11</f>
        <v>2770756.4458996481</v>
      </c>
      <c r="M138" s="18">
        <f ca="1">F138*'GS 50-999 Predicted Monthly'!$V$12</f>
        <v>2484624.3481419561</v>
      </c>
      <c r="N138" s="18">
        <f>G138*'GS 50-999 Predicted Monthly'!$V$13</f>
        <v>0</v>
      </c>
      <c r="O138" s="18">
        <f>H138*'GS 50-999 Predicted Monthly'!$V$14</f>
        <v>6408452.4031674694</v>
      </c>
      <c r="P138" s="18">
        <f>I138*'GS 50-999 Predicted Monthly'!$V$15</f>
        <v>23929784.569177721</v>
      </c>
      <c r="Q138" s="18">
        <f t="shared" ca="1" si="17"/>
        <v>26267179.967622884</v>
      </c>
    </row>
    <row r="139" spans="1:17" x14ac:dyDescent="0.25">
      <c r="A139" s="3">
        <v>46174</v>
      </c>
      <c r="B139" s="1">
        <f t="shared" si="15"/>
        <v>2026</v>
      </c>
      <c r="C139" s="1">
        <f t="shared" si="16"/>
        <v>6</v>
      </c>
      <c r="D139" s="268"/>
      <c r="E139" s="278">
        <f t="shared" ca="1" si="18"/>
        <v>32.520923826173821</v>
      </c>
      <c r="F139" s="278">
        <f t="shared" ca="1" si="18"/>
        <v>194.94285087738348</v>
      </c>
      <c r="G139" s="278"/>
      <c r="H139" s="18">
        <f>Economic!K141</f>
        <v>892994.47793499986</v>
      </c>
      <c r="I139" s="18">
        <f t="shared" si="14"/>
        <v>30</v>
      </c>
      <c r="K139" s="18">
        <f>'GS 50-999 Predicted Monthly'!$V$10</f>
        <v>-9326437.7987639103</v>
      </c>
      <c r="L139" s="18">
        <f ca="1">E139*'GS 50-999 Predicted Monthly'!$V$11</f>
        <v>600169.3161540177</v>
      </c>
      <c r="M139" s="18">
        <f ca="1">F139*'GS 50-999 Predicted Monthly'!$V$12</f>
        <v>5619606.3892395888</v>
      </c>
      <c r="N139" s="18">
        <f>G139*'GS 50-999 Predicted Monthly'!$V$13</f>
        <v>0</v>
      </c>
      <c r="O139" s="18">
        <f>H139*'GS 50-999 Predicted Monthly'!$V$14</f>
        <v>6408452.4031674694</v>
      </c>
      <c r="P139" s="18">
        <f>I139*'GS 50-999 Predicted Monthly'!$V$15</f>
        <v>23157856.034688119</v>
      </c>
      <c r="Q139" s="18">
        <f t="shared" ca="1" si="17"/>
        <v>26459646.344485283</v>
      </c>
    </row>
    <row r="140" spans="1:17" x14ac:dyDescent="0.25">
      <c r="A140" s="3">
        <v>46204</v>
      </c>
      <c r="B140" s="1">
        <f t="shared" si="15"/>
        <v>2026</v>
      </c>
      <c r="C140" s="1">
        <f t="shared" si="16"/>
        <v>7</v>
      </c>
      <c r="D140" s="268"/>
      <c r="E140" s="278">
        <f t="shared" ca="1" si="18"/>
        <v>1.6179166666666653</v>
      </c>
      <c r="F140" s="278">
        <f t="shared" ca="1" si="18"/>
        <v>297.94737858727848</v>
      </c>
      <c r="G140" s="278"/>
      <c r="H140" s="18">
        <f>Economic!K142</f>
        <v>893737.67706499982</v>
      </c>
      <c r="I140" s="18">
        <f t="shared" si="14"/>
        <v>31</v>
      </c>
      <c r="K140" s="18">
        <f>'GS 50-999 Predicted Monthly'!$V$10</f>
        <v>-9326437.7987639103</v>
      </c>
      <c r="L140" s="18">
        <f ca="1">E140*'GS 50-999 Predicted Monthly'!$V$11</f>
        <v>29858.436513602697</v>
      </c>
      <c r="M140" s="18">
        <f ca="1">F140*'GS 50-999 Predicted Monthly'!$V$12</f>
        <v>8588912.0059057679</v>
      </c>
      <c r="N140" s="18">
        <f>G140*'GS 50-999 Predicted Monthly'!$V$13</f>
        <v>0</v>
      </c>
      <c r="O140" s="18">
        <f>H140*'GS 50-999 Predicted Monthly'!$V$14</f>
        <v>6413785.8697995292</v>
      </c>
      <c r="P140" s="18">
        <f>I140*'GS 50-999 Predicted Monthly'!$V$15</f>
        <v>23929784.569177721</v>
      </c>
      <c r="Q140" s="18">
        <f t="shared" ca="1" si="17"/>
        <v>29635903.082632709</v>
      </c>
    </row>
    <row r="141" spans="1:17" x14ac:dyDescent="0.25">
      <c r="A141" s="3">
        <v>46235</v>
      </c>
      <c r="B141" s="1">
        <f t="shared" si="15"/>
        <v>2026</v>
      </c>
      <c r="C141" s="1">
        <f t="shared" si="16"/>
        <v>8</v>
      </c>
      <c r="D141" s="268"/>
      <c r="E141" s="278">
        <f t="shared" ca="1" si="18"/>
        <v>5.6499999999999977</v>
      </c>
      <c r="F141" s="278">
        <f t="shared" ca="1" si="18"/>
        <v>272.96558794466404</v>
      </c>
      <c r="G141" s="278"/>
      <c r="H141" s="18">
        <f>Economic!K143</f>
        <v>893737.67706499982</v>
      </c>
      <c r="I141" s="18">
        <f t="shared" si="14"/>
        <v>31</v>
      </c>
      <c r="K141" s="18">
        <f>'GS 50-999 Predicted Monthly'!$V$10</f>
        <v>-9326437.7987639103</v>
      </c>
      <c r="L141" s="18">
        <f ca="1">E141*'GS 50-999 Predicted Monthly'!$V$11</f>
        <v>104269.99719918949</v>
      </c>
      <c r="M141" s="18">
        <f ca="1">F141*'GS 50-999 Predicted Monthly'!$V$12</f>
        <v>7868763.3588636462</v>
      </c>
      <c r="N141" s="18">
        <f>G141*'GS 50-999 Predicted Monthly'!$V$13</f>
        <v>0</v>
      </c>
      <c r="O141" s="18">
        <f>H141*'GS 50-999 Predicted Monthly'!$V$14</f>
        <v>6413785.8697995292</v>
      </c>
      <c r="P141" s="18">
        <f>I141*'GS 50-999 Predicted Monthly'!$V$15</f>
        <v>23929784.569177721</v>
      </c>
      <c r="Q141" s="18">
        <f t="shared" ca="1" si="17"/>
        <v>28990165.996276174</v>
      </c>
    </row>
    <row r="142" spans="1:17" x14ac:dyDescent="0.25">
      <c r="A142" s="3">
        <v>46266</v>
      </c>
      <c r="B142" s="1">
        <f t="shared" si="15"/>
        <v>2026</v>
      </c>
      <c r="C142" s="1">
        <f t="shared" si="16"/>
        <v>9</v>
      </c>
      <c r="D142" s="268"/>
      <c r="E142" s="278">
        <f t="shared" ca="1" si="18"/>
        <v>54.959440993788824</v>
      </c>
      <c r="F142" s="278">
        <f t="shared" ca="1" si="18"/>
        <v>158.67014233954447</v>
      </c>
      <c r="G142" s="278"/>
      <c r="H142" s="18">
        <f>Economic!K144</f>
        <v>893737.67706499982</v>
      </c>
      <c r="I142" s="18">
        <f t="shared" si="14"/>
        <v>30</v>
      </c>
      <c r="K142" s="18">
        <f>'GS 50-999 Predicted Monthly'!$V$10</f>
        <v>-9326437.7987639103</v>
      </c>
      <c r="L142" s="18">
        <f ca="1">E142*'GS 50-999 Predicted Monthly'!$V$11</f>
        <v>1014269.160794935</v>
      </c>
      <c r="M142" s="18">
        <f ca="1">F142*'GS 50-999 Predicted Monthly'!$V$12</f>
        <v>4573975.0991622871</v>
      </c>
      <c r="N142" s="18">
        <f>G142*'GS 50-999 Predicted Monthly'!$V$13</f>
        <v>0</v>
      </c>
      <c r="O142" s="18">
        <f>H142*'GS 50-999 Predicted Monthly'!$V$14</f>
        <v>6413785.8697995292</v>
      </c>
      <c r="P142" s="18">
        <f>I142*'GS 50-999 Predicted Monthly'!$V$15</f>
        <v>23157856.034688119</v>
      </c>
      <c r="Q142" s="18">
        <f t="shared" ca="1" si="17"/>
        <v>25833448.365680959</v>
      </c>
    </row>
    <row r="143" spans="1:17" x14ac:dyDescent="0.25">
      <c r="A143" s="3">
        <v>46296</v>
      </c>
      <c r="B143" s="1">
        <f t="shared" si="15"/>
        <v>2026</v>
      </c>
      <c r="C143" s="1">
        <f t="shared" si="16"/>
        <v>10</v>
      </c>
      <c r="D143" s="268"/>
      <c r="E143" s="278">
        <f t="shared" ca="1" si="18"/>
        <v>237.89681159420289</v>
      </c>
      <c r="F143" s="278">
        <f t="shared" ca="1" si="18"/>
        <v>35.32833333333334</v>
      </c>
      <c r="G143" s="278"/>
      <c r="H143" s="18">
        <f>Economic!K145</f>
        <v>898135.63630901172</v>
      </c>
      <c r="I143" s="18">
        <f t="shared" si="14"/>
        <v>31</v>
      </c>
      <c r="K143" s="18">
        <f>'GS 50-999 Predicted Monthly'!$V$10</f>
        <v>-9326437.7987639103</v>
      </c>
      <c r="L143" s="18">
        <f ca="1">E143*'GS 50-999 Predicted Monthly'!$V$11</f>
        <v>4390353.9608183457</v>
      </c>
      <c r="M143" s="18">
        <f ca="1">F143*'GS 50-999 Predicted Monthly'!$V$12</f>
        <v>1018407.8401831704</v>
      </c>
      <c r="N143" s="18">
        <f>G143*'GS 50-999 Predicted Monthly'!$V$13</f>
        <v>0</v>
      </c>
      <c r="O143" s="18">
        <f>H143*'GS 50-999 Predicted Monthly'!$V$14</f>
        <v>6445347.2211658834</v>
      </c>
      <c r="P143" s="18">
        <f>I143*'GS 50-999 Predicted Monthly'!$V$15</f>
        <v>23929784.569177721</v>
      </c>
      <c r="Q143" s="18">
        <f t="shared" ca="1" si="17"/>
        <v>26457455.792581208</v>
      </c>
    </row>
    <row r="144" spans="1:17" x14ac:dyDescent="0.25">
      <c r="A144" s="3">
        <v>46327</v>
      </c>
      <c r="B144" s="1">
        <f t="shared" si="15"/>
        <v>2026</v>
      </c>
      <c r="C144" s="1">
        <f t="shared" si="16"/>
        <v>11</v>
      </c>
      <c r="D144" s="268"/>
      <c r="E144" s="278">
        <f t="shared" ca="1" si="18"/>
        <v>426.62991389045737</v>
      </c>
      <c r="F144" s="278">
        <f t="shared" ca="1" si="18"/>
        <v>2.2779166666666657</v>
      </c>
      <c r="G144" s="278"/>
      <c r="H144" s="18">
        <f>Economic!K146</f>
        <v>898135.63630901172</v>
      </c>
      <c r="I144" s="18">
        <f t="shared" si="14"/>
        <v>30</v>
      </c>
      <c r="K144" s="18">
        <f>'GS 50-999 Predicted Monthly'!$V$10</f>
        <v>-9326437.7987639103</v>
      </c>
      <c r="L144" s="18">
        <f ca="1">E144*'GS 50-999 Predicted Monthly'!$V$11</f>
        <v>7873398.2170705236</v>
      </c>
      <c r="M144" s="18">
        <f ca="1">F144*'GS 50-999 Predicted Monthly'!$V$12</f>
        <v>65665.373192921048</v>
      </c>
      <c r="N144" s="18">
        <f>G144*'GS 50-999 Predicted Monthly'!$V$13</f>
        <v>0</v>
      </c>
      <c r="O144" s="18">
        <f>H144*'GS 50-999 Predicted Monthly'!$V$14</f>
        <v>6445347.2211658834</v>
      </c>
      <c r="P144" s="18">
        <f>I144*'GS 50-999 Predicted Monthly'!$V$15</f>
        <v>23157856.034688119</v>
      </c>
      <c r="Q144" s="18">
        <f t="shared" ca="1" si="17"/>
        <v>28215829.047353536</v>
      </c>
    </row>
    <row r="145" spans="1:17" x14ac:dyDescent="0.25">
      <c r="A145" s="3">
        <v>46357</v>
      </c>
      <c r="B145" s="1">
        <f t="shared" si="15"/>
        <v>2026</v>
      </c>
      <c r="C145" s="1">
        <f t="shared" si="16"/>
        <v>12</v>
      </c>
      <c r="D145" s="268"/>
      <c r="E145" s="278">
        <f t="shared" ca="1" si="18"/>
        <v>577.92800724637686</v>
      </c>
      <c r="F145" s="278">
        <f t="shared" ca="1" si="18"/>
        <v>0</v>
      </c>
      <c r="G145" s="278"/>
      <c r="H145" s="18">
        <f>Economic!K147</f>
        <v>898135.63630901172</v>
      </c>
      <c r="I145" s="18">
        <f t="shared" si="14"/>
        <v>31</v>
      </c>
      <c r="K145" s="18">
        <f>'GS 50-999 Predicted Monthly'!$V$10</f>
        <v>-9326437.7987639103</v>
      </c>
      <c r="L145" s="18">
        <f ca="1">E145*'GS 50-999 Predicted Monthly'!$V$11</f>
        <v>10665584.371135026</v>
      </c>
      <c r="M145" s="18">
        <f ca="1">F145*'GS 50-999 Predicted Monthly'!$V$12</f>
        <v>0</v>
      </c>
      <c r="N145" s="18">
        <f>G145*'GS 50-999 Predicted Monthly'!$V$13</f>
        <v>0</v>
      </c>
      <c r="O145" s="18">
        <f>H145*'GS 50-999 Predicted Monthly'!$V$14</f>
        <v>6445347.2211658834</v>
      </c>
      <c r="P145" s="18">
        <f>I145*'GS 50-999 Predicted Monthly'!$V$15</f>
        <v>23929784.569177721</v>
      </c>
      <c r="Q145" s="18">
        <f t="shared" ca="1" si="17"/>
        <v>31714278.362714719</v>
      </c>
    </row>
    <row r="195" spans="7:20" x14ac:dyDescent="0.25">
      <c r="G195" s="18"/>
      <c r="H195" s="18"/>
      <c r="I195" s="18"/>
      <c r="L195" s="18"/>
      <c r="M195" s="18"/>
      <c r="N195" s="18"/>
      <c r="O195" s="18"/>
      <c r="P195" s="18"/>
      <c r="Q195" s="18"/>
      <c r="R195" s="18"/>
      <c r="S195" s="18"/>
      <c r="T195" s="18"/>
    </row>
    <row r="196" spans="7:20" x14ac:dyDescent="0.25">
      <c r="G196" s="18"/>
      <c r="H196" s="18"/>
      <c r="I196" s="18"/>
      <c r="L196" s="18"/>
      <c r="M196" s="18"/>
      <c r="N196" s="18"/>
      <c r="O196" s="18"/>
      <c r="P196" s="18"/>
      <c r="Q196" s="18"/>
      <c r="R196" s="18"/>
      <c r="S196" s="18"/>
      <c r="T196" s="18"/>
    </row>
    <row r="197" spans="7:20" x14ac:dyDescent="0.25">
      <c r="G197" s="18"/>
      <c r="H197" s="18"/>
      <c r="I197" s="18"/>
      <c r="L197" s="18"/>
      <c r="M197" s="18"/>
      <c r="N197" s="18"/>
      <c r="O197" s="18"/>
      <c r="P197" s="18"/>
      <c r="Q197" s="18"/>
      <c r="R197" s="18"/>
      <c r="S197" s="18"/>
      <c r="T197" s="18"/>
    </row>
    <row r="198" spans="7:20" x14ac:dyDescent="0.25">
      <c r="G198" s="18"/>
      <c r="H198" s="18"/>
      <c r="I198" s="18"/>
      <c r="L198" s="18"/>
      <c r="M198" s="18"/>
      <c r="N198" s="18"/>
      <c r="O198" s="18"/>
      <c r="P198" s="18"/>
      <c r="Q198" s="18"/>
      <c r="R198" s="18"/>
      <c r="S198" s="18"/>
      <c r="T198" s="18"/>
    </row>
    <row r="199" spans="7:20" x14ac:dyDescent="0.25">
      <c r="G199" s="18"/>
      <c r="H199" s="18"/>
      <c r="I199" s="18"/>
      <c r="L199" s="18"/>
      <c r="M199" s="18"/>
      <c r="N199" s="18"/>
      <c r="O199" s="18"/>
      <c r="P199" s="18"/>
      <c r="Q199" s="18"/>
      <c r="R199" s="18"/>
      <c r="S199" s="18"/>
      <c r="T199" s="18"/>
    </row>
    <row r="200" spans="7:20" x14ac:dyDescent="0.25">
      <c r="G200" s="18"/>
      <c r="H200" s="18"/>
      <c r="I200" s="18"/>
      <c r="L200" s="18"/>
      <c r="M200" s="18"/>
      <c r="N200" s="18"/>
      <c r="O200" s="18"/>
      <c r="P200" s="18"/>
      <c r="Q200" s="18"/>
      <c r="R200" s="18"/>
      <c r="S200" s="18"/>
      <c r="T200" s="18"/>
    </row>
    <row r="201" spans="7:20" x14ac:dyDescent="0.25">
      <c r="G201" s="18"/>
      <c r="H201" s="18"/>
      <c r="I201" s="18"/>
      <c r="L201" s="18"/>
      <c r="M201" s="18"/>
      <c r="N201" s="18"/>
      <c r="O201" s="18"/>
      <c r="P201" s="18"/>
      <c r="Q201" s="18"/>
      <c r="R201" s="18"/>
      <c r="S201" s="18"/>
      <c r="T201" s="18"/>
    </row>
    <row r="202" spans="7:20" x14ac:dyDescent="0.25">
      <c r="G202" s="18"/>
      <c r="H202" s="18"/>
      <c r="I202" s="18"/>
      <c r="L202" s="18"/>
      <c r="M202" s="18"/>
      <c r="N202" s="18"/>
      <c r="O202" s="18"/>
      <c r="P202" s="18"/>
      <c r="Q202" s="18"/>
      <c r="R202" s="18"/>
      <c r="S202" s="18"/>
      <c r="T202" s="18"/>
    </row>
    <row r="204" spans="7:20" x14ac:dyDescent="0.25">
      <c r="K204" s="24"/>
      <c r="L204" s="24"/>
      <c r="M204" s="24"/>
      <c r="N204" s="24"/>
      <c r="O204" s="24"/>
      <c r="P204" s="24"/>
      <c r="Q204" s="24"/>
      <c r="R204" s="24"/>
      <c r="S204" s="24"/>
      <c r="T204" s="24"/>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R204"/>
  <sheetViews>
    <sheetView topLeftCell="J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8" width="9.44140625" style="1" bestFit="1" customWidth="1"/>
    <col min="9" max="9" width="9.33203125" style="1"/>
    <col min="10" max="10" width="14.77734375" style="1" bestFit="1" customWidth="1"/>
    <col min="11" max="11" width="12.88671875" style="1" bestFit="1" customWidth="1"/>
    <col min="12" max="12" width="13.88671875" style="1" bestFit="1" customWidth="1"/>
    <col min="13" max="14" width="13.77734375" style="1" customWidth="1"/>
    <col min="15" max="15" width="19.6640625" style="1" customWidth="1"/>
    <col min="16" max="16" width="13.77734375" style="1" bestFit="1" customWidth="1"/>
    <col min="17" max="17" width="12.44140625" style="1" bestFit="1" customWidth="1"/>
    <col min="18" max="16384" width="9.33203125" style="1"/>
  </cols>
  <sheetData>
    <row r="1" spans="1:15"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J1" s="274" t="s">
        <v>152</v>
      </c>
      <c r="K1" s="276" t="str">
        <f>E1</f>
        <v>CDD16</v>
      </c>
      <c r="L1" s="276" t="str">
        <f>F1</f>
        <v>COVID_AM</v>
      </c>
      <c r="M1" s="276" t="str">
        <f>G1</f>
        <v>Osh_FTEAdj</v>
      </c>
      <c r="N1" s="276" t="str">
        <f>H1</f>
        <v>Month Days</v>
      </c>
      <c r="O1" s="274" t="s">
        <v>414</v>
      </c>
    </row>
    <row r="2" spans="1:15" x14ac:dyDescent="0.25">
      <c r="A2" s="3">
        <f>'Monthly Data'!A2</f>
        <v>42005</v>
      </c>
      <c r="B2" s="1">
        <f t="shared" ref="B2:B65" si="0">YEAR(A2)</f>
        <v>2015</v>
      </c>
      <c r="C2" s="1">
        <f t="shared" ref="C2:C65" si="1">MONTH(A2)</f>
        <v>1</v>
      </c>
      <c r="D2" s="268">
        <f>'Monthly Data'!S2</f>
        <v>6697602.8367803404</v>
      </c>
      <c r="E2" s="278">
        <f ca="1">Weather!BE34</f>
        <v>0</v>
      </c>
      <c r="F2" s="278">
        <f>'Monthly Data'!CG2</f>
        <v>0</v>
      </c>
      <c r="G2" s="278">
        <f>'Monthly Data'!AQ2</f>
        <v>201.9</v>
      </c>
      <c r="H2" s="278">
        <f>'Monthly Data'!CD2</f>
        <v>31</v>
      </c>
      <c r="J2" s="18">
        <f>'GS 1k-4,999 Predicted Monthly'!$T$10</f>
        <v>1142088.9328922699</v>
      </c>
      <c r="K2" s="18">
        <f ca="1">E2*'GS 1k-4,999 Predicted Monthly'!$T$11</f>
        <v>0</v>
      </c>
      <c r="L2" s="18">
        <f>F2*'GS 1k-4,999 Predicted Monthly'!$T$12</f>
        <v>0</v>
      </c>
      <c r="M2" s="18">
        <f>G2*'GS 1k-4,999 Predicted Monthly'!$T$13</f>
        <v>2436124.7842479241</v>
      </c>
      <c r="N2" s="18">
        <f>H2*'GS 1k-4,999 Predicted Monthly'!$T$14</f>
        <v>3521036.9894481138</v>
      </c>
      <c r="O2" s="18">
        <f ca="1">SUM(J2:N2)</f>
        <v>7099250.7065883074</v>
      </c>
    </row>
    <row r="3" spans="1:15" x14ac:dyDescent="0.25">
      <c r="A3" s="3">
        <f>'Monthly Data'!A3</f>
        <v>42036</v>
      </c>
      <c r="B3" s="1">
        <f t="shared" si="0"/>
        <v>2015</v>
      </c>
      <c r="C3" s="1">
        <f t="shared" si="1"/>
        <v>2</v>
      </c>
      <c r="D3" s="268">
        <f>'Monthly Data'!S3</f>
        <v>6292256.0165867163</v>
      </c>
      <c r="E3" s="278">
        <f ca="1">Weather!BE35</f>
        <v>0</v>
      </c>
      <c r="F3" s="278">
        <f>'Monthly Data'!CG3</f>
        <v>0</v>
      </c>
      <c r="G3" s="278">
        <f>'Monthly Data'!AQ3</f>
        <v>200.2</v>
      </c>
      <c r="H3" s="278">
        <f>'Monthly Data'!CD3</f>
        <v>28</v>
      </c>
      <c r="J3" s="18">
        <f>'GS 1k-4,999 Predicted Monthly'!$T$10</f>
        <v>1142088.9328922699</v>
      </c>
      <c r="K3" s="18">
        <f ca="1">E3*'GS 1k-4,999 Predicted Monthly'!$T$11</f>
        <v>0</v>
      </c>
      <c r="L3" s="18">
        <f>F3*'GS 1k-4,999 Predicted Monthly'!$T$12</f>
        <v>0</v>
      </c>
      <c r="M3" s="18">
        <f>G3*'GS 1k-4,999 Predicted Monthly'!$T$13</f>
        <v>2415612.5894325627</v>
      </c>
      <c r="N3" s="18">
        <f>H3*'GS 1k-4,999 Predicted Monthly'!$T$14</f>
        <v>3180291.4743402321</v>
      </c>
      <c r="O3" s="18">
        <f t="shared" ref="O3:O66" ca="1" si="2">SUM(J3:N3)</f>
        <v>6737992.9966650642</v>
      </c>
    </row>
    <row r="4" spans="1:15" x14ac:dyDescent="0.25">
      <c r="A4" s="3">
        <f>'Monthly Data'!A4</f>
        <v>42064</v>
      </c>
      <c r="B4" s="1">
        <f t="shared" si="0"/>
        <v>2015</v>
      </c>
      <c r="C4" s="1">
        <f t="shared" si="1"/>
        <v>3</v>
      </c>
      <c r="D4" s="268">
        <f>'Monthly Data'!S4</f>
        <v>6879107.4130763644</v>
      </c>
      <c r="E4" s="278">
        <f ca="1">Weather!BE36</f>
        <v>0</v>
      </c>
      <c r="F4" s="278">
        <f>'Monthly Data'!CG4</f>
        <v>0</v>
      </c>
      <c r="G4" s="278">
        <f>'Monthly Data'!AQ4</f>
        <v>198.4</v>
      </c>
      <c r="H4" s="278">
        <f>'Monthly Data'!CD4</f>
        <v>31</v>
      </c>
      <c r="J4" s="18">
        <f>'GS 1k-4,999 Predicted Monthly'!$T$10</f>
        <v>1142088.9328922699</v>
      </c>
      <c r="K4" s="18">
        <f ca="1">E4*'GS 1k-4,999 Predicted Monthly'!$T$11</f>
        <v>0</v>
      </c>
      <c r="L4" s="18">
        <f>F4*'GS 1k-4,999 Predicted Monthly'!$T$12</f>
        <v>0</v>
      </c>
      <c r="M4" s="18">
        <f>G4*'GS 1k-4,999 Predicted Monthly'!$T$13</f>
        <v>2393893.79492218</v>
      </c>
      <c r="N4" s="18">
        <f>H4*'GS 1k-4,999 Predicted Monthly'!$T$14</f>
        <v>3521036.9894481138</v>
      </c>
      <c r="O4" s="18">
        <f t="shared" ca="1" si="2"/>
        <v>7057019.7172625642</v>
      </c>
    </row>
    <row r="5" spans="1:15" x14ac:dyDescent="0.25">
      <c r="A5" s="3">
        <f>'Monthly Data'!A5</f>
        <v>42095</v>
      </c>
      <c r="B5" s="1">
        <f t="shared" si="0"/>
        <v>2015</v>
      </c>
      <c r="C5" s="1">
        <f t="shared" si="1"/>
        <v>4</v>
      </c>
      <c r="D5" s="268">
        <f>'Monthly Data'!S5</f>
        <v>6556816.3103235476</v>
      </c>
      <c r="E5" s="278">
        <f ca="1">Weather!BE37</f>
        <v>0.4316666666666677</v>
      </c>
      <c r="F5" s="278">
        <f>'Monthly Data'!CG5</f>
        <v>0</v>
      </c>
      <c r="G5" s="278">
        <f>'Monthly Data'!AQ5</f>
        <v>195.5</v>
      </c>
      <c r="H5" s="278">
        <f>'Monthly Data'!CD5</f>
        <v>30</v>
      </c>
      <c r="J5" s="18">
        <f>'GS 1k-4,999 Predicted Monthly'!$T$10</f>
        <v>1142088.9328922699</v>
      </c>
      <c r="K5" s="18">
        <f ca="1">E5*'GS 1k-4,999 Predicted Monthly'!$T$11</f>
        <v>3861.1407505717921</v>
      </c>
      <c r="L5" s="18">
        <f>F5*'GS 1k-4,999 Predicted Monthly'!$T$12</f>
        <v>0</v>
      </c>
      <c r="M5" s="18">
        <f>G5*'GS 1k-4,999 Predicted Monthly'!$T$13</f>
        <v>2358902.4037665636</v>
      </c>
      <c r="N5" s="18">
        <f>H5*'GS 1k-4,999 Predicted Monthly'!$T$14</f>
        <v>3407455.1510788198</v>
      </c>
      <c r="O5" s="18">
        <f t="shared" ca="1" si="2"/>
        <v>6912307.6284882259</v>
      </c>
    </row>
    <row r="6" spans="1:15" x14ac:dyDescent="0.25">
      <c r="A6" s="3">
        <f>'Monthly Data'!A6</f>
        <v>42125</v>
      </c>
      <c r="B6" s="1">
        <f t="shared" si="0"/>
        <v>2015</v>
      </c>
      <c r="C6" s="1">
        <f t="shared" si="1"/>
        <v>5</v>
      </c>
      <c r="D6" s="268">
        <f>'Monthly Data'!S6</f>
        <v>7230750.9949512845</v>
      </c>
      <c r="E6" s="278">
        <f ca="1">Weather!BE38</f>
        <v>29.4520183982684</v>
      </c>
      <c r="F6" s="278">
        <f>'Monthly Data'!CG6</f>
        <v>0</v>
      </c>
      <c r="G6" s="278">
        <f>'Monthly Data'!AQ6</f>
        <v>193.3</v>
      </c>
      <c r="H6" s="278">
        <f>'Monthly Data'!CD6</f>
        <v>31</v>
      </c>
      <c r="J6" s="18">
        <f>'GS 1k-4,999 Predicted Monthly'!$T$10</f>
        <v>1142088.9328922699</v>
      </c>
      <c r="K6" s="18">
        <f ca="1">E6*'GS 1k-4,999 Predicted Monthly'!$T$11</f>
        <v>263440.2820636541</v>
      </c>
      <c r="L6" s="18">
        <f>F6*'GS 1k-4,999 Predicted Monthly'!$T$12</f>
        <v>0</v>
      </c>
      <c r="M6" s="18">
        <f>G6*'GS 1k-4,999 Predicted Monthly'!$T$13</f>
        <v>2332357.2104760958</v>
      </c>
      <c r="N6" s="18">
        <f>H6*'GS 1k-4,999 Predicted Monthly'!$T$14</f>
        <v>3521036.9894481138</v>
      </c>
      <c r="O6" s="18">
        <f t="shared" ca="1" si="2"/>
        <v>7258923.4148801342</v>
      </c>
    </row>
    <row r="7" spans="1:15" x14ac:dyDescent="0.25">
      <c r="A7" s="3">
        <f>'Monthly Data'!A7</f>
        <v>42156</v>
      </c>
      <c r="B7" s="1">
        <f t="shared" si="0"/>
        <v>2015</v>
      </c>
      <c r="C7" s="1">
        <f t="shared" si="1"/>
        <v>6</v>
      </c>
      <c r="D7" s="268">
        <f>'Monthly Data'!S7</f>
        <v>7609612.6560106054</v>
      </c>
      <c r="E7" s="278">
        <f ca="1">Weather!BE39</f>
        <v>86.311049595332207</v>
      </c>
      <c r="F7" s="278">
        <f>'Monthly Data'!CG7</f>
        <v>0</v>
      </c>
      <c r="G7" s="278">
        <f>'Monthly Data'!AQ7</f>
        <v>190.8</v>
      </c>
      <c r="H7" s="278">
        <f>'Monthly Data'!CD7</f>
        <v>30</v>
      </c>
      <c r="J7" s="18">
        <f>'GS 1k-4,999 Predicted Monthly'!$T$10</f>
        <v>1142088.9328922699</v>
      </c>
      <c r="K7" s="18">
        <f ca="1">E7*'GS 1k-4,999 Predicted Monthly'!$T$11</f>
        <v>772028.82814785955</v>
      </c>
      <c r="L7" s="18">
        <f>F7*'GS 1k-4,999 Predicted Monthly'!$T$12</f>
        <v>0</v>
      </c>
      <c r="M7" s="18">
        <f>G7*'GS 1k-4,999 Predicted Monthly'!$T$13</f>
        <v>2302192.2181005641</v>
      </c>
      <c r="N7" s="18">
        <f>H7*'GS 1k-4,999 Predicted Monthly'!$T$14</f>
        <v>3407455.1510788198</v>
      </c>
      <c r="O7" s="18">
        <f t="shared" ca="1" si="2"/>
        <v>7623765.1302195136</v>
      </c>
    </row>
    <row r="8" spans="1:15" x14ac:dyDescent="0.25">
      <c r="A8" s="3">
        <f>'Monthly Data'!A8</f>
        <v>42186</v>
      </c>
      <c r="B8" s="1">
        <f t="shared" si="0"/>
        <v>2015</v>
      </c>
      <c r="C8" s="1">
        <f t="shared" si="1"/>
        <v>7</v>
      </c>
      <c r="D8" s="268">
        <f>'Monthly Data'!S8</f>
        <v>7942122.611520865</v>
      </c>
      <c r="E8" s="278">
        <f ca="1">Weather!BE40</f>
        <v>174.0219619206118</v>
      </c>
      <c r="F8" s="278">
        <f>'Monthly Data'!CG8</f>
        <v>0</v>
      </c>
      <c r="G8" s="278">
        <f>'Monthly Data'!AQ8</f>
        <v>185.9</v>
      </c>
      <c r="H8" s="278">
        <f>'Monthly Data'!CD8</f>
        <v>31</v>
      </c>
      <c r="J8" s="18">
        <f>'GS 1k-4,999 Predicted Monthly'!$T$10</f>
        <v>1142088.9328922699</v>
      </c>
      <c r="K8" s="18">
        <f ca="1">E8*'GS 1k-4,999 Predicted Monthly'!$T$11</f>
        <v>1556579.0471029929</v>
      </c>
      <c r="L8" s="18">
        <f>F8*'GS 1k-4,999 Predicted Monthly'!$T$12</f>
        <v>0</v>
      </c>
      <c r="M8" s="18">
        <f>G8*'GS 1k-4,999 Predicted Monthly'!$T$13</f>
        <v>2243068.8330445224</v>
      </c>
      <c r="N8" s="18">
        <f>H8*'GS 1k-4,999 Predicted Monthly'!$T$14</f>
        <v>3521036.9894481138</v>
      </c>
      <c r="O8" s="18">
        <f t="shared" ca="1" si="2"/>
        <v>8462773.8024878986</v>
      </c>
    </row>
    <row r="9" spans="1:15" x14ac:dyDescent="0.25">
      <c r="A9" s="3">
        <f>'Monthly Data'!A9</f>
        <v>42217</v>
      </c>
      <c r="B9" s="1">
        <f t="shared" si="0"/>
        <v>2015</v>
      </c>
      <c r="C9" s="1">
        <f t="shared" si="1"/>
        <v>8</v>
      </c>
      <c r="D9" s="268">
        <f>'Monthly Data'!S9</f>
        <v>8021740.0875366963</v>
      </c>
      <c r="E9" s="278">
        <f ca="1">Weather!BE41</f>
        <v>149.7160046113307</v>
      </c>
      <c r="F9" s="278">
        <f>'Monthly Data'!CG9</f>
        <v>0</v>
      </c>
      <c r="G9" s="278">
        <f>'Monthly Data'!AQ9</f>
        <v>183</v>
      </c>
      <c r="H9" s="278">
        <f>'Monthly Data'!CD9</f>
        <v>31</v>
      </c>
      <c r="J9" s="18">
        <f>'GS 1k-4,999 Predicted Monthly'!$T$10</f>
        <v>1142088.9328922699</v>
      </c>
      <c r="K9" s="18">
        <f ca="1">E9*'GS 1k-4,999 Predicted Monthly'!$T$11</f>
        <v>1339168.8797318963</v>
      </c>
      <c r="L9" s="18">
        <f>F9*'GS 1k-4,999 Predicted Monthly'!$T$12</f>
        <v>0</v>
      </c>
      <c r="M9" s="18">
        <f>G9*'GS 1k-4,999 Predicted Monthly'!$T$13</f>
        <v>2208077.4418889061</v>
      </c>
      <c r="N9" s="18">
        <f>H9*'GS 1k-4,999 Predicted Monthly'!$T$14</f>
        <v>3521036.9894481138</v>
      </c>
      <c r="O9" s="18">
        <f t="shared" ca="1" si="2"/>
        <v>8210372.2439611852</v>
      </c>
    </row>
    <row r="10" spans="1:15" x14ac:dyDescent="0.25">
      <c r="A10" s="3">
        <f>'Monthly Data'!A10</f>
        <v>42248</v>
      </c>
      <c r="B10" s="1">
        <f t="shared" si="0"/>
        <v>2015</v>
      </c>
      <c r="C10" s="1">
        <f t="shared" si="1"/>
        <v>9</v>
      </c>
      <c r="D10" s="268">
        <f>'Monthly Data'!S10</f>
        <v>8078291.6631567953</v>
      </c>
      <c r="E10" s="278">
        <f ca="1">Weather!BE42</f>
        <v>62.345178571428576</v>
      </c>
      <c r="F10" s="278">
        <f>'Monthly Data'!CG10</f>
        <v>0</v>
      </c>
      <c r="G10" s="278">
        <f>'Monthly Data'!AQ10</f>
        <v>181.7</v>
      </c>
      <c r="H10" s="278">
        <f>'Monthly Data'!CD10</f>
        <v>30</v>
      </c>
      <c r="J10" s="18">
        <f>'GS 1k-4,999 Predicted Monthly'!$T$10</f>
        <v>1142088.9328922699</v>
      </c>
      <c r="K10" s="18">
        <f ca="1">E10*'GS 1k-4,999 Predicted Monthly'!$T$11</f>
        <v>557660.63996251172</v>
      </c>
      <c r="L10" s="18">
        <f>F10*'GS 1k-4,999 Predicted Monthly'!$T$12</f>
        <v>0</v>
      </c>
      <c r="M10" s="18">
        <f>G10*'GS 1k-4,999 Predicted Monthly'!$T$13</f>
        <v>2192391.6458536293</v>
      </c>
      <c r="N10" s="18">
        <f>H10*'GS 1k-4,999 Predicted Monthly'!$T$14</f>
        <v>3407455.1510788198</v>
      </c>
      <c r="O10" s="18">
        <f t="shared" ca="1" si="2"/>
        <v>7299596.3697872311</v>
      </c>
    </row>
    <row r="11" spans="1:15" x14ac:dyDescent="0.25">
      <c r="A11" s="3">
        <f>'Monthly Data'!A11</f>
        <v>42278</v>
      </c>
      <c r="B11" s="1">
        <f t="shared" si="0"/>
        <v>2015</v>
      </c>
      <c r="C11" s="1">
        <f t="shared" si="1"/>
        <v>10</v>
      </c>
      <c r="D11" s="268">
        <f>'Monthly Data'!S11</f>
        <v>7283096.8853974789</v>
      </c>
      <c r="E11" s="278">
        <f ca="1">Weather!BE43</f>
        <v>7.1541666666666703</v>
      </c>
      <c r="F11" s="278">
        <f>'Monthly Data'!CG11</f>
        <v>0</v>
      </c>
      <c r="G11" s="278">
        <f>'Monthly Data'!AQ11</f>
        <v>187.1</v>
      </c>
      <c r="H11" s="278">
        <f>'Monthly Data'!CD11</f>
        <v>31</v>
      </c>
      <c r="J11" s="18">
        <f>'GS 1k-4,999 Predicted Monthly'!$T$10</f>
        <v>1142088.9328922699</v>
      </c>
      <c r="K11" s="18">
        <f ca="1">E11*'GS 1k-4,999 Predicted Monthly'!$T$11</f>
        <v>63992.072092005357</v>
      </c>
      <c r="L11" s="18">
        <f>F11*'GS 1k-4,999 Predicted Monthly'!$T$12</f>
        <v>0</v>
      </c>
      <c r="M11" s="18">
        <f>G11*'GS 1k-4,999 Predicted Monthly'!$T$13</f>
        <v>2257548.0293847774</v>
      </c>
      <c r="N11" s="18">
        <f>H11*'GS 1k-4,999 Predicted Monthly'!$T$14</f>
        <v>3521036.9894481138</v>
      </c>
      <c r="O11" s="18">
        <f t="shared" ca="1" si="2"/>
        <v>6984666.0238171667</v>
      </c>
    </row>
    <row r="12" spans="1:15" x14ac:dyDescent="0.25">
      <c r="A12" s="3">
        <f>'Monthly Data'!A12</f>
        <v>42309</v>
      </c>
      <c r="B12" s="1">
        <f t="shared" si="0"/>
        <v>2015</v>
      </c>
      <c r="C12" s="1">
        <f t="shared" si="1"/>
        <v>11</v>
      </c>
      <c r="D12" s="268">
        <f>'Monthly Data'!S12</f>
        <v>7062113.5949656768</v>
      </c>
      <c r="E12" s="278">
        <f ca="1">Weather!BE44</f>
        <v>0.15041666666666628</v>
      </c>
      <c r="F12" s="278">
        <f>'Monthly Data'!CG12</f>
        <v>0</v>
      </c>
      <c r="G12" s="278">
        <f>'Monthly Data'!AQ12</f>
        <v>192.5</v>
      </c>
      <c r="H12" s="278">
        <f>'Monthly Data'!CD12</f>
        <v>30</v>
      </c>
      <c r="J12" s="18">
        <f>'GS 1k-4,999 Predicted Monthly'!$T$10</f>
        <v>1142088.9328922699</v>
      </c>
      <c r="K12" s="18">
        <f ca="1">E12*'GS 1k-4,999 Predicted Monthly'!$T$11</f>
        <v>1345.4361109617857</v>
      </c>
      <c r="L12" s="18">
        <f>F12*'GS 1k-4,999 Predicted Monthly'!$T$12</f>
        <v>0</v>
      </c>
      <c r="M12" s="18">
        <f>G12*'GS 1k-4,999 Predicted Monthly'!$T$13</f>
        <v>2322704.4129159255</v>
      </c>
      <c r="N12" s="18">
        <f>H12*'GS 1k-4,999 Predicted Monthly'!$T$14</f>
        <v>3407455.1510788198</v>
      </c>
      <c r="O12" s="18">
        <f t="shared" ca="1" si="2"/>
        <v>6873593.9329979774</v>
      </c>
    </row>
    <row r="13" spans="1:15" x14ac:dyDescent="0.25">
      <c r="A13" s="3">
        <f>'Monthly Data'!A13</f>
        <v>42339</v>
      </c>
      <c r="B13" s="1">
        <f t="shared" si="0"/>
        <v>2015</v>
      </c>
      <c r="C13" s="1">
        <f t="shared" si="1"/>
        <v>12</v>
      </c>
      <c r="D13" s="268">
        <f>'Monthly Data'!S13</f>
        <v>6433930.9578759233</v>
      </c>
      <c r="E13" s="278">
        <f ca="1">Weather!BE45</f>
        <v>0</v>
      </c>
      <c r="F13" s="278">
        <f>'Monthly Data'!CG13</f>
        <v>0</v>
      </c>
      <c r="G13" s="278">
        <f>'Monthly Data'!AQ13</f>
        <v>199.4</v>
      </c>
      <c r="H13" s="278">
        <f>'Monthly Data'!CD13</f>
        <v>31</v>
      </c>
      <c r="J13" s="18">
        <f>'GS 1k-4,999 Predicted Monthly'!$T$10</f>
        <v>1142088.9328922699</v>
      </c>
      <c r="K13" s="18">
        <f ca="1">E13*'GS 1k-4,999 Predicted Monthly'!$T$11</f>
        <v>0</v>
      </c>
      <c r="L13" s="18">
        <f>F13*'GS 1k-4,999 Predicted Monthly'!$T$12</f>
        <v>0</v>
      </c>
      <c r="M13" s="18">
        <f>G13*'GS 1k-4,999 Predicted Monthly'!$T$13</f>
        <v>2405959.7918723924</v>
      </c>
      <c r="N13" s="18">
        <f>H13*'GS 1k-4,999 Predicted Monthly'!$T$14</f>
        <v>3521036.9894481138</v>
      </c>
      <c r="O13" s="18">
        <f t="shared" ca="1" si="2"/>
        <v>7069085.7142127762</v>
      </c>
    </row>
    <row r="14" spans="1:15" x14ac:dyDescent="0.25">
      <c r="A14" s="3">
        <f>'Monthly Data'!A14</f>
        <v>42370</v>
      </c>
      <c r="B14" s="1">
        <f t="shared" si="0"/>
        <v>2016</v>
      </c>
      <c r="C14" s="1">
        <f t="shared" si="1"/>
        <v>1</v>
      </c>
      <c r="D14" s="268">
        <f>'Monthly Data'!S14</f>
        <v>7305107.8312721383</v>
      </c>
      <c r="E14" s="278">
        <f ca="1">E2</f>
        <v>0</v>
      </c>
      <c r="F14" s="278">
        <f>'Monthly Data'!CG14</f>
        <v>0</v>
      </c>
      <c r="G14" s="278">
        <f>'Monthly Data'!AQ14</f>
        <v>204.2</v>
      </c>
      <c r="H14" s="278">
        <f>'Monthly Data'!CD14</f>
        <v>31</v>
      </c>
      <c r="J14" s="18">
        <f>'GS 1k-4,999 Predicted Monthly'!$T$10</f>
        <v>1142088.9328922699</v>
      </c>
      <c r="K14" s="18">
        <f ca="1">E14*'GS 1k-4,999 Predicted Monthly'!$T$11</f>
        <v>0</v>
      </c>
      <c r="L14" s="18">
        <f>F14*'GS 1k-4,999 Predicted Monthly'!$T$12</f>
        <v>0</v>
      </c>
      <c r="M14" s="18">
        <f>G14*'GS 1k-4,999 Predicted Monthly'!$T$13</f>
        <v>2463876.5772334128</v>
      </c>
      <c r="N14" s="18">
        <f>H14*'GS 1k-4,999 Predicted Monthly'!$T$14</f>
        <v>3521036.9894481138</v>
      </c>
      <c r="O14" s="18">
        <f t="shared" ca="1" si="2"/>
        <v>7127002.499573797</v>
      </c>
    </row>
    <row r="15" spans="1:15" x14ac:dyDescent="0.25">
      <c r="A15" s="3">
        <f>'Monthly Data'!A15</f>
        <v>42401</v>
      </c>
      <c r="B15" s="1">
        <f t="shared" si="0"/>
        <v>2016</v>
      </c>
      <c r="C15" s="1">
        <f t="shared" si="1"/>
        <v>2</v>
      </c>
      <c r="D15" s="268">
        <f>'Monthly Data'!S15</f>
        <v>7115237.8781808047</v>
      </c>
      <c r="E15" s="278">
        <f t="shared" ref="E15:E30" ca="1" si="3">E3</f>
        <v>0</v>
      </c>
      <c r="F15" s="278">
        <f>'Monthly Data'!CG15</f>
        <v>0</v>
      </c>
      <c r="G15" s="278">
        <f>'Monthly Data'!AQ15</f>
        <v>205.6</v>
      </c>
      <c r="H15" s="278">
        <f>'Monthly Data'!CD15</f>
        <v>29</v>
      </c>
      <c r="J15" s="18">
        <f>'GS 1k-4,999 Predicted Monthly'!$T$10</f>
        <v>1142088.9328922699</v>
      </c>
      <c r="K15" s="18">
        <f ca="1">E15*'GS 1k-4,999 Predicted Monthly'!$T$11</f>
        <v>0</v>
      </c>
      <c r="L15" s="18">
        <f>F15*'GS 1k-4,999 Predicted Monthly'!$T$12</f>
        <v>0</v>
      </c>
      <c r="M15" s="18">
        <f>G15*'GS 1k-4,999 Predicted Monthly'!$T$13</f>
        <v>2480768.9729637108</v>
      </c>
      <c r="N15" s="18">
        <f>H15*'GS 1k-4,999 Predicted Monthly'!$T$14</f>
        <v>3293873.3127095257</v>
      </c>
      <c r="O15" s="18">
        <f t="shared" ca="1" si="2"/>
        <v>6916731.2185655069</v>
      </c>
    </row>
    <row r="16" spans="1:15" x14ac:dyDescent="0.25">
      <c r="A16" s="3">
        <f>'Monthly Data'!A16</f>
        <v>42430</v>
      </c>
      <c r="B16" s="1">
        <f t="shared" si="0"/>
        <v>2016</v>
      </c>
      <c r="C16" s="1">
        <f t="shared" si="1"/>
        <v>3</v>
      </c>
      <c r="D16" s="268">
        <f>'Monthly Data'!S16</f>
        <v>7251476.8371827444</v>
      </c>
      <c r="E16" s="278">
        <f t="shared" ca="1" si="3"/>
        <v>0</v>
      </c>
      <c r="F16" s="278">
        <f>'Monthly Data'!CG16</f>
        <v>0</v>
      </c>
      <c r="G16" s="278">
        <f>'Monthly Data'!AQ16</f>
        <v>206.5</v>
      </c>
      <c r="H16" s="278">
        <f>'Monthly Data'!CD16</f>
        <v>31</v>
      </c>
      <c r="J16" s="18">
        <f>'GS 1k-4,999 Predicted Monthly'!$T$10</f>
        <v>1142088.9328922699</v>
      </c>
      <c r="K16" s="18">
        <f ca="1">E16*'GS 1k-4,999 Predicted Monthly'!$T$11</f>
        <v>0</v>
      </c>
      <c r="L16" s="18">
        <f>F16*'GS 1k-4,999 Predicted Monthly'!$T$12</f>
        <v>0</v>
      </c>
      <c r="M16" s="18">
        <f>G16*'GS 1k-4,999 Predicted Monthly'!$T$13</f>
        <v>2491628.3702189019</v>
      </c>
      <c r="N16" s="18">
        <f>H16*'GS 1k-4,999 Predicted Monthly'!$T$14</f>
        <v>3521036.9894481138</v>
      </c>
      <c r="O16" s="18">
        <f t="shared" ca="1" si="2"/>
        <v>7154754.2925592856</v>
      </c>
    </row>
    <row r="17" spans="1:16" x14ac:dyDescent="0.25">
      <c r="A17" s="3">
        <f>'Monthly Data'!A17</f>
        <v>42461</v>
      </c>
      <c r="B17" s="1">
        <f t="shared" si="0"/>
        <v>2016</v>
      </c>
      <c r="C17" s="1">
        <f t="shared" si="1"/>
        <v>4</v>
      </c>
      <c r="D17" s="268">
        <f>'Monthly Data'!S17</f>
        <v>7163584.4082842655</v>
      </c>
      <c r="E17" s="278">
        <f t="shared" ca="1" si="3"/>
        <v>0.4316666666666677</v>
      </c>
      <c r="F17" s="278">
        <f>'Monthly Data'!CG17</f>
        <v>0</v>
      </c>
      <c r="G17" s="278">
        <f>'Monthly Data'!AQ17</f>
        <v>205.8</v>
      </c>
      <c r="H17" s="278">
        <f>'Monthly Data'!CD17</f>
        <v>30</v>
      </c>
      <c r="J17" s="18">
        <f>'GS 1k-4,999 Predicted Monthly'!$T$10</f>
        <v>1142088.9328922699</v>
      </c>
      <c r="K17" s="18">
        <f ca="1">E17*'GS 1k-4,999 Predicted Monthly'!$T$11</f>
        <v>3861.1407505717921</v>
      </c>
      <c r="L17" s="18">
        <f>F17*'GS 1k-4,999 Predicted Monthly'!$T$12</f>
        <v>0</v>
      </c>
      <c r="M17" s="18">
        <f>G17*'GS 1k-4,999 Predicted Monthly'!$T$13</f>
        <v>2483182.1723537534</v>
      </c>
      <c r="N17" s="18">
        <f>H17*'GS 1k-4,999 Predicted Monthly'!$T$14</f>
        <v>3407455.1510788198</v>
      </c>
      <c r="O17" s="18">
        <f t="shared" ca="1" si="2"/>
        <v>7036587.3970754147</v>
      </c>
    </row>
    <row r="18" spans="1:16" x14ac:dyDescent="0.25">
      <c r="A18" s="3">
        <f>'Monthly Data'!A18</f>
        <v>42491</v>
      </c>
      <c r="B18" s="1">
        <f t="shared" si="0"/>
        <v>2016</v>
      </c>
      <c r="C18" s="1">
        <f t="shared" si="1"/>
        <v>5</v>
      </c>
      <c r="D18" s="268">
        <f>'Monthly Data'!S18</f>
        <v>7587662.1759159202</v>
      </c>
      <c r="E18" s="278">
        <f t="shared" ca="1" si="3"/>
        <v>29.4520183982684</v>
      </c>
      <c r="F18" s="278">
        <f>'Monthly Data'!CG18</f>
        <v>0</v>
      </c>
      <c r="G18" s="278">
        <f>'Monthly Data'!AQ18</f>
        <v>206.1</v>
      </c>
      <c r="H18" s="278">
        <f>'Monthly Data'!CD18</f>
        <v>31</v>
      </c>
      <c r="J18" s="18">
        <f>'GS 1k-4,999 Predicted Monthly'!$T$10</f>
        <v>1142088.9328922699</v>
      </c>
      <c r="K18" s="18">
        <f ca="1">E18*'GS 1k-4,999 Predicted Monthly'!$T$11</f>
        <v>263440.2820636541</v>
      </c>
      <c r="L18" s="18">
        <f>F18*'GS 1k-4,999 Predicted Monthly'!$T$12</f>
        <v>0</v>
      </c>
      <c r="M18" s="18">
        <f>G18*'GS 1k-4,999 Predicted Monthly'!$T$13</f>
        <v>2486801.9714388167</v>
      </c>
      <c r="N18" s="18">
        <f>H18*'GS 1k-4,999 Predicted Monthly'!$T$14</f>
        <v>3521036.9894481138</v>
      </c>
      <c r="O18" s="18">
        <f t="shared" ca="1" si="2"/>
        <v>7413368.1758428551</v>
      </c>
    </row>
    <row r="19" spans="1:16" x14ac:dyDescent="0.25">
      <c r="A19" s="3">
        <f>'Monthly Data'!A19</f>
        <v>42522</v>
      </c>
      <c r="B19" s="1">
        <f t="shared" si="0"/>
        <v>2016</v>
      </c>
      <c r="C19" s="1">
        <f t="shared" si="1"/>
        <v>6</v>
      </c>
      <c r="D19" s="268">
        <f>'Monthly Data'!S19</f>
        <v>8266801.9215084706</v>
      </c>
      <c r="E19" s="278">
        <f t="shared" ca="1" si="3"/>
        <v>86.311049595332207</v>
      </c>
      <c r="F19" s="278">
        <f>'Monthly Data'!CG19</f>
        <v>0</v>
      </c>
      <c r="G19" s="278">
        <f>'Monthly Data'!AQ19</f>
        <v>204.7</v>
      </c>
      <c r="H19" s="278">
        <f>'Monthly Data'!CD19</f>
        <v>30</v>
      </c>
      <c r="J19" s="18">
        <f>'GS 1k-4,999 Predicted Monthly'!$T$10</f>
        <v>1142088.9328922699</v>
      </c>
      <c r="K19" s="18">
        <f ca="1">E19*'GS 1k-4,999 Predicted Monthly'!$T$11</f>
        <v>772028.82814785955</v>
      </c>
      <c r="L19" s="18">
        <f>F19*'GS 1k-4,999 Predicted Monthly'!$T$12</f>
        <v>0</v>
      </c>
      <c r="M19" s="18">
        <f>G19*'GS 1k-4,999 Predicted Monthly'!$T$13</f>
        <v>2469909.5757085192</v>
      </c>
      <c r="N19" s="18">
        <f>H19*'GS 1k-4,999 Predicted Monthly'!$T$14</f>
        <v>3407455.1510788198</v>
      </c>
      <c r="O19" s="18">
        <f t="shared" ca="1" si="2"/>
        <v>7791482.4878274687</v>
      </c>
      <c r="P19" s="288"/>
    </row>
    <row r="20" spans="1:16" x14ac:dyDescent="0.25">
      <c r="A20" s="3">
        <f>'Monthly Data'!A20</f>
        <v>42552</v>
      </c>
      <c r="B20" s="1">
        <f t="shared" si="0"/>
        <v>2016</v>
      </c>
      <c r="C20" s="1">
        <f t="shared" si="1"/>
        <v>7</v>
      </c>
      <c r="D20" s="268">
        <f>'Monthly Data'!S20</f>
        <v>9257660.4062251002</v>
      </c>
      <c r="E20" s="278">
        <f t="shared" ca="1" si="3"/>
        <v>174.0219619206118</v>
      </c>
      <c r="F20" s="278">
        <f>'Monthly Data'!CG20</f>
        <v>0</v>
      </c>
      <c r="G20" s="278">
        <f>'Monthly Data'!AQ20</f>
        <v>206.5</v>
      </c>
      <c r="H20" s="278">
        <f>'Monthly Data'!CD20</f>
        <v>31</v>
      </c>
      <c r="J20" s="18">
        <f>'GS 1k-4,999 Predicted Monthly'!$T$10</f>
        <v>1142088.9328922699</v>
      </c>
      <c r="K20" s="18">
        <f ca="1">E20*'GS 1k-4,999 Predicted Monthly'!$T$11</f>
        <v>1556579.0471029929</v>
      </c>
      <c r="L20" s="18">
        <f>F20*'GS 1k-4,999 Predicted Monthly'!$T$12</f>
        <v>0</v>
      </c>
      <c r="M20" s="18">
        <f>G20*'GS 1k-4,999 Predicted Monthly'!$T$13</f>
        <v>2491628.3702189019</v>
      </c>
      <c r="N20" s="18">
        <f>H20*'GS 1k-4,999 Predicted Monthly'!$T$14</f>
        <v>3521036.9894481138</v>
      </c>
      <c r="O20" s="18">
        <f t="shared" ca="1" si="2"/>
        <v>8711333.3396622781</v>
      </c>
    </row>
    <row r="21" spans="1:16" x14ac:dyDescent="0.25">
      <c r="A21" s="3">
        <f>'Monthly Data'!A21</f>
        <v>42583</v>
      </c>
      <c r="B21" s="1">
        <f t="shared" si="0"/>
        <v>2016</v>
      </c>
      <c r="C21" s="1">
        <f t="shared" si="1"/>
        <v>8</v>
      </c>
      <c r="D21" s="268">
        <f>'Monthly Data'!S21</f>
        <v>9581497.8125995416</v>
      </c>
      <c r="E21" s="278">
        <f t="shared" ca="1" si="3"/>
        <v>149.7160046113307</v>
      </c>
      <c r="F21" s="278">
        <f>'Monthly Data'!CG21</f>
        <v>0</v>
      </c>
      <c r="G21" s="278">
        <f>'Monthly Data'!AQ21</f>
        <v>209.3</v>
      </c>
      <c r="H21" s="278">
        <f>'Monthly Data'!CD21</f>
        <v>31</v>
      </c>
      <c r="J21" s="18">
        <f>'GS 1k-4,999 Predicted Monthly'!$T$10</f>
        <v>1142088.9328922699</v>
      </c>
      <c r="K21" s="18">
        <f ca="1">E21*'GS 1k-4,999 Predicted Monthly'!$T$11</f>
        <v>1339168.8797318963</v>
      </c>
      <c r="L21" s="18">
        <f>F21*'GS 1k-4,999 Predicted Monthly'!$T$12</f>
        <v>0</v>
      </c>
      <c r="M21" s="18">
        <f>G21*'GS 1k-4,999 Predicted Monthly'!$T$13</f>
        <v>2525413.1616794975</v>
      </c>
      <c r="N21" s="18">
        <f>H21*'GS 1k-4,999 Predicted Monthly'!$T$14</f>
        <v>3521036.9894481138</v>
      </c>
      <c r="O21" s="18">
        <f t="shared" ca="1" si="2"/>
        <v>8527707.963751778</v>
      </c>
    </row>
    <row r="22" spans="1:16" x14ac:dyDescent="0.25">
      <c r="A22" s="3">
        <f>'Monthly Data'!A22</f>
        <v>42614</v>
      </c>
      <c r="B22" s="1">
        <f t="shared" si="0"/>
        <v>2016</v>
      </c>
      <c r="C22" s="1">
        <f t="shared" si="1"/>
        <v>9</v>
      </c>
      <c r="D22" s="268">
        <f>'Monthly Data'!S22</f>
        <v>8742623.7867525965</v>
      </c>
      <c r="E22" s="278">
        <f t="shared" ca="1" si="3"/>
        <v>62.345178571428576</v>
      </c>
      <c r="F22" s="278">
        <f>'Monthly Data'!CG22</f>
        <v>0</v>
      </c>
      <c r="G22" s="278">
        <f>'Monthly Data'!AQ22</f>
        <v>213.5</v>
      </c>
      <c r="H22" s="278">
        <f>'Monthly Data'!CD22</f>
        <v>30</v>
      </c>
      <c r="J22" s="18">
        <f>'GS 1k-4,999 Predicted Monthly'!$T$10</f>
        <v>1142088.9328922699</v>
      </c>
      <c r="K22" s="18">
        <f ca="1">E22*'GS 1k-4,999 Predicted Monthly'!$T$11</f>
        <v>557660.63996251172</v>
      </c>
      <c r="L22" s="18">
        <f>F22*'GS 1k-4,999 Predicted Monthly'!$T$12</f>
        <v>0</v>
      </c>
      <c r="M22" s="18">
        <f>G22*'GS 1k-4,999 Predicted Monthly'!$T$13</f>
        <v>2576090.3488703901</v>
      </c>
      <c r="N22" s="18">
        <f>H22*'GS 1k-4,999 Predicted Monthly'!$T$14</f>
        <v>3407455.1510788198</v>
      </c>
      <c r="O22" s="18">
        <f t="shared" ca="1" si="2"/>
        <v>7683295.0728039909</v>
      </c>
    </row>
    <row r="23" spans="1:16" x14ac:dyDescent="0.25">
      <c r="A23" s="3">
        <f>'Monthly Data'!A23</f>
        <v>42644</v>
      </c>
      <c r="B23" s="1">
        <f t="shared" si="0"/>
        <v>2016</v>
      </c>
      <c r="C23" s="1">
        <f t="shared" si="1"/>
        <v>10</v>
      </c>
      <c r="D23" s="268">
        <f>'Monthly Data'!S23</f>
        <v>7674378.604801679</v>
      </c>
      <c r="E23" s="278">
        <f t="shared" ca="1" si="3"/>
        <v>7.1541666666666703</v>
      </c>
      <c r="F23" s="278">
        <f>'Monthly Data'!CG23</f>
        <v>0</v>
      </c>
      <c r="G23" s="278">
        <f>'Monthly Data'!AQ23</f>
        <v>214.3</v>
      </c>
      <c r="H23" s="278">
        <f>'Monthly Data'!CD23</f>
        <v>31</v>
      </c>
      <c r="J23" s="18">
        <f>'GS 1k-4,999 Predicted Monthly'!$T$10</f>
        <v>1142088.9328922699</v>
      </c>
      <c r="K23" s="18">
        <f ca="1">E23*'GS 1k-4,999 Predicted Monthly'!$T$11</f>
        <v>63992.072092005357</v>
      </c>
      <c r="L23" s="18">
        <f>F23*'GS 1k-4,999 Predicted Monthly'!$T$12</f>
        <v>0</v>
      </c>
      <c r="M23" s="18">
        <f>G23*'GS 1k-4,999 Predicted Monthly'!$T$13</f>
        <v>2585743.1464305604</v>
      </c>
      <c r="N23" s="18">
        <f>H23*'GS 1k-4,999 Predicted Monthly'!$T$14</f>
        <v>3521036.9894481138</v>
      </c>
      <c r="O23" s="18">
        <f t="shared" ca="1" si="2"/>
        <v>7312861.1408629492</v>
      </c>
    </row>
    <row r="24" spans="1:16" x14ac:dyDescent="0.25">
      <c r="A24" s="3">
        <f>'Monthly Data'!A24</f>
        <v>42675</v>
      </c>
      <c r="B24" s="1">
        <f t="shared" si="0"/>
        <v>2016</v>
      </c>
      <c r="C24" s="1">
        <f t="shared" si="1"/>
        <v>11</v>
      </c>
      <c r="D24" s="268">
        <f>'Monthly Data'!S24</f>
        <v>7232382.6811063746</v>
      </c>
      <c r="E24" s="278">
        <f t="shared" ca="1" si="3"/>
        <v>0.15041666666666628</v>
      </c>
      <c r="F24" s="278">
        <f>'Monthly Data'!CG24</f>
        <v>0</v>
      </c>
      <c r="G24" s="278">
        <f>'Monthly Data'!AQ24</f>
        <v>215.1</v>
      </c>
      <c r="H24" s="278">
        <f>'Monthly Data'!CD24</f>
        <v>30</v>
      </c>
      <c r="J24" s="18">
        <f>'GS 1k-4,999 Predicted Monthly'!$T$10</f>
        <v>1142088.9328922699</v>
      </c>
      <c r="K24" s="18">
        <f ca="1">E24*'GS 1k-4,999 Predicted Monthly'!$T$11</f>
        <v>1345.4361109617857</v>
      </c>
      <c r="L24" s="18">
        <f>F24*'GS 1k-4,999 Predicted Monthly'!$T$12</f>
        <v>0</v>
      </c>
      <c r="M24" s="18">
        <f>G24*'GS 1k-4,999 Predicted Monthly'!$T$13</f>
        <v>2595395.9439907302</v>
      </c>
      <c r="N24" s="18">
        <f>H24*'GS 1k-4,999 Predicted Monthly'!$T$14</f>
        <v>3407455.1510788198</v>
      </c>
      <c r="O24" s="18">
        <f t="shared" ca="1" si="2"/>
        <v>7146285.4640727816</v>
      </c>
    </row>
    <row r="25" spans="1:16" x14ac:dyDescent="0.25">
      <c r="A25" s="3">
        <f>'Monthly Data'!A25</f>
        <v>42705</v>
      </c>
      <c r="B25" s="1">
        <f t="shared" si="0"/>
        <v>2016</v>
      </c>
      <c r="C25" s="1">
        <f t="shared" si="1"/>
        <v>12</v>
      </c>
      <c r="D25" s="268">
        <f>'Monthly Data'!S25</f>
        <v>7259200.5747319283</v>
      </c>
      <c r="E25" s="278">
        <f t="shared" ca="1" si="3"/>
        <v>0</v>
      </c>
      <c r="F25" s="278">
        <f>'Monthly Data'!CG25</f>
        <v>0</v>
      </c>
      <c r="G25" s="278">
        <f>'Monthly Data'!AQ25</f>
        <v>215.7</v>
      </c>
      <c r="H25" s="278">
        <f>'Monthly Data'!CD25</f>
        <v>31</v>
      </c>
      <c r="J25" s="18">
        <f>'GS 1k-4,999 Predicted Monthly'!$T$10</f>
        <v>1142088.9328922699</v>
      </c>
      <c r="K25" s="18">
        <f ca="1">E25*'GS 1k-4,999 Predicted Monthly'!$T$11</f>
        <v>0</v>
      </c>
      <c r="L25" s="18">
        <f>F25*'GS 1k-4,999 Predicted Monthly'!$T$12</f>
        <v>0</v>
      </c>
      <c r="M25" s="18">
        <f>G25*'GS 1k-4,999 Predicted Monthly'!$T$13</f>
        <v>2602635.5421608579</v>
      </c>
      <c r="N25" s="18">
        <f>H25*'GS 1k-4,999 Predicted Monthly'!$T$14</f>
        <v>3521036.9894481138</v>
      </c>
      <c r="O25" s="18">
        <f t="shared" ca="1" si="2"/>
        <v>7265761.4645012412</v>
      </c>
    </row>
    <row r="26" spans="1:16" x14ac:dyDescent="0.25">
      <c r="A26" s="3">
        <f>'Monthly Data'!A26</f>
        <v>42736</v>
      </c>
      <c r="B26" s="1">
        <f t="shared" si="0"/>
        <v>2017</v>
      </c>
      <c r="C26" s="1">
        <f t="shared" si="1"/>
        <v>1</v>
      </c>
      <c r="D26" s="268">
        <f>'Monthly Data'!S26</f>
        <v>7748576.2980715707</v>
      </c>
      <c r="E26" s="278">
        <f t="shared" ca="1" si="3"/>
        <v>0</v>
      </c>
      <c r="F26" s="278">
        <f>'Monthly Data'!CG26</f>
        <v>0</v>
      </c>
      <c r="G26" s="278">
        <f>'Monthly Data'!AQ26</f>
        <v>215.5</v>
      </c>
      <c r="H26" s="278">
        <f>'Monthly Data'!CD26</f>
        <v>31</v>
      </c>
      <c r="J26" s="18">
        <f>'GS 1k-4,999 Predicted Monthly'!$T$10</f>
        <v>1142088.9328922699</v>
      </c>
      <c r="K26" s="18">
        <f ca="1">E26*'GS 1k-4,999 Predicted Monthly'!$T$11</f>
        <v>0</v>
      </c>
      <c r="L26" s="18">
        <f>F26*'GS 1k-4,999 Predicted Monthly'!$T$12</f>
        <v>0</v>
      </c>
      <c r="M26" s="18">
        <f>G26*'GS 1k-4,999 Predicted Monthly'!$T$13</f>
        <v>2600222.3427708154</v>
      </c>
      <c r="N26" s="18">
        <f>H26*'GS 1k-4,999 Predicted Monthly'!$T$14</f>
        <v>3521036.9894481138</v>
      </c>
      <c r="O26" s="18">
        <f t="shared" ca="1" si="2"/>
        <v>7263348.2651111986</v>
      </c>
    </row>
    <row r="27" spans="1:16" x14ac:dyDescent="0.25">
      <c r="A27" s="3">
        <f>'Monthly Data'!A27</f>
        <v>42767</v>
      </c>
      <c r="B27" s="1">
        <f t="shared" si="0"/>
        <v>2017</v>
      </c>
      <c r="C27" s="1">
        <f t="shared" si="1"/>
        <v>2</v>
      </c>
      <c r="D27" s="268">
        <f>'Monthly Data'!S27</f>
        <v>7030359.4291701298</v>
      </c>
      <c r="E27" s="278">
        <f t="shared" ca="1" si="3"/>
        <v>0</v>
      </c>
      <c r="F27" s="278">
        <f>'Monthly Data'!CG27</f>
        <v>0</v>
      </c>
      <c r="G27" s="278">
        <f>'Monthly Data'!AQ27</f>
        <v>209.8</v>
      </c>
      <c r="H27" s="278">
        <f>'Monthly Data'!CD27</f>
        <v>28</v>
      </c>
      <c r="J27" s="18">
        <f>'GS 1k-4,999 Predicted Monthly'!$T$10</f>
        <v>1142088.9328922699</v>
      </c>
      <c r="K27" s="18">
        <f ca="1">E27*'GS 1k-4,999 Predicted Monthly'!$T$11</f>
        <v>0</v>
      </c>
      <c r="L27" s="18">
        <f>F27*'GS 1k-4,999 Predicted Monthly'!$T$12</f>
        <v>0</v>
      </c>
      <c r="M27" s="18">
        <f>G27*'GS 1k-4,999 Predicted Monthly'!$T$13</f>
        <v>2531446.1601546039</v>
      </c>
      <c r="N27" s="18">
        <f>H27*'GS 1k-4,999 Predicted Monthly'!$T$14</f>
        <v>3180291.4743402321</v>
      </c>
      <c r="O27" s="18">
        <f t="shared" ca="1" si="2"/>
        <v>6853826.5673871059</v>
      </c>
    </row>
    <row r="28" spans="1:16" x14ac:dyDescent="0.25">
      <c r="A28" s="3">
        <f>'Monthly Data'!A28</f>
        <v>42795</v>
      </c>
      <c r="B28" s="1">
        <f t="shared" si="0"/>
        <v>2017</v>
      </c>
      <c r="C28" s="1">
        <f t="shared" si="1"/>
        <v>3</v>
      </c>
      <c r="D28" s="268">
        <f>'Monthly Data'!S28</f>
        <v>7867386.6453418816</v>
      </c>
      <c r="E28" s="278">
        <f t="shared" ca="1" si="3"/>
        <v>0</v>
      </c>
      <c r="F28" s="278">
        <f>'Monthly Data'!CG28</f>
        <v>0</v>
      </c>
      <c r="G28" s="278">
        <f>'Monthly Data'!AQ28</f>
        <v>203.2</v>
      </c>
      <c r="H28" s="278">
        <f>'Monthly Data'!CD28</f>
        <v>31</v>
      </c>
      <c r="J28" s="18">
        <f>'GS 1k-4,999 Predicted Monthly'!$T$10</f>
        <v>1142088.9328922699</v>
      </c>
      <c r="K28" s="18">
        <f ca="1">E28*'GS 1k-4,999 Predicted Monthly'!$T$11</f>
        <v>0</v>
      </c>
      <c r="L28" s="18">
        <f>F28*'GS 1k-4,999 Predicted Monthly'!$T$12</f>
        <v>0</v>
      </c>
      <c r="M28" s="18">
        <f>G28*'GS 1k-4,999 Predicted Monthly'!$T$13</f>
        <v>2451810.5802832004</v>
      </c>
      <c r="N28" s="18">
        <f>H28*'GS 1k-4,999 Predicted Monthly'!$T$14</f>
        <v>3521036.9894481138</v>
      </c>
      <c r="O28" s="18">
        <f t="shared" ca="1" si="2"/>
        <v>7114936.5026235841</v>
      </c>
    </row>
    <row r="29" spans="1:16" x14ac:dyDescent="0.25">
      <c r="A29" s="3">
        <f>'Monthly Data'!A29</f>
        <v>42826</v>
      </c>
      <c r="B29" s="1">
        <f t="shared" si="0"/>
        <v>2017</v>
      </c>
      <c r="C29" s="1">
        <f t="shared" si="1"/>
        <v>4</v>
      </c>
      <c r="D29" s="268">
        <f>'Monthly Data'!S29</f>
        <v>7658302.3379697306</v>
      </c>
      <c r="E29" s="278">
        <f t="shared" ca="1" si="3"/>
        <v>0.4316666666666677</v>
      </c>
      <c r="F29" s="278">
        <f>'Monthly Data'!CG29</f>
        <v>0</v>
      </c>
      <c r="G29" s="278">
        <f>'Monthly Data'!AQ29</f>
        <v>200</v>
      </c>
      <c r="H29" s="278">
        <f>'Monthly Data'!CD29</f>
        <v>30</v>
      </c>
      <c r="J29" s="18">
        <f>'GS 1k-4,999 Predicted Monthly'!$T$10</f>
        <v>1142088.9328922699</v>
      </c>
      <c r="K29" s="18">
        <f ca="1">E29*'GS 1k-4,999 Predicted Monthly'!$T$11</f>
        <v>3861.1407505717921</v>
      </c>
      <c r="L29" s="18">
        <f>F29*'GS 1k-4,999 Predicted Monthly'!$T$12</f>
        <v>0</v>
      </c>
      <c r="M29" s="18">
        <f>G29*'GS 1k-4,999 Predicted Monthly'!$T$13</f>
        <v>2413199.3900425201</v>
      </c>
      <c r="N29" s="18">
        <f>H29*'GS 1k-4,999 Predicted Monthly'!$T$14</f>
        <v>3407455.1510788198</v>
      </c>
      <c r="O29" s="18">
        <f t="shared" ca="1" si="2"/>
        <v>6966604.6147641819</v>
      </c>
    </row>
    <row r="30" spans="1:16" x14ac:dyDescent="0.25">
      <c r="A30" s="3">
        <f>'Monthly Data'!A30</f>
        <v>42856</v>
      </c>
      <c r="B30" s="1">
        <f t="shared" si="0"/>
        <v>2017</v>
      </c>
      <c r="C30" s="1">
        <f t="shared" si="1"/>
        <v>5</v>
      </c>
      <c r="D30" s="268">
        <f>'Monthly Data'!S30</f>
        <v>7506438.3334006667</v>
      </c>
      <c r="E30" s="278">
        <f t="shared" ca="1" si="3"/>
        <v>29.4520183982684</v>
      </c>
      <c r="F30" s="278">
        <f>'Monthly Data'!CG30</f>
        <v>0</v>
      </c>
      <c r="G30" s="278">
        <f>'Monthly Data'!AQ30</f>
        <v>202.9</v>
      </c>
      <c r="H30" s="278">
        <f>'Monthly Data'!CD30</f>
        <v>31</v>
      </c>
      <c r="J30" s="18">
        <f>'GS 1k-4,999 Predicted Monthly'!$T$10</f>
        <v>1142088.9328922699</v>
      </c>
      <c r="K30" s="18">
        <f ca="1">E30*'GS 1k-4,999 Predicted Monthly'!$T$11</f>
        <v>263440.2820636541</v>
      </c>
      <c r="L30" s="18">
        <f>F30*'GS 1k-4,999 Predicted Monthly'!$T$12</f>
        <v>0</v>
      </c>
      <c r="M30" s="18">
        <f>G30*'GS 1k-4,999 Predicted Monthly'!$T$13</f>
        <v>2448190.7811981365</v>
      </c>
      <c r="N30" s="18">
        <f>H30*'GS 1k-4,999 Predicted Monthly'!$T$14</f>
        <v>3521036.9894481138</v>
      </c>
      <c r="O30" s="18">
        <f t="shared" ca="1" si="2"/>
        <v>7374756.985602174</v>
      </c>
    </row>
    <row r="31" spans="1:16" x14ac:dyDescent="0.25">
      <c r="A31" s="3">
        <f>'Monthly Data'!A31</f>
        <v>42887</v>
      </c>
      <c r="B31" s="1">
        <f t="shared" si="0"/>
        <v>2017</v>
      </c>
      <c r="C31" s="1">
        <f t="shared" si="1"/>
        <v>6</v>
      </c>
      <c r="D31" s="268">
        <f>'Monthly Data'!S31</f>
        <v>8030339.2459057812</v>
      </c>
      <c r="E31" s="278">
        <f t="shared" ref="E31:E46" ca="1" si="4">E19</f>
        <v>86.311049595332207</v>
      </c>
      <c r="F31" s="278">
        <f>'Monthly Data'!CG31</f>
        <v>0</v>
      </c>
      <c r="G31" s="278">
        <f>'Monthly Data'!AQ31</f>
        <v>206.7</v>
      </c>
      <c r="H31" s="278">
        <f>'Monthly Data'!CD31</f>
        <v>30</v>
      </c>
      <c r="J31" s="18">
        <f>'GS 1k-4,999 Predicted Monthly'!$T$10</f>
        <v>1142088.9328922699</v>
      </c>
      <c r="K31" s="18">
        <f ca="1">E31*'GS 1k-4,999 Predicted Monthly'!$T$11</f>
        <v>772028.82814785955</v>
      </c>
      <c r="L31" s="18">
        <f>F31*'GS 1k-4,999 Predicted Monthly'!$T$12</f>
        <v>0</v>
      </c>
      <c r="M31" s="18">
        <f>G31*'GS 1k-4,999 Predicted Monthly'!$T$13</f>
        <v>2494041.5696089445</v>
      </c>
      <c r="N31" s="18">
        <f>H31*'GS 1k-4,999 Predicted Monthly'!$T$14</f>
        <v>3407455.1510788198</v>
      </c>
      <c r="O31" s="18">
        <f t="shared" ca="1" si="2"/>
        <v>7815614.4817278944</v>
      </c>
    </row>
    <row r="32" spans="1:16" x14ac:dyDescent="0.25">
      <c r="A32" s="3">
        <f>'Monthly Data'!A32</f>
        <v>42917</v>
      </c>
      <c r="B32" s="1">
        <f t="shared" si="0"/>
        <v>2017</v>
      </c>
      <c r="C32" s="1">
        <f t="shared" si="1"/>
        <v>7</v>
      </c>
      <c r="D32" s="268">
        <f>'Monthly Data'!S32</f>
        <v>8822626.0175652429</v>
      </c>
      <c r="E32" s="278">
        <f t="shared" ca="1" si="4"/>
        <v>174.0219619206118</v>
      </c>
      <c r="F32" s="278">
        <f>'Monthly Data'!CG32</f>
        <v>0</v>
      </c>
      <c r="G32" s="278">
        <f>'Monthly Data'!AQ32</f>
        <v>207</v>
      </c>
      <c r="H32" s="278">
        <f>'Monthly Data'!CD32</f>
        <v>31</v>
      </c>
      <c r="J32" s="18">
        <f>'GS 1k-4,999 Predicted Monthly'!$T$10</f>
        <v>1142088.9328922699</v>
      </c>
      <c r="K32" s="18">
        <f ca="1">E32*'GS 1k-4,999 Predicted Monthly'!$T$11</f>
        <v>1556579.0471029929</v>
      </c>
      <c r="L32" s="18">
        <f>F32*'GS 1k-4,999 Predicted Monthly'!$T$12</f>
        <v>0</v>
      </c>
      <c r="M32" s="18">
        <f>G32*'GS 1k-4,999 Predicted Monthly'!$T$13</f>
        <v>2497661.3686940083</v>
      </c>
      <c r="N32" s="18">
        <f>H32*'GS 1k-4,999 Predicted Monthly'!$T$14</f>
        <v>3521036.9894481138</v>
      </c>
      <c r="O32" s="18">
        <f t="shared" ca="1" si="2"/>
        <v>8717366.3381373845</v>
      </c>
    </row>
    <row r="33" spans="1:15" x14ac:dyDescent="0.25">
      <c r="A33" s="3">
        <f>'Monthly Data'!A33</f>
        <v>42948</v>
      </c>
      <c r="B33" s="1">
        <f t="shared" si="0"/>
        <v>2017</v>
      </c>
      <c r="C33" s="1">
        <f t="shared" si="1"/>
        <v>8</v>
      </c>
      <c r="D33" s="268">
        <f>'Monthly Data'!S33</f>
        <v>9105942.2354655229</v>
      </c>
      <c r="E33" s="278">
        <f t="shared" ca="1" si="4"/>
        <v>149.7160046113307</v>
      </c>
      <c r="F33" s="278">
        <f>'Monthly Data'!CG33</f>
        <v>0</v>
      </c>
      <c r="G33" s="278">
        <f>'Monthly Data'!AQ33</f>
        <v>208.1</v>
      </c>
      <c r="H33" s="278">
        <f>'Monthly Data'!CD33</f>
        <v>31</v>
      </c>
      <c r="J33" s="18">
        <f>'GS 1k-4,999 Predicted Monthly'!$T$10</f>
        <v>1142088.9328922699</v>
      </c>
      <c r="K33" s="18">
        <f ca="1">E33*'GS 1k-4,999 Predicted Monthly'!$T$11</f>
        <v>1339168.8797318963</v>
      </c>
      <c r="L33" s="18">
        <f>F33*'GS 1k-4,999 Predicted Monthly'!$T$12</f>
        <v>0</v>
      </c>
      <c r="M33" s="18">
        <f>G33*'GS 1k-4,999 Predicted Monthly'!$T$13</f>
        <v>2510933.965339242</v>
      </c>
      <c r="N33" s="18">
        <f>H33*'GS 1k-4,999 Predicted Monthly'!$T$14</f>
        <v>3521036.9894481138</v>
      </c>
      <c r="O33" s="18">
        <f t="shared" ca="1" si="2"/>
        <v>8513228.7674115226</v>
      </c>
    </row>
    <row r="34" spans="1:15" x14ac:dyDescent="0.25">
      <c r="A34" s="3">
        <f>'Monthly Data'!A34</f>
        <v>42979</v>
      </c>
      <c r="B34" s="1">
        <f t="shared" si="0"/>
        <v>2017</v>
      </c>
      <c r="C34" s="1">
        <f t="shared" si="1"/>
        <v>9</v>
      </c>
      <c r="D34" s="268">
        <f>'Monthly Data'!S34</f>
        <v>7578589.9761335328</v>
      </c>
      <c r="E34" s="278">
        <f t="shared" ca="1" si="4"/>
        <v>62.345178571428576</v>
      </c>
      <c r="F34" s="278">
        <f>'Monthly Data'!CG34</f>
        <v>0</v>
      </c>
      <c r="G34" s="278">
        <f>'Monthly Data'!AQ34</f>
        <v>208.1</v>
      </c>
      <c r="H34" s="278">
        <f>'Monthly Data'!CD34</f>
        <v>30</v>
      </c>
      <c r="J34" s="18">
        <f>'GS 1k-4,999 Predicted Monthly'!$T$10</f>
        <v>1142088.9328922699</v>
      </c>
      <c r="K34" s="18">
        <f ca="1">E34*'GS 1k-4,999 Predicted Monthly'!$T$11</f>
        <v>557660.63996251172</v>
      </c>
      <c r="L34" s="18">
        <f>F34*'GS 1k-4,999 Predicted Monthly'!$T$12</f>
        <v>0</v>
      </c>
      <c r="M34" s="18">
        <f>G34*'GS 1k-4,999 Predicted Monthly'!$T$13</f>
        <v>2510933.965339242</v>
      </c>
      <c r="N34" s="18">
        <f>H34*'GS 1k-4,999 Predicted Monthly'!$T$14</f>
        <v>3407455.1510788198</v>
      </c>
      <c r="O34" s="18">
        <f t="shared" ca="1" si="2"/>
        <v>7618138.6892728433</v>
      </c>
    </row>
    <row r="35" spans="1:15" x14ac:dyDescent="0.25">
      <c r="A35" s="3">
        <f>'Monthly Data'!A35</f>
        <v>43009</v>
      </c>
      <c r="B35" s="1">
        <f t="shared" si="0"/>
        <v>2017</v>
      </c>
      <c r="C35" s="1">
        <f t="shared" si="1"/>
        <v>10</v>
      </c>
      <c r="D35" s="268">
        <f>'Monthly Data'!S35</f>
        <v>7201241.0247569699</v>
      </c>
      <c r="E35" s="278">
        <f t="shared" ca="1" si="4"/>
        <v>7.1541666666666703</v>
      </c>
      <c r="F35" s="278">
        <f>'Monthly Data'!CG35</f>
        <v>0</v>
      </c>
      <c r="G35" s="278">
        <f>'Monthly Data'!AQ35</f>
        <v>209.9</v>
      </c>
      <c r="H35" s="278">
        <f>'Monthly Data'!CD35</f>
        <v>31</v>
      </c>
      <c r="J35" s="18">
        <f>'GS 1k-4,999 Predicted Monthly'!$T$10</f>
        <v>1142088.9328922699</v>
      </c>
      <c r="K35" s="18">
        <f ca="1">E35*'GS 1k-4,999 Predicted Monthly'!$T$11</f>
        <v>63992.072092005357</v>
      </c>
      <c r="L35" s="18">
        <f>F35*'GS 1k-4,999 Predicted Monthly'!$T$12</f>
        <v>0</v>
      </c>
      <c r="M35" s="18">
        <f>G35*'GS 1k-4,999 Predicted Monthly'!$T$13</f>
        <v>2532652.7598496247</v>
      </c>
      <c r="N35" s="18">
        <f>H35*'GS 1k-4,999 Predicted Monthly'!$T$14</f>
        <v>3521036.9894481138</v>
      </c>
      <c r="O35" s="18">
        <f t="shared" ca="1" si="2"/>
        <v>7259770.7542820144</v>
      </c>
    </row>
    <row r="36" spans="1:15" x14ac:dyDescent="0.25">
      <c r="A36" s="3">
        <f>'Monthly Data'!A36</f>
        <v>43040</v>
      </c>
      <c r="B36" s="1">
        <f t="shared" si="0"/>
        <v>2017</v>
      </c>
      <c r="C36" s="1">
        <f t="shared" si="1"/>
        <v>11</v>
      </c>
      <c r="D36" s="268">
        <f>'Monthly Data'!S36</f>
        <v>7272686.6406943528</v>
      </c>
      <c r="E36" s="278">
        <f t="shared" ca="1" si="4"/>
        <v>0.15041666666666628</v>
      </c>
      <c r="F36" s="278">
        <f>'Monthly Data'!CG36</f>
        <v>0</v>
      </c>
      <c r="G36" s="278">
        <f>'Monthly Data'!AQ36</f>
        <v>209</v>
      </c>
      <c r="H36" s="278">
        <f>'Monthly Data'!CD36</f>
        <v>30</v>
      </c>
      <c r="J36" s="18">
        <f>'GS 1k-4,999 Predicted Monthly'!$T$10</f>
        <v>1142088.9328922699</v>
      </c>
      <c r="K36" s="18">
        <f ca="1">E36*'GS 1k-4,999 Predicted Monthly'!$T$11</f>
        <v>1345.4361109617857</v>
      </c>
      <c r="L36" s="18">
        <f>F36*'GS 1k-4,999 Predicted Monthly'!$T$12</f>
        <v>0</v>
      </c>
      <c r="M36" s="18">
        <f>G36*'GS 1k-4,999 Predicted Monthly'!$T$13</f>
        <v>2521793.3625944336</v>
      </c>
      <c r="N36" s="18">
        <f>H36*'GS 1k-4,999 Predicted Monthly'!$T$14</f>
        <v>3407455.1510788198</v>
      </c>
      <c r="O36" s="18">
        <f t="shared" ca="1" si="2"/>
        <v>7072682.882676485</v>
      </c>
    </row>
    <row r="37" spans="1:15" x14ac:dyDescent="0.25">
      <c r="A37" s="3">
        <f>'Monthly Data'!A37</f>
        <v>43070</v>
      </c>
      <c r="B37" s="1">
        <f t="shared" si="0"/>
        <v>2017</v>
      </c>
      <c r="C37" s="1">
        <f t="shared" si="1"/>
        <v>12</v>
      </c>
      <c r="D37" s="268">
        <f>'Monthly Data'!S37</f>
        <v>6901002.2880553724</v>
      </c>
      <c r="E37" s="278">
        <f t="shared" ca="1" si="4"/>
        <v>0</v>
      </c>
      <c r="F37" s="278">
        <f>'Monthly Data'!CG37</f>
        <v>0</v>
      </c>
      <c r="G37" s="278">
        <f>'Monthly Data'!AQ37</f>
        <v>208</v>
      </c>
      <c r="H37" s="278">
        <f>'Monthly Data'!CD37</f>
        <v>31</v>
      </c>
      <c r="J37" s="18">
        <f>'GS 1k-4,999 Predicted Monthly'!$T$10</f>
        <v>1142088.9328922699</v>
      </c>
      <c r="K37" s="18">
        <f ca="1">E37*'GS 1k-4,999 Predicted Monthly'!$T$11</f>
        <v>0</v>
      </c>
      <c r="L37" s="18">
        <f>F37*'GS 1k-4,999 Predicted Monthly'!$T$12</f>
        <v>0</v>
      </c>
      <c r="M37" s="18">
        <f>G37*'GS 1k-4,999 Predicted Monthly'!$T$13</f>
        <v>2509727.3656442207</v>
      </c>
      <c r="N37" s="18">
        <f>H37*'GS 1k-4,999 Predicted Monthly'!$T$14</f>
        <v>3521036.9894481138</v>
      </c>
      <c r="O37" s="18">
        <f t="shared" ca="1" si="2"/>
        <v>7172853.287984604</v>
      </c>
    </row>
    <row r="38" spans="1:15" x14ac:dyDescent="0.25">
      <c r="A38" s="3">
        <f>'Monthly Data'!A38</f>
        <v>43101</v>
      </c>
      <c r="B38" s="1">
        <f t="shared" si="0"/>
        <v>2018</v>
      </c>
      <c r="C38" s="1">
        <f t="shared" si="1"/>
        <v>1</v>
      </c>
      <c r="D38" s="268">
        <f>'Monthly Data'!S38</f>
        <v>7124030.899678275</v>
      </c>
      <c r="E38" s="278">
        <f t="shared" ca="1" si="4"/>
        <v>0</v>
      </c>
      <c r="F38" s="278">
        <f>'Monthly Data'!CG38</f>
        <v>0</v>
      </c>
      <c r="G38" s="278">
        <f>'Monthly Data'!AQ38</f>
        <v>206.9</v>
      </c>
      <c r="H38" s="278">
        <f>'Monthly Data'!CD38</f>
        <v>31</v>
      </c>
      <c r="J38" s="18">
        <f>'GS 1k-4,999 Predicted Monthly'!$T$10</f>
        <v>1142088.9328922699</v>
      </c>
      <c r="K38" s="18">
        <f ca="1">E38*'GS 1k-4,999 Predicted Monthly'!$T$11</f>
        <v>0</v>
      </c>
      <c r="L38" s="18">
        <f>F38*'GS 1k-4,999 Predicted Monthly'!$T$12</f>
        <v>0</v>
      </c>
      <c r="M38" s="18">
        <f>G38*'GS 1k-4,999 Predicted Monthly'!$T$13</f>
        <v>2496454.768998987</v>
      </c>
      <c r="N38" s="18">
        <f>H38*'GS 1k-4,999 Predicted Monthly'!$T$14</f>
        <v>3521036.9894481138</v>
      </c>
      <c r="O38" s="18">
        <f t="shared" ca="1" si="2"/>
        <v>7159580.6913393708</v>
      </c>
    </row>
    <row r="39" spans="1:15" x14ac:dyDescent="0.25">
      <c r="A39" s="3">
        <f>'Monthly Data'!A39</f>
        <v>43132</v>
      </c>
      <c r="B39" s="1">
        <f t="shared" si="0"/>
        <v>2018</v>
      </c>
      <c r="C39" s="1">
        <f t="shared" si="1"/>
        <v>2</v>
      </c>
      <c r="D39" s="268">
        <f>'Monthly Data'!S39</f>
        <v>6399514.7034799419</v>
      </c>
      <c r="E39" s="278">
        <f t="shared" ca="1" si="4"/>
        <v>0</v>
      </c>
      <c r="F39" s="278">
        <f>'Monthly Data'!CG39</f>
        <v>0</v>
      </c>
      <c r="G39" s="278">
        <f>'Monthly Data'!AQ39</f>
        <v>207.4</v>
      </c>
      <c r="H39" s="278">
        <f>'Monthly Data'!CD39</f>
        <v>28</v>
      </c>
      <c r="J39" s="18">
        <f>'GS 1k-4,999 Predicted Monthly'!$T$10</f>
        <v>1142088.9328922699</v>
      </c>
      <c r="K39" s="18">
        <f ca="1">E39*'GS 1k-4,999 Predicted Monthly'!$T$11</f>
        <v>0</v>
      </c>
      <c r="L39" s="18">
        <f>F39*'GS 1k-4,999 Predicted Monthly'!$T$12</f>
        <v>0</v>
      </c>
      <c r="M39" s="18">
        <f>G39*'GS 1k-4,999 Predicted Monthly'!$T$13</f>
        <v>2502487.7674740935</v>
      </c>
      <c r="N39" s="18">
        <f>H39*'GS 1k-4,999 Predicted Monthly'!$T$14</f>
        <v>3180291.4743402321</v>
      </c>
      <c r="O39" s="18">
        <f t="shared" ca="1" si="2"/>
        <v>6824868.174706595</v>
      </c>
    </row>
    <row r="40" spans="1:15" x14ac:dyDescent="0.25">
      <c r="A40" s="3">
        <f>'Monthly Data'!A40</f>
        <v>43160</v>
      </c>
      <c r="B40" s="1">
        <f t="shared" si="0"/>
        <v>2018</v>
      </c>
      <c r="C40" s="1">
        <f t="shared" si="1"/>
        <v>3</v>
      </c>
      <c r="D40" s="268">
        <f>'Monthly Data'!S40</f>
        <v>6880257.4649304906</v>
      </c>
      <c r="E40" s="278">
        <f t="shared" ca="1" si="4"/>
        <v>0</v>
      </c>
      <c r="F40" s="278">
        <f>'Monthly Data'!CG40</f>
        <v>0</v>
      </c>
      <c r="G40" s="278">
        <f>'Monthly Data'!AQ40</f>
        <v>210.4</v>
      </c>
      <c r="H40" s="278">
        <f>'Monthly Data'!CD40</f>
        <v>31</v>
      </c>
      <c r="J40" s="18">
        <f>'GS 1k-4,999 Predicted Monthly'!$T$10</f>
        <v>1142088.9328922699</v>
      </c>
      <c r="K40" s="18">
        <f ca="1">E40*'GS 1k-4,999 Predicted Monthly'!$T$11</f>
        <v>0</v>
      </c>
      <c r="L40" s="18">
        <f>F40*'GS 1k-4,999 Predicted Monthly'!$T$12</f>
        <v>0</v>
      </c>
      <c r="M40" s="18">
        <f>G40*'GS 1k-4,999 Predicted Monthly'!$T$13</f>
        <v>2538685.7583247311</v>
      </c>
      <c r="N40" s="18">
        <f>H40*'GS 1k-4,999 Predicted Monthly'!$T$14</f>
        <v>3521036.9894481138</v>
      </c>
      <c r="O40" s="18">
        <f t="shared" ca="1" si="2"/>
        <v>7201811.6806651149</v>
      </c>
    </row>
    <row r="41" spans="1:15" x14ac:dyDescent="0.25">
      <c r="A41" s="3">
        <f>'Monthly Data'!A41</f>
        <v>43191</v>
      </c>
      <c r="B41" s="1">
        <f t="shared" si="0"/>
        <v>2018</v>
      </c>
      <c r="C41" s="1">
        <f t="shared" si="1"/>
        <v>4</v>
      </c>
      <c r="D41" s="268">
        <f>'Monthly Data'!S41</f>
        <v>7045665.0089409975</v>
      </c>
      <c r="E41" s="278">
        <f t="shared" ca="1" si="4"/>
        <v>0.4316666666666677</v>
      </c>
      <c r="F41" s="278">
        <f>'Monthly Data'!CG41</f>
        <v>0</v>
      </c>
      <c r="G41" s="278">
        <f>'Monthly Data'!AQ41</f>
        <v>214.5</v>
      </c>
      <c r="H41" s="278">
        <f>'Monthly Data'!CD41</f>
        <v>30</v>
      </c>
      <c r="J41" s="18">
        <f>'GS 1k-4,999 Predicted Monthly'!$T$10</f>
        <v>1142088.9328922699</v>
      </c>
      <c r="K41" s="18">
        <f ca="1">E41*'GS 1k-4,999 Predicted Monthly'!$T$11</f>
        <v>3861.1407505717921</v>
      </c>
      <c r="L41" s="18">
        <f>F41*'GS 1k-4,999 Predicted Monthly'!$T$12</f>
        <v>0</v>
      </c>
      <c r="M41" s="18">
        <f>G41*'GS 1k-4,999 Predicted Monthly'!$T$13</f>
        <v>2588156.345820603</v>
      </c>
      <c r="N41" s="18">
        <f>H41*'GS 1k-4,999 Predicted Monthly'!$T$14</f>
        <v>3407455.1510788198</v>
      </c>
      <c r="O41" s="18">
        <f t="shared" ca="1" si="2"/>
        <v>7141561.5705422647</v>
      </c>
    </row>
    <row r="42" spans="1:15" x14ac:dyDescent="0.25">
      <c r="A42" s="3">
        <f>'Monthly Data'!A42</f>
        <v>43221</v>
      </c>
      <c r="B42" s="1">
        <f t="shared" si="0"/>
        <v>2018</v>
      </c>
      <c r="C42" s="1">
        <f t="shared" si="1"/>
        <v>5</v>
      </c>
      <c r="D42" s="268">
        <f>'Monthly Data'!S42</f>
        <v>7498547.6286311271</v>
      </c>
      <c r="E42" s="278">
        <f t="shared" ca="1" si="4"/>
        <v>29.4520183982684</v>
      </c>
      <c r="F42" s="278">
        <f>'Monthly Data'!CG42</f>
        <v>0</v>
      </c>
      <c r="G42" s="278">
        <f>'Monthly Data'!AQ42</f>
        <v>218.3</v>
      </c>
      <c r="H42" s="278">
        <f>'Monthly Data'!CD42</f>
        <v>31</v>
      </c>
      <c r="J42" s="18">
        <f>'GS 1k-4,999 Predicted Monthly'!$T$10</f>
        <v>1142088.9328922699</v>
      </c>
      <c r="K42" s="18">
        <f ca="1">E42*'GS 1k-4,999 Predicted Monthly'!$T$11</f>
        <v>263440.2820636541</v>
      </c>
      <c r="L42" s="18">
        <f>F42*'GS 1k-4,999 Predicted Monthly'!$T$12</f>
        <v>0</v>
      </c>
      <c r="M42" s="18">
        <f>G42*'GS 1k-4,999 Predicted Monthly'!$T$13</f>
        <v>2634007.1342314109</v>
      </c>
      <c r="N42" s="18">
        <f>H42*'GS 1k-4,999 Predicted Monthly'!$T$14</f>
        <v>3521036.9894481138</v>
      </c>
      <c r="O42" s="18">
        <f t="shared" ca="1" si="2"/>
        <v>7560573.3386354484</v>
      </c>
    </row>
    <row r="43" spans="1:15" x14ac:dyDescent="0.25">
      <c r="A43" s="3">
        <f>'Monthly Data'!A43</f>
        <v>43252</v>
      </c>
      <c r="B43" s="1">
        <f t="shared" si="0"/>
        <v>2018</v>
      </c>
      <c r="C43" s="1">
        <f t="shared" si="1"/>
        <v>6</v>
      </c>
      <c r="D43" s="268">
        <f>'Monthly Data'!S43</f>
        <v>7218892.5771825379</v>
      </c>
      <c r="E43" s="278">
        <f t="shared" ca="1" si="4"/>
        <v>86.311049595332207</v>
      </c>
      <c r="F43" s="278">
        <f>'Monthly Data'!CG43</f>
        <v>0</v>
      </c>
      <c r="G43" s="278">
        <f>'Monthly Data'!AQ43</f>
        <v>220.4</v>
      </c>
      <c r="H43" s="278">
        <f>'Monthly Data'!CD43</f>
        <v>30</v>
      </c>
      <c r="J43" s="18">
        <f>'GS 1k-4,999 Predicted Monthly'!$T$10</f>
        <v>1142088.9328922699</v>
      </c>
      <c r="K43" s="18">
        <f ca="1">E43*'GS 1k-4,999 Predicted Monthly'!$T$11</f>
        <v>772028.82814785955</v>
      </c>
      <c r="L43" s="18">
        <f>F43*'GS 1k-4,999 Predicted Monthly'!$T$12</f>
        <v>0</v>
      </c>
      <c r="M43" s="18">
        <f>G43*'GS 1k-4,999 Predicted Monthly'!$T$13</f>
        <v>2659345.727826857</v>
      </c>
      <c r="N43" s="18">
        <f>H43*'GS 1k-4,999 Predicted Monthly'!$T$14</f>
        <v>3407455.1510788198</v>
      </c>
      <c r="O43" s="18">
        <f t="shared" ca="1" si="2"/>
        <v>7980918.6399458069</v>
      </c>
    </row>
    <row r="44" spans="1:15" x14ac:dyDescent="0.25">
      <c r="A44" s="3">
        <f>'Monthly Data'!A44</f>
        <v>43282</v>
      </c>
      <c r="B44" s="1">
        <f t="shared" si="0"/>
        <v>2018</v>
      </c>
      <c r="C44" s="1">
        <f t="shared" si="1"/>
        <v>7</v>
      </c>
      <c r="D44" s="268">
        <f>'Monthly Data'!S44</f>
        <v>7674844.1264595538</v>
      </c>
      <c r="E44" s="278">
        <f t="shared" ca="1" si="4"/>
        <v>174.0219619206118</v>
      </c>
      <c r="F44" s="278">
        <f>'Monthly Data'!CG44</f>
        <v>0</v>
      </c>
      <c r="G44" s="278">
        <f>'Monthly Data'!AQ44</f>
        <v>219.9</v>
      </c>
      <c r="H44" s="278">
        <f>'Monthly Data'!CD44</f>
        <v>31</v>
      </c>
      <c r="J44" s="18">
        <f>'GS 1k-4,999 Predicted Monthly'!$T$10</f>
        <v>1142088.9328922699</v>
      </c>
      <c r="K44" s="18">
        <f ca="1">E44*'GS 1k-4,999 Predicted Monthly'!$T$11</f>
        <v>1556579.0471029929</v>
      </c>
      <c r="L44" s="18">
        <f>F44*'GS 1k-4,999 Predicted Monthly'!$T$12</f>
        <v>0</v>
      </c>
      <c r="M44" s="18">
        <f>G44*'GS 1k-4,999 Predicted Monthly'!$T$13</f>
        <v>2653312.729351751</v>
      </c>
      <c r="N44" s="18">
        <f>H44*'GS 1k-4,999 Predicted Monthly'!$T$14</f>
        <v>3521036.9894481138</v>
      </c>
      <c r="O44" s="18">
        <f t="shared" ca="1" si="2"/>
        <v>8873017.6987951268</v>
      </c>
    </row>
    <row r="45" spans="1:15" x14ac:dyDescent="0.25">
      <c r="A45" s="3">
        <f>'Monthly Data'!A45</f>
        <v>43313</v>
      </c>
      <c r="B45" s="1">
        <f t="shared" si="0"/>
        <v>2018</v>
      </c>
      <c r="C45" s="1">
        <f t="shared" si="1"/>
        <v>8</v>
      </c>
      <c r="D45" s="268">
        <f>'Monthly Data'!S45</f>
        <v>8559341.27840144</v>
      </c>
      <c r="E45" s="278">
        <f t="shared" ca="1" si="4"/>
        <v>149.7160046113307</v>
      </c>
      <c r="F45" s="278">
        <f>'Monthly Data'!CG45</f>
        <v>0</v>
      </c>
      <c r="G45" s="278">
        <f>'Monthly Data'!AQ45</f>
        <v>218.3</v>
      </c>
      <c r="H45" s="278">
        <f>'Monthly Data'!CD45</f>
        <v>31</v>
      </c>
      <c r="J45" s="18">
        <f>'GS 1k-4,999 Predicted Monthly'!$T$10</f>
        <v>1142088.9328922699</v>
      </c>
      <c r="K45" s="18">
        <f ca="1">E45*'GS 1k-4,999 Predicted Monthly'!$T$11</f>
        <v>1339168.8797318963</v>
      </c>
      <c r="L45" s="18">
        <f>F45*'GS 1k-4,999 Predicted Monthly'!$T$12</f>
        <v>0</v>
      </c>
      <c r="M45" s="18">
        <f>G45*'GS 1k-4,999 Predicted Monthly'!$T$13</f>
        <v>2634007.1342314109</v>
      </c>
      <c r="N45" s="18">
        <f>H45*'GS 1k-4,999 Predicted Monthly'!$T$14</f>
        <v>3521036.9894481138</v>
      </c>
      <c r="O45" s="18">
        <f t="shared" ca="1" si="2"/>
        <v>8636301.9363036901</v>
      </c>
    </row>
    <row r="46" spans="1:15" x14ac:dyDescent="0.25">
      <c r="A46" s="3">
        <f>'Monthly Data'!A46</f>
        <v>43344</v>
      </c>
      <c r="B46" s="1">
        <f t="shared" si="0"/>
        <v>2018</v>
      </c>
      <c r="C46" s="1">
        <f t="shared" si="1"/>
        <v>9</v>
      </c>
      <c r="D46" s="268">
        <f>'Monthly Data'!S46</f>
        <v>7863635.481699842</v>
      </c>
      <c r="E46" s="278">
        <f t="shared" ca="1" si="4"/>
        <v>62.345178571428576</v>
      </c>
      <c r="F46" s="278">
        <f>'Monthly Data'!CG46</f>
        <v>0</v>
      </c>
      <c r="G46" s="278">
        <f>'Monthly Data'!AQ46</f>
        <v>216.6</v>
      </c>
      <c r="H46" s="278">
        <f>'Monthly Data'!CD46</f>
        <v>30</v>
      </c>
      <c r="J46" s="18">
        <f>'GS 1k-4,999 Predicted Monthly'!$T$10</f>
        <v>1142088.9328922699</v>
      </c>
      <c r="K46" s="18">
        <f ca="1">E46*'GS 1k-4,999 Predicted Monthly'!$T$11</f>
        <v>557660.63996251172</v>
      </c>
      <c r="L46" s="18">
        <f>F46*'GS 1k-4,999 Predicted Monthly'!$T$12</f>
        <v>0</v>
      </c>
      <c r="M46" s="18">
        <f>G46*'GS 1k-4,999 Predicted Monthly'!$T$13</f>
        <v>2613494.939416049</v>
      </c>
      <c r="N46" s="18">
        <f>H46*'GS 1k-4,999 Predicted Monthly'!$T$14</f>
        <v>3407455.1510788198</v>
      </c>
      <c r="O46" s="18">
        <f t="shared" ca="1" si="2"/>
        <v>7720699.6633496508</v>
      </c>
    </row>
    <row r="47" spans="1:15" x14ac:dyDescent="0.25">
      <c r="A47" s="3">
        <f>'Monthly Data'!A47</f>
        <v>43374</v>
      </c>
      <c r="B47" s="1">
        <f t="shared" si="0"/>
        <v>2018</v>
      </c>
      <c r="C47" s="1">
        <f t="shared" si="1"/>
        <v>10</v>
      </c>
      <c r="D47" s="268">
        <f>'Monthly Data'!S47</f>
        <v>7239505.6133747967</v>
      </c>
      <c r="E47" s="278">
        <f t="shared" ref="E47:E62" ca="1" si="5">E35</f>
        <v>7.1541666666666703</v>
      </c>
      <c r="F47" s="278">
        <f>'Monthly Data'!CG47</f>
        <v>0</v>
      </c>
      <c r="G47" s="278">
        <f>'Monthly Data'!AQ47</f>
        <v>215.2</v>
      </c>
      <c r="H47" s="278">
        <f>'Monthly Data'!CD47</f>
        <v>31</v>
      </c>
      <c r="J47" s="18">
        <f>'GS 1k-4,999 Predicted Monthly'!$T$10</f>
        <v>1142088.9328922699</v>
      </c>
      <c r="K47" s="18">
        <f ca="1">E47*'GS 1k-4,999 Predicted Monthly'!$T$11</f>
        <v>63992.072092005357</v>
      </c>
      <c r="L47" s="18">
        <f>F47*'GS 1k-4,999 Predicted Monthly'!$T$12</f>
        <v>0</v>
      </c>
      <c r="M47" s="18">
        <f>G47*'GS 1k-4,999 Predicted Monthly'!$T$13</f>
        <v>2596602.5436857515</v>
      </c>
      <c r="N47" s="18">
        <f>H47*'GS 1k-4,999 Predicted Monthly'!$T$14</f>
        <v>3521036.9894481138</v>
      </c>
      <c r="O47" s="18">
        <f t="shared" ca="1" si="2"/>
        <v>7323720.5381181408</v>
      </c>
    </row>
    <row r="48" spans="1:15" x14ac:dyDescent="0.25">
      <c r="A48" s="3">
        <f>'Monthly Data'!A48</f>
        <v>43405</v>
      </c>
      <c r="B48" s="1">
        <f t="shared" si="0"/>
        <v>2018</v>
      </c>
      <c r="C48" s="1">
        <f t="shared" si="1"/>
        <v>11</v>
      </c>
      <c r="D48" s="268">
        <f>'Monthly Data'!S48</f>
        <v>6895809.8727658689</v>
      </c>
      <c r="E48" s="278">
        <f t="shared" ca="1" si="5"/>
        <v>0.15041666666666628</v>
      </c>
      <c r="F48" s="278">
        <f>'Monthly Data'!CG48</f>
        <v>0</v>
      </c>
      <c r="G48" s="278">
        <f>'Monthly Data'!AQ48</f>
        <v>215.3</v>
      </c>
      <c r="H48" s="278">
        <f>'Monthly Data'!CD48</f>
        <v>30</v>
      </c>
      <c r="J48" s="18">
        <f>'GS 1k-4,999 Predicted Monthly'!$T$10</f>
        <v>1142088.9328922699</v>
      </c>
      <c r="K48" s="18">
        <f ca="1">E48*'GS 1k-4,999 Predicted Monthly'!$T$11</f>
        <v>1345.4361109617857</v>
      </c>
      <c r="L48" s="18">
        <f>F48*'GS 1k-4,999 Predicted Monthly'!$T$12</f>
        <v>0</v>
      </c>
      <c r="M48" s="18">
        <f>G48*'GS 1k-4,999 Predicted Monthly'!$T$13</f>
        <v>2597809.1433807733</v>
      </c>
      <c r="N48" s="18">
        <f>H48*'GS 1k-4,999 Predicted Monthly'!$T$14</f>
        <v>3407455.1510788198</v>
      </c>
      <c r="O48" s="18">
        <f t="shared" ca="1" si="2"/>
        <v>7148698.6634628251</v>
      </c>
    </row>
    <row r="49" spans="1:15" x14ac:dyDescent="0.25">
      <c r="A49" s="3">
        <f>'Monthly Data'!A49</f>
        <v>43435</v>
      </c>
      <c r="B49" s="1">
        <f t="shared" si="0"/>
        <v>2018</v>
      </c>
      <c r="C49" s="1">
        <f t="shared" si="1"/>
        <v>12</v>
      </c>
      <c r="D49" s="268">
        <f>'Monthly Data'!S49</f>
        <v>6632585.3377094418</v>
      </c>
      <c r="E49" s="278">
        <f t="shared" ca="1" si="5"/>
        <v>0</v>
      </c>
      <c r="F49" s="278">
        <f>'Monthly Data'!CG49</f>
        <v>0</v>
      </c>
      <c r="G49" s="278">
        <f>'Monthly Data'!AQ49</f>
        <v>214.3</v>
      </c>
      <c r="H49" s="278">
        <f>'Monthly Data'!CD49</f>
        <v>31</v>
      </c>
      <c r="J49" s="18">
        <f>'GS 1k-4,999 Predicted Monthly'!$T$10</f>
        <v>1142088.9328922699</v>
      </c>
      <c r="K49" s="18">
        <f ca="1">E49*'GS 1k-4,999 Predicted Monthly'!$T$11</f>
        <v>0</v>
      </c>
      <c r="L49" s="18">
        <f>F49*'GS 1k-4,999 Predicted Monthly'!$T$12</f>
        <v>0</v>
      </c>
      <c r="M49" s="18">
        <f>G49*'GS 1k-4,999 Predicted Monthly'!$T$13</f>
        <v>2585743.1464305604</v>
      </c>
      <c r="N49" s="18">
        <f>H49*'GS 1k-4,999 Predicted Monthly'!$T$14</f>
        <v>3521036.9894481138</v>
      </c>
      <c r="O49" s="18">
        <f t="shared" ca="1" si="2"/>
        <v>7248869.0687709441</v>
      </c>
    </row>
    <row r="50" spans="1:15" x14ac:dyDescent="0.25">
      <c r="A50" s="3">
        <f>'Monthly Data'!A50</f>
        <v>43466</v>
      </c>
      <c r="B50" s="1">
        <f t="shared" si="0"/>
        <v>2019</v>
      </c>
      <c r="C50" s="1">
        <f t="shared" si="1"/>
        <v>1</v>
      </c>
      <c r="D50" s="268">
        <f>'Monthly Data'!S50</f>
        <v>7362866.2549784202</v>
      </c>
      <c r="E50" s="278">
        <f t="shared" ca="1" si="5"/>
        <v>0</v>
      </c>
      <c r="F50" s="278">
        <f>'Monthly Data'!CG50</f>
        <v>0</v>
      </c>
      <c r="G50" s="278">
        <f>'Monthly Data'!AQ50</f>
        <v>217.1</v>
      </c>
      <c r="H50" s="278">
        <f>'Monthly Data'!CD50</f>
        <v>31</v>
      </c>
      <c r="J50" s="18">
        <f>'GS 1k-4,999 Predicted Monthly'!$T$10</f>
        <v>1142088.9328922699</v>
      </c>
      <c r="K50" s="18">
        <f ca="1">E50*'GS 1k-4,999 Predicted Monthly'!$T$11</f>
        <v>0</v>
      </c>
      <c r="L50" s="18">
        <f>F50*'GS 1k-4,999 Predicted Monthly'!$T$12</f>
        <v>0</v>
      </c>
      <c r="M50" s="18">
        <f>G50*'GS 1k-4,999 Predicted Monthly'!$T$13</f>
        <v>2619527.9378911555</v>
      </c>
      <c r="N50" s="18">
        <f>H50*'GS 1k-4,999 Predicted Monthly'!$T$14</f>
        <v>3521036.9894481138</v>
      </c>
      <c r="O50" s="18">
        <f t="shared" ca="1" si="2"/>
        <v>7282653.8602315392</v>
      </c>
    </row>
    <row r="51" spans="1:15" x14ac:dyDescent="0.25">
      <c r="A51" s="3">
        <f>'Monthly Data'!A51</f>
        <v>43497</v>
      </c>
      <c r="B51" s="1">
        <f t="shared" si="0"/>
        <v>2019</v>
      </c>
      <c r="C51" s="1">
        <f t="shared" si="1"/>
        <v>2</v>
      </c>
      <c r="D51" s="268">
        <f>'Monthly Data'!S51</f>
        <v>6700295.0580196613</v>
      </c>
      <c r="E51" s="278">
        <f t="shared" ca="1" si="5"/>
        <v>0</v>
      </c>
      <c r="F51" s="278">
        <f>'Monthly Data'!CG51</f>
        <v>0</v>
      </c>
      <c r="G51" s="278">
        <f>'Monthly Data'!AQ51</f>
        <v>219.1</v>
      </c>
      <c r="H51" s="278">
        <f>'Monthly Data'!CD51</f>
        <v>28</v>
      </c>
      <c r="J51" s="18">
        <f>'GS 1k-4,999 Predicted Monthly'!$T$10</f>
        <v>1142088.9328922699</v>
      </c>
      <c r="K51" s="18">
        <f ca="1">E51*'GS 1k-4,999 Predicted Monthly'!$T$11</f>
        <v>0</v>
      </c>
      <c r="L51" s="18">
        <f>F51*'GS 1k-4,999 Predicted Monthly'!$T$12</f>
        <v>0</v>
      </c>
      <c r="M51" s="18">
        <f>G51*'GS 1k-4,999 Predicted Monthly'!$T$13</f>
        <v>2643659.9317915807</v>
      </c>
      <c r="N51" s="18">
        <f>H51*'GS 1k-4,999 Predicted Monthly'!$T$14</f>
        <v>3180291.4743402321</v>
      </c>
      <c r="O51" s="18">
        <f t="shared" ca="1" si="2"/>
        <v>6966040.3390240828</v>
      </c>
    </row>
    <row r="52" spans="1:15" x14ac:dyDescent="0.25">
      <c r="A52" s="3">
        <f>'Monthly Data'!A52</f>
        <v>43525</v>
      </c>
      <c r="B52" s="1">
        <f t="shared" si="0"/>
        <v>2019</v>
      </c>
      <c r="C52" s="1">
        <f t="shared" si="1"/>
        <v>3</v>
      </c>
      <c r="D52" s="268">
        <f>'Monthly Data'!S52</f>
        <v>7200226.2824770492</v>
      </c>
      <c r="E52" s="278">
        <f t="shared" ca="1" si="5"/>
        <v>0</v>
      </c>
      <c r="F52" s="278">
        <f>'Monthly Data'!CG52</f>
        <v>0</v>
      </c>
      <c r="G52" s="278">
        <f>'Monthly Data'!AQ52</f>
        <v>221.6</v>
      </c>
      <c r="H52" s="278">
        <f>'Monthly Data'!CD52</f>
        <v>31</v>
      </c>
      <c r="J52" s="18">
        <f>'GS 1k-4,999 Predicted Monthly'!$T$10</f>
        <v>1142088.9328922699</v>
      </c>
      <c r="K52" s="18">
        <f ca="1">E52*'GS 1k-4,999 Predicted Monthly'!$T$11</f>
        <v>0</v>
      </c>
      <c r="L52" s="18">
        <f>F52*'GS 1k-4,999 Predicted Monthly'!$T$12</f>
        <v>0</v>
      </c>
      <c r="M52" s="18">
        <f>G52*'GS 1k-4,999 Predicted Monthly'!$T$13</f>
        <v>2673824.924167112</v>
      </c>
      <c r="N52" s="18">
        <f>H52*'GS 1k-4,999 Predicted Monthly'!$T$14</f>
        <v>3521036.9894481138</v>
      </c>
      <c r="O52" s="18">
        <f t="shared" ca="1" si="2"/>
        <v>7336950.8465074953</v>
      </c>
    </row>
    <row r="53" spans="1:15" x14ac:dyDescent="0.25">
      <c r="A53" s="3">
        <f>'Monthly Data'!A53</f>
        <v>43556</v>
      </c>
      <c r="B53" s="1">
        <f t="shared" si="0"/>
        <v>2019</v>
      </c>
      <c r="C53" s="1">
        <f t="shared" si="1"/>
        <v>4</v>
      </c>
      <c r="D53" s="268">
        <f>'Monthly Data'!S53</f>
        <v>6757129.4428079324</v>
      </c>
      <c r="E53" s="278">
        <f t="shared" ca="1" si="5"/>
        <v>0.4316666666666677</v>
      </c>
      <c r="F53" s="278">
        <f>'Monthly Data'!CG53</f>
        <v>0</v>
      </c>
      <c r="G53" s="278">
        <f>'Monthly Data'!AQ53</f>
        <v>220.7</v>
      </c>
      <c r="H53" s="278">
        <f>'Monthly Data'!CD53</f>
        <v>30</v>
      </c>
      <c r="J53" s="18">
        <f>'GS 1k-4,999 Predicted Monthly'!$T$10</f>
        <v>1142088.9328922699</v>
      </c>
      <c r="K53" s="18">
        <f ca="1">E53*'GS 1k-4,999 Predicted Monthly'!$T$11</f>
        <v>3861.1407505717921</v>
      </c>
      <c r="L53" s="18">
        <f>F53*'GS 1k-4,999 Predicted Monthly'!$T$12</f>
        <v>0</v>
      </c>
      <c r="M53" s="18">
        <f>G53*'GS 1k-4,999 Predicted Monthly'!$T$13</f>
        <v>2662965.5269119209</v>
      </c>
      <c r="N53" s="18">
        <f>H53*'GS 1k-4,999 Predicted Monthly'!$T$14</f>
        <v>3407455.1510788198</v>
      </c>
      <c r="O53" s="18">
        <f t="shared" ca="1" si="2"/>
        <v>7216370.7516335826</v>
      </c>
    </row>
    <row r="54" spans="1:15" x14ac:dyDescent="0.25">
      <c r="A54" s="3">
        <f>'Monthly Data'!A54</f>
        <v>43586</v>
      </c>
      <c r="B54" s="1">
        <f t="shared" si="0"/>
        <v>2019</v>
      </c>
      <c r="C54" s="1">
        <f t="shared" si="1"/>
        <v>5</v>
      </c>
      <c r="D54" s="268">
        <f>'Monthly Data'!S54</f>
        <v>7190309.3222989608</v>
      </c>
      <c r="E54" s="278">
        <f t="shared" ca="1" si="5"/>
        <v>29.4520183982684</v>
      </c>
      <c r="F54" s="278">
        <f>'Monthly Data'!CG54</f>
        <v>0</v>
      </c>
      <c r="G54" s="278">
        <f>'Monthly Data'!AQ54</f>
        <v>219.3</v>
      </c>
      <c r="H54" s="278">
        <f>'Monthly Data'!CD54</f>
        <v>31</v>
      </c>
      <c r="J54" s="18">
        <f>'GS 1k-4,999 Predicted Monthly'!$T$10</f>
        <v>1142088.9328922699</v>
      </c>
      <c r="K54" s="18">
        <f ca="1">E54*'GS 1k-4,999 Predicted Monthly'!$T$11</f>
        <v>263440.2820636541</v>
      </c>
      <c r="L54" s="18">
        <f>F54*'GS 1k-4,999 Predicted Monthly'!$T$12</f>
        <v>0</v>
      </c>
      <c r="M54" s="18">
        <f>G54*'GS 1k-4,999 Predicted Monthly'!$T$13</f>
        <v>2646073.1311816233</v>
      </c>
      <c r="N54" s="18">
        <f>H54*'GS 1k-4,999 Predicted Monthly'!$T$14</f>
        <v>3521036.9894481138</v>
      </c>
      <c r="O54" s="18">
        <f t="shared" ca="1" si="2"/>
        <v>7572639.3355856612</v>
      </c>
    </row>
    <row r="55" spans="1:15" x14ac:dyDescent="0.25">
      <c r="A55" s="3">
        <f>'Monthly Data'!A55</f>
        <v>43617</v>
      </c>
      <c r="B55" s="1">
        <f t="shared" si="0"/>
        <v>2019</v>
      </c>
      <c r="C55" s="1">
        <f t="shared" si="1"/>
        <v>6</v>
      </c>
      <c r="D55" s="268">
        <f>'Monthly Data'!S55</f>
        <v>7204081.3004395068</v>
      </c>
      <c r="E55" s="278">
        <f t="shared" ca="1" si="5"/>
        <v>86.311049595332207</v>
      </c>
      <c r="F55" s="278">
        <f>'Monthly Data'!CG55</f>
        <v>0</v>
      </c>
      <c r="G55" s="278">
        <f>'Monthly Data'!AQ55</f>
        <v>218.5</v>
      </c>
      <c r="H55" s="278">
        <f>'Monthly Data'!CD55</f>
        <v>30</v>
      </c>
      <c r="J55" s="18">
        <f>'GS 1k-4,999 Predicted Monthly'!$T$10</f>
        <v>1142088.9328922699</v>
      </c>
      <c r="K55" s="18">
        <f ca="1">E55*'GS 1k-4,999 Predicted Monthly'!$T$11</f>
        <v>772028.82814785955</v>
      </c>
      <c r="L55" s="18">
        <f>F55*'GS 1k-4,999 Predicted Monthly'!$T$12</f>
        <v>0</v>
      </c>
      <c r="M55" s="18">
        <f>G55*'GS 1k-4,999 Predicted Monthly'!$T$13</f>
        <v>2636420.333621453</v>
      </c>
      <c r="N55" s="18">
        <f>H55*'GS 1k-4,999 Predicted Monthly'!$T$14</f>
        <v>3407455.1510788198</v>
      </c>
      <c r="O55" s="18">
        <f t="shared" ca="1" si="2"/>
        <v>7957993.2457404025</v>
      </c>
    </row>
    <row r="56" spans="1:15" x14ac:dyDescent="0.25">
      <c r="A56" s="3">
        <f>'Monthly Data'!A56</f>
        <v>43647</v>
      </c>
      <c r="B56" s="1">
        <f t="shared" si="0"/>
        <v>2019</v>
      </c>
      <c r="C56" s="1">
        <f t="shared" si="1"/>
        <v>7</v>
      </c>
      <c r="D56" s="268">
        <f>'Monthly Data'!S56</f>
        <v>8750214.2978592087</v>
      </c>
      <c r="E56" s="278">
        <f t="shared" ca="1" si="5"/>
        <v>174.0219619206118</v>
      </c>
      <c r="F56" s="278">
        <f>'Monthly Data'!CG56</f>
        <v>0</v>
      </c>
      <c r="G56" s="278">
        <f>'Monthly Data'!AQ56</f>
        <v>217</v>
      </c>
      <c r="H56" s="278">
        <f>'Monthly Data'!CD56</f>
        <v>31</v>
      </c>
      <c r="J56" s="18">
        <f>'GS 1k-4,999 Predicted Monthly'!$T$10</f>
        <v>1142088.9328922699</v>
      </c>
      <c r="K56" s="18">
        <f ca="1">E56*'GS 1k-4,999 Predicted Monthly'!$T$11</f>
        <v>1556579.0471029929</v>
      </c>
      <c r="L56" s="18">
        <f>F56*'GS 1k-4,999 Predicted Monthly'!$T$12</f>
        <v>0</v>
      </c>
      <c r="M56" s="18">
        <f>G56*'GS 1k-4,999 Predicted Monthly'!$T$13</f>
        <v>2618321.3381961342</v>
      </c>
      <c r="N56" s="18">
        <f>H56*'GS 1k-4,999 Predicted Monthly'!$T$14</f>
        <v>3521036.9894481138</v>
      </c>
      <c r="O56" s="18">
        <f t="shared" ca="1" si="2"/>
        <v>8838026.3076395113</v>
      </c>
    </row>
    <row r="57" spans="1:15" x14ac:dyDescent="0.25">
      <c r="A57" s="3">
        <f>'Monthly Data'!A57</f>
        <v>43678</v>
      </c>
      <c r="B57" s="1">
        <f t="shared" si="0"/>
        <v>2019</v>
      </c>
      <c r="C57" s="1">
        <f t="shared" si="1"/>
        <v>8</v>
      </c>
      <c r="D57" s="268">
        <f>'Monthly Data'!S57</f>
        <v>8314591.1828323836</v>
      </c>
      <c r="E57" s="278">
        <f t="shared" ca="1" si="5"/>
        <v>149.7160046113307</v>
      </c>
      <c r="F57" s="278">
        <f>'Monthly Data'!CG57</f>
        <v>0</v>
      </c>
      <c r="G57" s="278">
        <f>'Monthly Data'!AQ57</f>
        <v>214.2</v>
      </c>
      <c r="H57" s="278">
        <f>'Monthly Data'!CD57</f>
        <v>31</v>
      </c>
      <c r="J57" s="18">
        <f>'GS 1k-4,999 Predicted Monthly'!$T$10</f>
        <v>1142088.9328922699</v>
      </c>
      <c r="K57" s="18">
        <f ca="1">E57*'GS 1k-4,999 Predicted Monthly'!$T$11</f>
        <v>1339168.8797318963</v>
      </c>
      <c r="L57" s="18">
        <f>F57*'GS 1k-4,999 Predicted Monthly'!$T$12</f>
        <v>0</v>
      </c>
      <c r="M57" s="18">
        <f>G57*'GS 1k-4,999 Predicted Monthly'!$T$13</f>
        <v>2584536.5467355391</v>
      </c>
      <c r="N57" s="18">
        <f>H57*'GS 1k-4,999 Predicted Monthly'!$T$14</f>
        <v>3521036.9894481138</v>
      </c>
      <c r="O57" s="18">
        <f t="shared" ca="1" si="2"/>
        <v>8586831.3488078192</v>
      </c>
    </row>
    <row r="58" spans="1:15" x14ac:dyDescent="0.25">
      <c r="A58" s="3">
        <f>'Monthly Data'!A58</f>
        <v>43709</v>
      </c>
      <c r="B58" s="1">
        <f t="shared" si="0"/>
        <v>2019</v>
      </c>
      <c r="C58" s="1">
        <f t="shared" si="1"/>
        <v>9</v>
      </c>
      <c r="D58" s="268">
        <f>'Monthly Data'!S58</f>
        <v>7364154.3036004463</v>
      </c>
      <c r="E58" s="278">
        <f t="shared" ca="1" si="5"/>
        <v>62.345178571428576</v>
      </c>
      <c r="F58" s="278">
        <f>'Monthly Data'!CG58</f>
        <v>0</v>
      </c>
      <c r="G58" s="278">
        <f>'Monthly Data'!AQ58</f>
        <v>210</v>
      </c>
      <c r="H58" s="278">
        <f>'Monthly Data'!CD58</f>
        <v>30</v>
      </c>
      <c r="J58" s="18">
        <f>'GS 1k-4,999 Predicted Monthly'!$T$10</f>
        <v>1142088.9328922699</v>
      </c>
      <c r="K58" s="18">
        <f ca="1">E58*'GS 1k-4,999 Predicted Monthly'!$T$11</f>
        <v>557660.63996251172</v>
      </c>
      <c r="L58" s="18">
        <f>F58*'GS 1k-4,999 Predicted Monthly'!$T$12</f>
        <v>0</v>
      </c>
      <c r="M58" s="18">
        <f>G58*'GS 1k-4,999 Predicted Monthly'!$T$13</f>
        <v>2533859.359544646</v>
      </c>
      <c r="N58" s="18">
        <f>H58*'GS 1k-4,999 Predicted Monthly'!$T$14</f>
        <v>3407455.1510788198</v>
      </c>
      <c r="O58" s="18">
        <f t="shared" ca="1" si="2"/>
        <v>7641064.0834782477</v>
      </c>
    </row>
    <row r="59" spans="1:15" x14ac:dyDescent="0.25">
      <c r="A59" s="3">
        <f>'Monthly Data'!A59</f>
        <v>43739</v>
      </c>
      <c r="B59" s="1">
        <f t="shared" si="0"/>
        <v>2019</v>
      </c>
      <c r="C59" s="1">
        <f t="shared" si="1"/>
        <v>10</v>
      </c>
      <c r="D59" s="268">
        <f>'Monthly Data'!S59</f>
        <v>6877310.3938974263</v>
      </c>
      <c r="E59" s="278">
        <f t="shared" ca="1" si="5"/>
        <v>7.1541666666666703</v>
      </c>
      <c r="F59" s="278">
        <f>'Monthly Data'!CG59</f>
        <v>0</v>
      </c>
      <c r="G59" s="278">
        <f>'Monthly Data'!AQ59</f>
        <v>207.5</v>
      </c>
      <c r="H59" s="278">
        <f>'Monthly Data'!CD59</f>
        <v>31</v>
      </c>
      <c r="J59" s="18">
        <f>'GS 1k-4,999 Predicted Monthly'!$T$10</f>
        <v>1142088.9328922699</v>
      </c>
      <c r="K59" s="18">
        <f ca="1">E59*'GS 1k-4,999 Predicted Monthly'!$T$11</f>
        <v>63992.072092005357</v>
      </c>
      <c r="L59" s="18">
        <f>F59*'GS 1k-4,999 Predicted Monthly'!$T$12</f>
        <v>0</v>
      </c>
      <c r="M59" s="18">
        <f>G59*'GS 1k-4,999 Predicted Monthly'!$T$13</f>
        <v>2503694.3671691148</v>
      </c>
      <c r="N59" s="18">
        <f>H59*'GS 1k-4,999 Predicted Monthly'!$T$14</f>
        <v>3521036.9894481138</v>
      </c>
      <c r="O59" s="18">
        <f t="shared" ca="1" si="2"/>
        <v>7230812.3616015036</v>
      </c>
    </row>
    <row r="60" spans="1:15" x14ac:dyDescent="0.25">
      <c r="A60" s="3">
        <f>'Monthly Data'!A60</f>
        <v>43770</v>
      </c>
      <c r="B60" s="1">
        <f t="shared" si="0"/>
        <v>2019</v>
      </c>
      <c r="C60" s="1">
        <f t="shared" si="1"/>
        <v>11</v>
      </c>
      <c r="D60" s="268">
        <f>'Monthly Data'!S60</f>
        <v>6504414.3737810226</v>
      </c>
      <c r="E60" s="278">
        <f t="shared" ca="1" si="5"/>
        <v>0.15041666666666628</v>
      </c>
      <c r="F60" s="278">
        <f>'Monthly Data'!CG60</f>
        <v>0</v>
      </c>
      <c r="G60" s="278">
        <f>'Monthly Data'!AQ60</f>
        <v>206.3</v>
      </c>
      <c r="H60" s="278">
        <f>'Monthly Data'!CD60</f>
        <v>30</v>
      </c>
      <c r="J60" s="18">
        <f>'GS 1k-4,999 Predicted Monthly'!$T$10</f>
        <v>1142088.9328922699</v>
      </c>
      <c r="K60" s="18">
        <f ca="1">E60*'GS 1k-4,999 Predicted Monthly'!$T$11</f>
        <v>1345.4361109617857</v>
      </c>
      <c r="L60" s="18">
        <f>F60*'GS 1k-4,999 Predicted Monthly'!$T$12</f>
        <v>0</v>
      </c>
      <c r="M60" s="18">
        <f>G60*'GS 1k-4,999 Predicted Monthly'!$T$13</f>
        <v>2489215.1708288598</v>
      </c>
      <c r="N60" s="18">
        <f>H60*'GS 1k-4,999 Predicted Monthly'!$T$14</f>
        <v>3407455.1510788198</v>
      </c>
      <c r="O60" s="18">
        <f t="shared" ca="1" si="2"/>
        <v>7040104.6909109112</v>
      </c>
    </row>
    <row r="61" spans="1:15" x14ac:dyDescent="0.25">
      <c r="A61" s="3">
        <f>'Monthly Data'!A61</f>
        <v>43800</v>
      </c>
      <c r="B61" s="1">
        <f t="shared" si="0"/>
        <v>2019</v>
      </c>
      <c r="C61" s="1">
        <f t="shared" si="1"/>
        <v>12</v>
      </c>
      <c r="D61" s="268">
        <f>'Monthly Data'!S61</f>
        <v>6916748.0792108662</v>
      </c>
      <c r="E61" s="278">
        <f t="shared" ca="1" si="5"/>
        <v>0</v>
      </c>
      <c r="F61" s="278">
        <f>'Monthly Data'!CG61</f>
        <v>0</v>
      </c>
      <c r="G61" s="278">
        <f>'Monthly Data'!AQ61</f>
        <v>207.6</v>
      </c>
      <c r="H61" s="278">
        <f>'Monthly Data'!CD61</f>
        <v>31</v>
      </c>
      <c r="J61" s="18">
        <f>'GS 1k-4,999 Predicted Monthly'!$T$10</f>
        <v>1142088.9328922699</v>
      </c>
      <c r="K61" s="18">
        <f ca="1">E61*'GS 1k-4,999 Predicted Monthly'!$T$11</f>
        <v>0</v>
      </c>
      <c r="L61" s="18">
        <f>F61*'GS 1k-4,999 Predicted Monthly'!$T$12</f>
        <v>0</v>
      </c>
      <c r="M61" s="18">
        <f>G61*'GS 1k-4,999 Predicted Monthly'!$T$13</f>
        <v>2504900.9668641356</v>
      </c>
      <c r="N61" s="18">
        <f>H61*'GS 1k-4,999 Predicted Monthly'!$T$14</f>
        <v>3521036.9894481138</v>
      </c>
      <c r="O61" s="18">
        <f t="shared" ca="1" si="2"/>
        <v>7168026.8892045189</v>
      </c>
    </row>
    <row r="62" spans="1:15" x14ac:dyDescent="0.25">
      <c r="A62" s="3">
        <f>'Monthly Data'!A62</f>
        <v>43831</v>
      </c>
      <c r="B62" s="1">
        <f t="shared" si="0"/>
        <v>2020</v>
      </c>
      <c r="C62" s="1">
        <f t="shared" si="1"/>
        <v>1</v>
      </c>
      <c r="D62" s="268">
        <f>'Monthly Data'!S62</f>
        <v>7135430.5825945279</v>
      </c>
      <c r="E62" s="278">
        <f t="shared" ca="1" si="5"/>
        <v>0</v>
      </c>
      <c r="F62" s="278">
        <f>'Monthly Data'!CG62</f>
        <v>0</v>
      </c>
      <c r="G62" s="278">
        <f>'Monthly Data'!AQ62</f>
        <v>208.1</v>
      </c>
      <c r="H62" s="278">
        <f>'Monthly Data'!CD62</f>
        <v>31</v>
      </c>
      <c r="J62" s="18">
        <f>'GS 1k-4,999 Predicted Monthly'!$T$10</f>
        <v>1142088.9328922699</v>
      </c>
      <c r="K62" s="18">
        <f ca="1">E62*'GS 1k-4,999 Predicted Monthly'!$T$11</f>
        <v>0</v>
      </c>
      <c r="L62" s="18">
        <f>F62*'GS 1k-4,999 Predicted Monthly'!$T$12</f>
        <v>0</v>
      </c>
      <c r="M62" s="18">
        <f>G62*'GS 1k-4,999 Predicted Monthly'!$T$13</f>
        <v>2510933.965339242</v>
      </c>
      <c r="N62" s="18">
        <f>H62*'GS 1k-4,999 Predicted Monthly'!$T$14</f>
        <v>3521036.9894481138</v>
      </c>
      <c r="O62" s="18">
        <f t="shared" ca="1" si="2"/>
        <v>7174059.8876796253</v>
      </c>
    </row>
    <row r="63" spans="1:15" x14ac:dyDescent="0.25">
      <c r="A63" s="3">
        <f>'Monthly Data'!A63</f>
        <v>43862</v>
      </c>
      <c r="B63" s="1">
        <f t="shared" si="0"/>
        <v>2020</v>
      </c>
      <c r="C63" s="1">
        <f t="shared" si="1"/>
        <v>2</v>
      </c>
      <c r="D63" s="268">
        <f>'Monthly Data'!S63</f>
        <v>6643831.0976723712</v>
      </c>
      <c r="E63" s="278">
        <f t="shared" ref="E63:E78" ca="1" si="6">E51</f>
        <v>0</v>
      </c>
      <c r="F63" s="278">
        <f>'Monthly Data'!CG63</f>
        <v>0</v>
      </c>
      <c r="G63" s="278">
        <f>'Monthly Data'!AQ63</f>
        <v>210.7</v>
      </c>
      <c r="H63" s="278">
        <f>'Monthly Data'!CD63</f>
        <v>29</v>
      </c>
      <c r="J63" s="18">
        <f>'GS 1k-4,999 Predicted Monthly'!$T$10</f>
        <v>1142088.9328922699</v>
      </c>
      <c r="K63" s="18">
        <f ca="1">E63*'GS 1k-4,999 Predicted Monthly'!$T$11</f>
        <v>0</v>
      </c>
      <c r="L63" s="18">
        <f>F63*'GS 1k-4,999 Predicted Monthly'!$T$12</f>
        <v>0</v>
      </c>
      <c r="M63" s="18">
        <f>G63*'GS 1k-4,999 Predicted Monthly'!$T$13</f>
        <v>2542305.557409795</v>
      </c>
      <c r="N63" s="18">
        <f>H63*'GS 1k-4,999 Predicted Monthly'!$T$14</f>
        <v>3293873.3127095257</v>
      </c>
      <c r="O63" s="18">
        <f t="shared" ca="1" si="2"/>
        <v>6978267.8030115906</v>
      </c>
    </row>
    <row r="64" spans="1:15" x14ac:dyDescent="0.25">
      <c r="A64" s="3">
        <f>'Monthly Data'!A64</f>
        <v>43891</v>
      </c>
      <c r="B64" s="1">
        <f t="shared" si="0"/>
        <v>2020</v>
      </c>
      <c r="C64" s="1">
        <f t="shared" si="1"/>
        <v>3</v>
      </c>
      <c r="D64" s="268">
        <f>'Monthly Data'!S64</f>
        <v>6564881.6992580527</v>
      </c>
      <c r="E64" s="278">
        <f t="shared" ca="1" si="6"/>
        <v>0</v>
      </c>
      <c r="F64" s="278">
        <f>'Monthly Data'!CG64</f>
        <v>0.5</v>
      </c>
      <c r="G64" s="278">
        <f>'Monthly Data'!AQ64</f>
        <v>208.3</v>
      </c>
      <c r="H64" s="278">
        <f>'Monthly Data'!CD64</f>
        <v>31</v>
      </c>
      <c r="J64" s="18">
        <f>'GS 1k-4,999 Predicted Monthly'!$T$10</f>
        <v>1142088.9328922699</v>
      </c>
      <c r="K64" s="18">
        <f ca="1">E64*'GS 1k-4,999 Predicted Monthly'!$T$11</f>
        <v>0</v>
      </c>
      <c r="L64" s="18">
        <f>F64*'GS 1k-4,999 Predicted Monthly'!$T$12</f>
        <v>-696022.37621152995</v>
      </c>
      <c r="M64" s="18">
        <f>G64*'GS 1k-4,999 Predicted Monthly'!$T$13</f>
        <v>2513347.1647292846</v>
      </c>
      <c r="N64" s="18">
        <f>H64*'GS 1k-4,999 Predicted Monthly'!$T$14</f>
        <v>3521036.9894481138</v>
      </c>
      <c r="O64" s="18">
        <f t="shared" ca="1" si="2"/>
        <v>6480450.7108581383</v>
      </c>
    </row>
    <row r="65" spans="1:15" x14ac:dyDescent="0.25">
      <c r="A65" s="3">
        <f>'Monthly Data'!A65</f>
        <v>43922</v>
      </c>
      <c r="B65" s="1">
        <f t="shared" si="0"/>
        <v>2020</v>
      </c>
      <c r="C65" s="1">
        <f t="shared" si="1"/>
        <v>4</v>
      </c>
      <c r="D65" s="268">
        <f>'Monthly Data'!S65</f>
        <v>5198888.1617160002</v>
      </c>
      <c r="E65" s="278">
        <f t="shared" ca="1" si="6"/>
        <v>0.4316666666666677</v>
      </c>
      <c r="F65" s="278">
        <f>'Monthly Data'!CG65</f>
        <v>1</v>
      </c>
      <c r="G65" s="278">
        <f>'Monthly Data'!AQ65</f>
        <v>201.9</v>
      </c>
      <c r="H65" s="278">
        <f>'Monthly Data'!CD65</f>
        <v>30</v>
      </c>
      <c r="J65" s="18">
        <f>'GS 1k-4,999 Predicted Monthly'!$T$10</f>
        <v>1142088.9328922699</v>
      </c>
      <c r="K65" s="18">
        <f ca="1">E65*'GS 1k-4,999 Predicted Monthly'!$T$11</f>
        <v>3861.1407505717921</v>
      </c>
      <c r="L65" s="18">
        <f>F65*'GS 1k-4,999 Predicted Monthly'!$T$12</f>
        <v>-1392044.7524230599</v>
      </c>
      <c r="M65" s="18">
        <f>G65*'GS 1k-4,999 Predicted Monthly'!$T$13</f>
        <v>2436124.7842479241</v>
      </c>
      <c r="N65" s="18">
        <f>H65*'GS 1k-4,999 Predicted Monthly'!$T$14</f>
        <v>3407455.1510788198</v>
      </c>
      <c r="O65" s="18">
        <f t="shared" ca="1" si="2"/>
        <v>5597485.2565465253</v>
      </c>
    </row>
    <row r="66" spans="1:15" x14ac:dyDescent="0.25">
      <c r="A66" s="3">
        <f>'Monthly Data'!A66</f>
        <v>43952</v>
      </c>
      <c r="B66" s="1">
        <f t="shared" ref="B66:B129" si="7">YEAR(A66)</f>
        <v>2020</v>
      </c>
      <c r="C66" s="1">
        <f t="shared" ref="C66:C129" si="8">MONTH(A66)</f>
        <v>5</v>
      </c>
      <c r="D66" s="268">
        <f>'Monthly Data'!S66</f>
        <v>5975758.5394809321</v>
      </c>
      <c r="E66" s="278">
        <f t="shared" ca="1" si="6"/>
        <v>29.4520183982684</v>
      </c>
      <c r="F66" s="278">
        <f>'Monthly Data'!CG66</f>
        <v>1</v>
      </c>
      <c r="G66" s="278">
        <f>'Monthly Data'!AQ66</f>
        <v>193.3</v>
      </c>
      <c r="H66" s="278">
        <f>'Monthly Data'!CD66</f>
        <v>31</v>
      </c>
      <c r="J66" s="18">
        <f>'GS 1k-4,999 Predicted Monthly'!$T$10</f>
        <v>1142088.9328922699</v>
      </c>
      <c r="K66" s="18">
        <f ca="1">E66*'GS 1k-4,999 Predicted Monthly'!$T$11</f>
        <v>263440.2820636541</v>
      </c>
      <c r="L66" s="18">
        <f>F66*'GS 1k-4,999 Predicted Monthly'!$T$12</f>
        <v>-1392044.7524230599</v>
      </c>
      <c r="M66" s="18">
        <f>G66*'GS 1k-4,999 Predicted Monthly'!$T$13</f>
        <v>2332357.2104760958</v>
      </c>
      <c r="N66" s="18">
        <f>H66*'GS 1k-4,999 Predicted Monthly'!$T$14</f>
        <v>3521036.9894481138</v>
      </c>
      <c r="O66" s="18">
        <f t="shared" ca="1" si="2"/>
        <v>5866878.6624570731</v>
      </c>
    </row>
    <row r="67" spans="1:15" x14ac:dyDescent="0.25">
      <c r="A67" s="3">
        <f>'Monthly Data'!A67</f>
        <v>43983</v>
      </c>
      <c r="B67" s="1">
        <f t="shared" si="7"/>
        <v>2020</v>
      </c>
      <c r="C67" s="1">
        <f t="shared" si="8"/>
        <v>6</v>
      </c>
      <c r="D67" s="268">
        <f>'Monthly Data'!S67</f>
        <v>7052492.3045150973</v>
      </c>
      <c r="E67" s="278">
        <f t="shared" ca="1" si="6"/>
        <v>86.311049595332207</v>
      </c>
      <c r="F67" s="278">
        <f>'Monthly Data'!CG67</f>
        <v>0.5</v>
      </c>
      <c r="G67" s="278">
        <f>'Monthly Data'!AQ67</f>
        <v>190.3</v>
      </c>
      <c r="H67" s="278">
        <f>'Monthly Data'!CD67</f>
        <v>30</v>
      </c>
      <c r="J67" s="18">
        <f>'GS 1k-4,999 Predicted Monthly'!$T$10</f>
        <v>1142088.9328922699</v>
      </c>
      <c r="K67" s="18">
        <f ca="1">E67*'GS 1k-4,999 Predicted Monthly'!$T$11</f>
        <v>772028.82814785955</v>
      </c>
      <c r="L67" s="18">
        <f>F67*'GS 1k-4,999 Predicted Monthly'!$T$12</f>
        <v>-696022.37621152995</v>
      </c>
      <c r="M67" s="18">
        <f>G67*'GS 1k-4,999 Predicted Monthly'!$T$13</f>
        <v>2296159.2196254581</v>
      </c>
      <c r="N67" s="18">
        <f>H67*'GS 1k-4,999 Predicted Monthly'!$T$14</f>
        <v>3407455.1510788198</v>
      </c>
      <c r="O67" s="18">
        <f t="shared" ref="O67:O130" ca="1" si="9">SUM(J67:N67)</f>
        <v>6921709.7555328775</v>
      </c>
    </row>
    <row r="68" spans="1:15" x14ac:dyDescent="0.25">
      <c r="A68" s="3">
        <f>'Monthly Data'!A68</f>
        <v>44013</v>
      </c>
      <c r="B68" s="1">
        <f t="shared" si="7"/>
        <v>2020</v>
      </c>
      <c r="C68" s="1">
        <f t="shared" si="8"/>
        <v>7</v>
      </c>
      <c r="D68" s="268">
        <f>'Monthly Data'!S68</f>
        <v>8644136.8558436297</v>
      </c>
      <c r="E68" s="278">
        <f t="shared" ca="1" si="6"/>
        <v>174.0219619206118</v>
      </c>
      <c r="F68" s="278">
        <f>'Monthly Data'!CG68</f>
        <v>0.5</v>
      </c>
      <c r="G68" s="278">
        <f>'Monthly Data'!AQ68</f>
        <v>195.6</v>
      </c>
      <c r="H68" s="278">
        <f>'Monthly Data'!CD68</f>
        <v>31</v>
      </c>
      <c r="J68" s="18">
        <f>'GS 1k-4,999 Predicted Monthly'!$T$10</f>
        <v>1142088.9328922699</v>
      </c>
      <c r="K68" s="18">
        <f ca="1">E68*'GS 1k-4,999 Predicted Monthly'!$T$11</f>
        <v>1556579.0471029929</v>
      </c>
      <c r="L68" s="18">
        <f>F68*'GS 1k-4,999 Predicted Monthly'!$T$12</f>
        <v>-696022.37621152995</v>
      </c>
      <c r="M68" s="18">
        <f>G68*'GS 1k-4,999 Predicted Monthly'!$T$13</f>
        <v>2360109.0034615844</v>
      </c>
      <c r="N68" s="18">
        <f>H68*'GS 1k-4,999 Predicted Monthly'!$T$14</f>
        <v>3521036.9894481138</v>
      </c>
      <c r="O68" s="18">
        <f t="shared" ca="1" si="9"/>
        <v>7883791.5966934301</v>
      </c>
    </row>
    <row r="69" spans="1:15" x14ac:dyDescent="0.25">
      <c r="A69" s="3">
        <f>'Monthly Data'!A69</f>
        <v>44044</v>
      </c>
      <c r="B69" s="1">
        <f t="shared" si="7"/>
        <v>2020</v>
      </c>
      <c r="C69" s="1">
        <f t="shared" si="8"/>
        <v>8</v>
      </c>
      <c r="D69" s="268">
        <f>'Monthly Data'!S69</f>
        <v>8115885.9892690107</v>
      </c>
      <c r="E69" s="278">
        <f t="shared" ca="1" si="6"/>
        <v>149.7160046113307</v>
      </c>
      <c r="F69" s="278">
        <f>'Monthly Data'!CG69</f>
        <v>0.5</v>
      </c>
      <c r="G69" s="278">
        <f>'Monthly Data'!AQ69</f>
        <v>202.7</v>
      </c>
      <c r="H69" s="278">
        <f>'Monthly Data'!CD69</f>
        <v>31</v>
      </c>
      <c r="J69" s="18">
        <f>'GS 1k-4,999 Predicted Monthly'!$T$10</f>
        <v>1142088.9328922699</v>
      </c>
      <c r="K69" s="18">
        <f ca="1">E69*'GS 1k-4,999 Predicted Monthly'!$T$11</f>
        <v>1339168.8797318963</v>
      </c>
      <c r="L69" s="18">
        <f>F69*'GS 1k-4,999 Predicted Monthly'!$T$12</f>
        <v>-696022.37621152995</v>
      </c>
      <c r="M69" s="18">
        <f>G69*'GS 1k-4,999 Predicted Monthly'!$T$13</f>
        <v>2445777.5818080939</v>
      </c>
      <c r="N69" s="18">
        <f>H69*'GS 1k-4,999 Predicted Monthly'!$T$14</f>
        <v>3521036.9894481138</v>
      </c>
      <c r="O69" s="18">
        <f t="shared" ca="1" si="9"/>
        <v>7752050.0076688435</v>
      </c>
    </row>
    <row r="70" spans="1:15" x14ac:dyDescent="0.25">
      <c r="A70" s="3">
        <f>'Monthly Data'!A70</f>
        <v>44075</v>
      </c>
      <c r="B70" s="1">
        <f t="shared" si="7"/>
        <v>2020</v>
      </c>
      <c r="C70" s="1">
        <f t="shared" si="8"/>
        <v>9</v>
      </c>
      <c r="D70" s="268">
        <f>'Monthly Data'!S70</f>
        <v>6840875.8033127291</v>
      </c>
      <c r="E70" s="278">
        <f t="shared" ca="1" si="6"/>
        <v>62.345178571428576</v>
      </c>
      <c r="F70" s="278">
        <f>'Monthly Data'!CG70</f>
        <v>0.5</v>
      </c>
      <c r="G70" s="278">
        <f>'Monthly Data'!AQ70</f>
        <v>208.8</v>
      </c>
      <c r="H70" s="278">
        <f>'Monthly Data'!CD70</f>
        <v>30</v>
      </c>
      <c r="J70" s="18">
        <f>'GS 1k-4,999 Predicted Monthly'!$T$10</f>
        <v>1142088.9328922699</v>
      </c>
      <c r="K70" s="18">
        <f ca="1">E70*'GS 1k-4,999 Predicted Monthly'!$T$11</f>
        <v>557660.63996251172</v>
      </c>
      <c r="L70" s="18">
        <f>F70*'GS 1k-4,999 Predicted Monthly'!$T$12</f>
        <v>-696022.37621152995</v>
      </c>
      <c r="M70" s="18">
        <f>G70*'GS 1k-4,999 Predicted Monthly'!$T$13</f>
        <v>2519380.163204391</v>
      </c>
      <c r="N70" s="18">
        <f>H70*'GS 1k-4,999 Predicted Monthly'!$T$14</f>
        <v>3407455.1510788198</v>
      </c>
      <c r="O70" s="18">
        <f t="shared" ca="1" si="9"/>
        <v>6930562.5109264627</v>
      </c>
    </row>
    <row r="71" spans="1:15" x14ac:dyDescent="0.25">
      <c r="A71" s="3">
        <f>'Monthly Data'!A71</f>
        <v>44105</v>
      </c>
      <c r="B71" s="1">
        <f t="shared" si="7"/>
        <v>2020</v>
      </c>
      <c r="C71" s="1">
        <f t="shared" si="8"/>
        <v>10</v>
      </c>
      <c r="D71" s="268">
        <f>'Monthly Data'!S71</f>
        <v>6096532.0669815103</v>
      </c>
      <c r="E71" s="278">
        <f t="shared" ca="1" si="6"/>
        <v>7.1541666666666703</v>
      </c>
      <c r="F71" s="278">
        <f>'Monthly Data'!CG71</f>
        <v>0.5</v>
      </c>
      <c r="G71" s="278">
        <f>'Monthly Data'!AQ71</f>
        <v>213.3</v>
      </c>
      <c r="H71" s="278">
        <f>'Monthly Data'!CD71</f>
        <v>31</v>
      </c>
      <c r="J71" s="18">
        <f>'GS 1k-4,999 Predicted Monthly'!$T$10</f>
        <v>1142088.9328922699</v>
      </c>
      <c r="K71" s="18">
        <f ca="1">E71*'GS 1k-4,999 Predicted Monthly'!$T$11</f>
        <v>63992.072092005357</v>
      </c>
      <c r="L71" s="18">
        <f>F71*'GS 1k-4,999 Predicted Monthly'!$T$12</f>
        <v>-696022.37621152995</v>
      </c>
      <c r="M71" s="18">
        <f>G71*'GS 1k-4,999 Predicted Monthly'!$T$13</f>
        <v>2573677.149480348</v>
      </c>
      <c r="N71" s="18">
        <f>H71*'GS 1k-4,999 Predicted Monthly'!$T$14</f>
        <v>3521036.9894481138</v>
      </c>
      <c r="O71" s="18">
        <f t="shared" ca="1" si="9"/>
        <v>6604772.7677012067</v>
      </c>
    </row>
    <row r="72" spans="1:15" x14ac:dyDescent="0.25">
      <c r="A72" s="3">
        <f>'Monthly Data'!A72</f>
        <v>44136</v>
      </c>
      <c r="B72" s="1">
        <f t="shared" si="7"/>
        <v>2020</v>
      </c>
      <c r="C72" s="1">
        <f t="shared" si="8"/>
        <v>11</v>
      </c>
      <c r="D72" s="268">
        <f>'Monthly Data'!S72</f>
        <v>6275162.6858837437</v>
      </c>
      <c r="E72" s="278">
        <f t="shared" ca="1" si="6"/>
        <v>0.15041666666666628</v>
      </c>
      <c r="F72" s="278">
        <f>'Monthly Data'!CG72</f>
        <v>0.5</v>
      </c>
      <c r="G72" s="278">
        <f>'Monthly Data'!AQ72</f>
        <v>214.2</v>
      </c>
      <c r="H72" s="278">
        <f>'Monthly Data'!CD72</f>
        <v>30</v>
      </c>
      <c r="J72" s="18">
        <f>'GS 1k-4,999 Predicted Monthly'!$T$10</f>
        <v>1142088.9328922699</v>
      </c>
      <c r="K72" s="18">
        <f ca="1">E72*'GS 1k-4,999 Predicted Monthly'!$T$11</f>
        <v>1345.4361109617857</v>
      </c>
      <c r="L72" s="18">
        <f>F72*'GS 1k-4,999 Predicted Monthly'!$T$12</f>
        <v>-696022.37621152995</v>
      </c>
      <c r="M72" s="18">
        <f>G72*'GS 1k-4,999 Predicted Monthly'!$T$13</f>
        <v>2584536.5467355391</v>
      </c>
      <c r="N72" s="18">
        <f>H72*'GS 1k-4,999 Predicted Monthly'!$T$14</f>
        <v>3407455.1510788198</v>
      </c>
      <c r="O72" s="18">
        <f t="shared" ca="1" si="9"/>
        <v>6439403.6906060604</v>
      </c>
    </row>
    <row r="73" spans="1:15" x14ac:dyDescent="0.25">
      <c r="A73" s="3">
        <f>'Monthly Data'!A73</f>
        <v>44166</v>
      </c>
      <c r="B73" s="1">
        <f t="shared" si="7"/>
        <v>2020</v>
      </c>
      <c r="C73" s="1">
        <f t="shared" si="8"/>
        <v>12</v>
      </c>
      <c r="D73" s="268">
        <f>'Monthly Data'!S73</f>
        <v>6594890.4345861645</v>
      </c>
      <c r="E73" s="278">
        <f t="shared" ca="1" si="6"/>
        <v>0</v>
      </c>
      <c r="F73" s="278">
        <f>'Monthly Data'!CG73</f>
        <v>0.5</v>
      </c>
      <c r="G73" s="278">
        <f>'Monthly Data'!AQ73</f>
        <v>213.6</v>
      </c>
      <c r="H73" s="278">
        <f>'Monthly Data'!CD73</f>
        <v>31</v>
      </c>
      <c r="J73" s="18">
        <f>'GS 1k-4,999 Predicted Monthly'!$T$10</f>
        <v>1142088.9328922699</v>
      </c>
      <c r="K73" s="18">
        <f ca="1">E73*'GS 1k-4,999 Predicted Monthly'!$T$11</f>
        <v>0</v>
      </c>
      <c r="L73" s="18">
        <f>F73*'GS 1k-4,999 Predicted Monthly'!$T$12</f>
        <v>-696022.37621152995</v>
      </c>
      <c r="M73" s="18">
        <f>G73*'GS 1k-4,999 Predicted Monthly'!$T$13</f>
        <v>2577296.9485654114</v>
      </c>
      <c r="N73" s="18">
        <f>H73*'GS 1k-4,999 Predicted Monthly'!$T$14</f>
        <v>3521036.9894481138</v>
      </c>
      <c r="O73" s="18">
        <f t="shared" ca="1" si="9"/>
        <v>6544400.4946942646</v>
      </c>
    </row>
    <row r="74" spans="1:15" x14ac:dyDescent="0.25">
      <c r="A74" s="3">
        <f>'Monthly Data'!A74</f>
        <v>44197</v>
      </c>
      <c r="B74" s="1">
        <f t="shared" si="7"/>
        <v>2021</v>
      </c>
      <c r="C74" s="1">
        <f t="shared" si="8"/>
        <v>1</v>
      </c>
      <c r="D74" s="268">
        <f>'Monthly Data'!S74</f>
        <v>6462981.7309892355</v>
      </c>
      <c r="E74" s="278">
        <f t="shared" ca="1" si="6"/>
        <v>0</v>
      </c>
      <c r="F74" s="278">
        <f>'Monthly Data'!CG74</f>
        <v>0.5</v>
      </c>
      <c r="G74" s="278">
        <f>'Monthly Data'!AQ74</f>
        <v>207.3</v>
      </c>
      <c r="H74" s="278">
        <f>'Monthly Data'!CD74</f>
        <v>31</v>
      </c>
      <c r="J74" s="18">
        <f>'GS 1k-4,999 Predicted Monthly'!$T$10</f>
        <v>1142088.9328922699</v>
      </c>
      <c r="K74" s="18">
        <f ca="1">E74*'GS 1k-4,999 Predicted Monthly'!$T$11</f>
        <v>0</v>
      </c>
      <c r="L74" s="18">
        <f>F74*'GS 1k-4,999 Predicted Monthly'!$T$12</f>
        <v>-696022.37621152995</v>
      </c>
      <c r="M74" s="18">
        <f>G74*'GS 1k-4,999 Predicted Monthly'!$T$13</f>
        <v>2501281.1677790722</v>
      </c>
      <c r="N74" s="18">
        <f>H74*'GS 1k-4,999 Predicted Monthly'!$T$14</f>
        <v>3521036.9894481138</v>
      </c>
      <c r="O74" s="18">
        <f t="shared" ca="1" si="9"/>
        <v>6468384.7139079254</v>
      </c>
    </row>
    <row r="75" spans="1:15" x14ac:dyDescent="0.25">
      <c r="A75" s="3">
        <f>'Monthly Data'!A75</f>
        <v>44228</v>
      </c>
      <c r="B75" s="1">
        <f t="shared" si="7"/>
        <v>2021</v>
      </c>
      <c r="C75" s="1">
        <f t="shared" si="8"/>
        <v>2</v>
      </c>
      <c r="D75" s="268">
        <f>'Monthly Data'!S75</f>
        <v>5458159.4994783401</v>
      </c>
      <c r="E75" s="278">
        <f t="shared" ca="1" si="6"/>
        <v>0</v>
      </c>
      <c r="F75" s="278">
        <f>'Monthly Data'!CG75</f>
        <v>0.5</v>
      </c>
      <c r="G75" s="278">
        <f>'Monthly Data'!AQ75</f>
        <v>205.4</v>
      </c>
      <c r="H75" s="278">
        <f>'Monthly Data'!CD75</f>
        <v>28</v>
      </c>
      <c r="J75" s="18">
        <f>'GS 1k-4,999 Predicted Monthly'!$T$10</f>
        <v>1142088.9328922699</v>
      </c>
      <c r="K75" s="18">
        <f ca="1">E75*'GS 1k-4,999 Predicted Monthly'!$T$11</f>
        <v>0</v>
      </c>
      <c r="L75" s="18">
        <f>F75*'GS 1k-4,999 Predicted Monthly'!$T$12</f>
        <v>-696022.37621152995</v>
      </c>
      <c r="M75" s="18">
        <f>G75*'GS 1k-4,999 Predicted Monthly'!$T$13</f>
        <v>2478355.7735736682</v>
      </c>
      <c r="N75" s="18">
        <f>H75*'GS 1k-4,999 Predicted Monthly'!$T$14</f>
        <v>3180291.4743402321</v>
      </c>
      <c r="O75" s="18">
        <f t="shared" ca="1" si="9"/>
        <v>6104713.8045946397</v>
      </c>
    </row>
    <row r="76" spans="1:15" x14ac:dyDescent="0.25">
      <c r="A76" s="3">
        <f>'Monthly Data'!A76</f>
        <v>44256</v>
      </c>
      <c r="B76" s="1">
        <f t="shared" si="7"/>
        <v>2021</v>
      </c>
      <c r="C76" s="1">
        <f t="shared" si="8"/>
        <v>3</v>
      </c>
      <c r="D76" s="268">
        <f>'Monthly Data'!S76</f>
        <v>6087613.54559239</v>
      </c>
      <c r="E76" s="278">
        <f t="shared" ca="1" si="6"/>
        <v>0</v>
      </c>
      <c r="F76" s="278">
        <f>'Monthly Data'!CG76</f>
        <v>0.5</v>
      </c>
      <c r="G76" s="278">
        <f>'Monthly Data'!AQ76</f>
        <v>204.5</v>
      </c>
      <c r="H76" s="278">
        <f>'Monthly Data'!CD76</f>
        <v>31</v>
      </c>
      <c r="J76" s="18">
        <f>'GS 1k-4,999 Predicted Monthly'!$T$10</f>
        <v>1142088.9328922699</v>
      </c>
      <c r="K76" s="18">
        <f ca="1">E76*'GS 1k-4,999 Predicted Monthly'!$T$11</f>
        <v>0</v>
      </c>
      <c r="L76" s="18">
        <f>F76*'GS 1k-4,999 Predicted Monthly'!$T$12</f>
        <v>-696022.37621152995</v>
      </c>
      <c r="M76" s="18">
        <f>G76*'GS 1k-4,999 Predicted Monthly'!$T$13</f>
        <v>2467496.3763184766</v>
      </c>
      <c r="N76" s="18">
        <f>H76*'GS 1k-4,999 Predicted Monthly'!$T$14</f>
        <v>3521036.9894481138</v>
      </c>
      <c r="O76" s="18">
        <f t="shared" ca="1" si="9"/>
        <v>6434599.9224473303</v>
      </c>
    </row>
    <row r="77" spans="1:15" x14ac:dyDescent="0.25">
      <c r="A77" s="3">
        <f>'Monthly Data'!A77</f>
        <v>44287</v>
      </c>
      <c r="B77" s="1">
        <f t="shared" si="7"/>
        <v>2021</v>
      </c>
      <c r="C77" s="1">
        <f t="shared" si="8"/>
        <v>4</v>
      </c>
      <c r="D77" s="268">
        <f>'Monthly Data'!S77</f>
        <v>6925948.7904819697</v>
      </c>
      <c r="E77" s="278">
        <f t="shared" ca="1" si="6"/>
        <v>0.4316666666666677</v>
      </c>
      <c r="F77" s="278">
        <f>'Monthly Data'!CG77</f>
        <v>0.5</v>
      </c>
      <c r="G77" s="278">
        <f>'Monthly Data'!AQ77</f>
        <v>206</v>
      </c>
      <c r="H77" s="278">
        <f>'Monthly Data'!CD77</f>
        <v>30</v>
      </c>
      <c r="J77" s="18">
        <f>'GS 1k-4,999 Predicted Monthly'!$T$10</f>
        <v>1142088.9328922699</v>
      </c>
      <c r="K77" s="18">
        <f ca="1">E77*'GS 1k-4,999 Predicted Monthly'!$T$11</f>
        <v>3861.1407505717921</v>
      </c>
      <c r="L77" s="18">
        <f>F77*'GS 1k-4,999 Predicted Monthly'!$T$12</f>
        <v>-696022.37621152995</v>
      </c>
      <c r="M77" s="18">
        <f>G77*'GS 1k-4,999 Predicted Monthly'!$T$13</f>
        <v>2485595.3717437959</v>
      </c>
      <c r="N77" s="18">
        <f>H77*'GS 1k-4,999 Predicted Monthly'!$T$14</f>
        <v>3407455.1510788198</v>
      </c>
      <c r="O77" s="18">
        <f t="shared" ca="1" si="9"/>
        <v>6342978.2202539276</v>
      </c>
    </row>
    <row r="78" spans="1:15" x14ac:dyDescent="0.25">
      <c r="A78" s="3">
        <f>'Monthly Data'!A78</f>
        <v>44317</v>
      </c>
      <c r="B78" s="1">
        <f t="shared" si="7"/>
        <v>2021</v>
      </c>
      <c r="C78" s="1">
        <f t="shared" si="8"/>
        <v>5</v>
      </c>
      <c r="D78" s="268">
        <f>'Monthly Data'!S78</f>
        <v>6679521.9702554708</v>
      </c>
      <c r="E78" s="278">
        <f t="shared" ca="1" si="6"/>
        <v>29.4520183982684</v>
      </c>
      <c r="F78" s="278">
        <f>'Monthly Data'!CG78</f>
        <v>0.5</v>
      </c>
      <c r="G78" s="278">
        <f>'Monthly Data'!AQ78</f>
        <v>204.1</v>
      </c>
      <c r="H78" s="278">
        <f>'Monthly Data'!CD78</f>
        <v>31</v>
      </c>
      <c r="J78" s="18">
        <f>'GS 1k-4,999 Predicted Monthly'!$T$10</f>
        <v>1142088.9328922699</v>
      </c>
      <c r="K78" s="18">
        <f ca="1">E78*'GS 1k-4,999 Predicted Monthly'!$T$11</f>
        <v>263440.2820636541</v>
      </c>
      <c r="L78" s="18">
        <f>F78*'GS 1k-4,999 Predicted Monthly'!$T$12</f>
        <v>-696022.37621152995</v>
      </c>
      <c r="M78" s="18">
        <f>G78*'GS 1k-4,999 Predicted Monthly'!$T$13</f>
        <v>2462669.9775383915</v>
      </c>
      <c r="N78" s="18">
        <f>H78*'GS 1k-4,999 Predicted Monthly'!$T$14</f>
        <v>3521036.9894481138</v>
      </c>
      <c r="O78" s="18">
        <f t="shared" ca="1" si="9"/>
        <v>6693213.8057308998</v>
      </c>
    </row>
    <row r="79" spans="1:15" x14ac:dyDescent="0.25">
      <c r="A79" s="3">
        <f>'Monthly Data'!A79</f>
        <v>44348</v>
      </c>
      <c r="B79" s="1">
        <f t="shared" si="7"/>
        <v>2021</v>
      </c>
      <c r="C79" s="1">
        <f t="shared" si="8"/>
        <v>6</v>
      </c>
      <c r="D79" s="268">
        <f>'Monthly Data'!S79</f>
        <v>7247178.0773107251</v>
      </c>
      <c r="E79" s="278">
        <f t="shared" ref="E79:E94" ca="1" si="10">E67</f>
        <v>86.311049595332207</v>
      </c>
      <c r="F79" s="278">
        <f>'Monthly Data'!CG79</f>
        <v>0.5</v>
      </c>
      <c r="G79" s="278">
        <f>'Monthly Data'!AQ79</f>
        <v>203.9</v>
      </c>
      <c r="H79" s="278">
        <f>'Monthly Data'!CD79</f>
        <v>30</v>
      </c>
      <c r="J79" s="18">
        <f>'GS 1k-4,999 Predicted Monthly'!$T$10</f>
        <v>1142088.9328922699</v>
      </c>
      <c r="K79" s="18">
        <f ca="1">E79*'GS 1k-4,999 Predicted Monthly'!$T$11</f>
        <v>772028.82814785955</v>
      </c>
      <c r="L79" s="18">
        <f>F79*'GS 1k-4,999 Predicted Monthly'!$T$12</f>
        <v>-696022.37621152995</v>
      </c>
      <c r="M79" s="18">
        <f>G79*'GS 1k-4,999 Predicted Monthly'!$T$13</f>
        <v>2460256.7781483494</v>
      </c>
      <c r="N79" s="18">
        <f>H79*'GS 1k-4,999 Predicted Monthly'!$T$14</f>
        <v>3407455.1510788198</v>
      </c>
      <c r="O79" s="18">
        <f t="shared" ca="1" si="9"/>
        <v>7085807.3140557688</v>
      </c>
    </row>
    <row r="80" spans="1:15" x14ac:dyDescent="0.25">
      <c r="A80" s="3">
        <f>'Monthly Data'!A80</f>
        <v>44378</v>
      </c>
      <c r="B80" s="1">
        <f t="shared" si="7"/>
        <v>2021</v>
      </c>
      <c r="C80" s="1">
        <f t="shared" si="8"/>
        <v>7</v>
      </c>
      <c r="D80" s="268">
        <f>'Monthly Data'!S80</f>
        <v>7247185.5473630354</v>
      </c>
      <c r="E80" s="278">
        <f t="shared" ca="1" si="10"/>
        <v>174.0219619206118</v>
      </c>
      <c r="F80" s="278">
        <f>'Monthly Data'!CG80</f>
        <v>0.5</v>
      </c>
      <c r="G80" s="278">
        <f>'Monthly Data'!AQ80</f>
        <v>205.7</v>
      </c>
      <c r="H80" s="278">
        <f>'Monthly Data'!CD80</f>
        <v>31</v>
      </c>
      <c r="J80" s="18">
        <f>'GS 1k-4,999 Predicted Monthly'!$T$10</f>
        <v>1142088.9328922699</v>
      </c>
      <c r="K80" s="18">
        <f ca="1">E80*'GS 1k-4,999 Predicted Monthly'!$T$11</f>
        <v>1556579.0471029929</v>
      </c>
      <c r="L80" s="18">
        <f>F80*'GS 1k-4,999 Predicted Monthly'!$T$12</f>
        <v>-696022.37621152995</v>
      </c>
      <c r="M80" s="18">
        <f>G80*'GS 1k-4,999 Predicted Monthly'!$T$13</f>
        <v>2481975.5726587316</v>
      </c>
      <c r="N80" s="18">
        <f>H80*'GS 1k-4,999 Predicted Monthly'!$T$14</f>
        <v>3521036.9894481138</v>
      </c>
      <c r="O80" s="18">
        <f t="shared" ca="1" si="9"/>
        <v>8005658.1658905782</v>
      </c>
    </row>
    <row r="81" spans="1:15" x14ac:dyDescent="0.25">
      <c r="A81" s="3">
        <f>'Monthly Data'!A81</f>
        <v>44409</v>
      </c>
      <c r="B81" s="1">
        <f t="shared" si="7"/>
        <v>2021</v>
      </c>
      <c r="C81" s="1">
        <f t="shared" si="8"/>
        <v>8</v>
      </c>
      <c r="D81" s="268">
        <f>'Monthly Data'!S81</f>
        <v>8365993.6754025491</v>
      </c>
      <c r="E81" s="278">
        <f t="shared" ca="1" si="10"/>
        <v>149.7160046113307</v>
      </c>
      <c r="F81" s="278">
        <f>'Monthly Data'!CG81</f>
        <v>0.5</v>
      </c>
      <c r="G81" s="278">
        <f>'Monthly Data'!AQ81</f>
        <v>208.6</v>
      </c>
      <c r="H81" s="278">
        <f>'Monthly Data'!CD81</f>
        <v>31</v>
      </c>
      <c r="J81" s="18">
        <f>'GS 1k-4,999 Predicted Monthly'!$T$10</f>
        <v>1142088.9328922699</v>
      </c>
      <c r="K81" s="18">
        <f ca="1">E81*'GS 1k-4,999 Predicted Monthly'!$T$11</f>
        <v>1339168.8797318963</v>
      </c>
      <c r="L81" s="18">
        <f>F81*'GS 1k-4,999 Predicted Monthly'!$T$12</f>
        <v>-696022.37621152995</v>
      </c>
      <c r="M81" s="18">
        <f>G81*'GS 1k-4,999 Predicted Monthly'!$T$13</f>
        <v>2516966.9638143484</v>
      </c>
      <c r="N81" s="18">
        <f>H81*'GS 1k-4,999 Predicted Monthly'!$T$14</f>
        <v>3521036.9894481138</v>
      </c>
      <c r="O81" s="18">
        <f t="shared" ca="1" si="9"/>
        <v>7823239.3896750975</v>
      </c>
    </row>
    <row r="82" spans="1:15" x14ac:dyDescent="0.25">
      <c r="A82" s="3">
        <f>'Monthly Data'!A82</f>
        <v>44440</v>
      </c>
      <c r="B82" s="1">
        <f t="shared" si="7"/>
        <v>2021</v>
      </c>
      <c r="C82" s="1">
        <f t="shared" si="8"/>
        <v>9</v>
      </c>
      <c r="D82" s="268">
        <f>'Monthly Data'!S82</f>
        <v>6409096.5814957926</v>
      </c>
      <c r="E82" s="278">
        <f t="shared" ca="1" si="10"/>
        <v>62.345178571428576</v>
      </c>
      <c r="F82" s="278">
        <f>'Monthly Data'!CG82</f>
        <v>0.5</v>
      </c>
      <c r="G82" s="278">
        <f>'Monthly Data'!AQ82</f>
        <v>212.9</v>
      </c>
      <c r="H82" s="278">
        <f>'Monthly Data'!CD82</f>
        <v>30</v>
      </c>
      <c r="J82" s="18">
        <f>'GS 1k-4,999 Predicted Monthly'!$T$10</f>
        <v>1142088.9328922699</v>
      </c>
      <c r="K82" s="18">
        <f ca="1">E82*'GS 1k-4,999 Predicted Monthly'!$T$11</f>
        <v>557660.63996251172</v>
      </c>
      <c r="L82" s="18">
        <f>F82*'GS 1k-4,999 Predicted Monthly'!$T$12</f>
        <v>-696022.37621152995</v>
      </c>
      <c r="M82" s="18">
        <f>G82*'GS 1k-4,999 Predicted Monthly'!$T$13</f>
        <v>2568850.7507002628</v>
      </c>
      <c r="N82" s="18">
        <f>H82*'GS 1k-4,999 Predicted Monthly'!$T$14</f>
        <v>3407455.1510788198</v>
      </c>
      <c r="O82" s="18">
        <f t="shared" ca="1" si="9"/>
        <v>6980033.0984223336</v>
      </c>
    </row>
    <row r="83" spans="1:15" x14ac:dyDescent="0.25">
      <c r="A83" s="3">
        <f>'Monthly Data'!A83</f>
        <v>44470</v>
      </c>
      <c r="B83" s="1">
        <f t="shared" si="7"/>
        <v>2021</v>
      </c>
      <c r="C83" s="1">
        <f t="shared" si="8"/>
        <v>10</v>
      </c>
      <c r="D83" s="268">
        <f>'Monthly Data'!S83</f>
        <v>6889103.0725763496</v>
      </c>
      <c r="E83" s="278">
        <f t="shared" ca="1" si="10"/>
        <v>7.1541666666666703</v>
      </c>
      <c r="F83" s="278">
        <f>'Monthly Data'!CG83</f>
        <v>0.5</v>
      </c>
      <c r="G83" s="278">
        <f>'Monthly Data'!AQ83</f>
        <v>217.2</v>
      </c>
      <c r="H83" s="278">
        <f>'Monthly Data'!CD83</f>
        <v>31</v>
      </c>
      <c r="J83" s="18">
        <f>'GS 1k-4,999 Predicted Monthly'!$T$10</f>
        <v>1142088.9328922699</v>
      </c>
      <c r="K83" s="18">
        <f ca="1">E83*'GS 1k-4,999 Predicted Monthly'!$T$11</f>
        <v>63992.072092005357</v>
      </c>
      <c r="L83" s="18">
        <f>F83*'GS 1k-4,999 Predicted Monthly'!$T$12</f>
        <v>-696022.37621152995</v>
      </c>
      <c r="M83" s="18">
        <f>G83*'GS 1k-4,999 Predicted Monthly'!$T$13</f>
        <v>2620734.5375861768</v>
      </c>
      <c r="N83" s="18">
        <f>H83*'GS 1k-4,999 Predicted Monthly'!$T$14</f>
        <v>3521036.9894481138</v>
      </c>
      <c r="O83" s="18">
        <f t="shared" ca="1" si="9"/>
        <v>6651830.155807036</v>
      </c>
    </row>
    <row r="84" spans="1:15" x14ac:dyDescent="0.25">
      <c r="A84" s="3">
        <f>'Monthly Data'!A84</f>
        <v>44501</v>
      </c>
      <c r="B84" s="1">
        <f t="shared" si="7"/>
        <v>2021</v>
      </c>
      <c r="C84" s="1">
        <f t="shared" si="8"/>
        <v>11</v>
      </c>
      <c r="D84" s="268">
        <f>'Monthly Data'!S84</f>
        <v>6744335.6859382633</v>
      </c>
      <c r="E84" s="278">
        <f t="shared" ca="1" si="10"/>
        <v>0.15041666666666628</v>
      </c>
      <c r="F84" s="278">
        <f>'Monthly Data'!CG84</f>
        <v>0.5</v>
      </c>
      <c r="G84" s="278">
        <f>'Monthly Data'!AQ84</f>
        <v>222.6</v>
      </c>
      <c r="H84" s="278">
        <f>'Monthly Data'!CD84</f>
        <v>30</v>
      </c>
      <c r="J84" s="18">
        <f>'GS 1k-4,999 Predicted Monthly'!$T$10</f>
        <v>1142088.9328922699</v>
      </c>
      <c r="K84" s="18">
        <f ca="1">E84*'GS 1k-4,999 Predicted Monthly'!$T$11</f>
        <v>1345.4361109617857</v>
      </c>
      <c r="L84" s="18">
        <f>F84*'GS 1k-4,999 Predicted Monthly'!$T$12</f>
        <v>-696022.37621152995</v>
      </c>
      <c r="M84" s="18">
        <f>G84*'GS 1k-4,999 Predicted Monthly'!$T$13</f>
        <v>2685890.9211173248</v>
      </c>
      <c r="N84" s="18">
        <f>H84*'GS 1k-4,999 Predicted Monthly'!$T$14</f>
        <v>3407455.1510788198</v>
      </c>
      <c r="O84" s="18">
        <f t="shared" ca="1" si="9"/>
        <v>6540758.0649878457</v>
      </c>
    </row>
    <row r="85" spans="1:15" x14ac:dyDescent="0.25">
      <c r="A85" s="3">
        <f>'Monthly Data'!A85</f>
        <v>44531</v>
      </c>
      <c r="B85" s="1">
        <f t="shared" si="7"/>
        <v>2021</v>
      </c>
      <c r="C85" s="1">
        <f t="shared" si="8"/>
        <v>12</v>
      </c>
      <c r="D85" s="268">
        <f>'Monthly Data'!S85</f>
        <v>6128351.284929418</v>
      </c>
      <c r="E85" s="278">
        <f t="shared" ca="1" si="10"/>
        <v>0</v>
      </c>
      <c r="F85" s="278">
        <f>'Monthly Data'!CG85</f>
        <v>0.5</v>
      </c>
      <c r="G85" s="278">
        <f>'Monthly Data'!AQ85</f>
        <v>223.5</v>
      </c>
      <c r="H85" s="278">
        <f>'Monthly Data'!CD85</f>
        <v>31</v>
      </c>
      <c r="J85" s="18">
        <f>'GS 1k-4,999 Predicted Monthly'!$T$10</f>
        <v>1142088.9328922699</v>
      </c>
      <c r="K85" s="18">
        <f ca="1">E85*'GS 1k-4,999 Predicted Monthly'!$T$11</f>
        <v>0</v>
      </c>
      <c r="L85" s="18">
        <f>F85*'GS 1k-4,999 Predicted Monthly'!$T$12</f>
        <v>-696022.37621152995</v>
      </c>
      <c r="M85" s="18">
        <f>G85*'GS 1k-4,999 Predicted Monthly'!$T$13</f>
        <v>2696750.3183725164</v>
      </c>
      <c r="N85" s="18">
        <f>H85*'GS 1k-4,999 Predicted Monthly'!$T$14</f>
        <v>3521036.9894481138</v>
      </c>
      <c r="O85" s="18">
        <f t="shared" ca="1" si="9"/>
        <v>6663853.8645013701</v>
      </c>
    </row>
    <row r="86" spans="1:15" x14ac:dyDescent="0.25">
      <c r="A86" s="3">
        <f>'Monthly Data'!A86</f>
        <v>44562</v>
      </c>
      <c r="B86" s="1">
        <f t="shared" si="7"/>
        <v>2022</v>
      </c>
      <c r="C86" s="1">
        <f t="shared" si="8"/>
        <v>1</v>
      </c>
      <c r="D86" s="268">
        <f>'Monthly Data'!S86</f>
        <v>6906301.0009142747</v>
      </c>
      <c r="E86" s="278">
        <f t="shared" ca="1" si="10"/>
        <v>0</v>
      </c>
      <c r="F86" s="278">
        <f>'Monthly Data'!CG86</f>
        <v>0.25</v>
      </c>
      <c r="G86" s="278">
        <f>'Monthly Data'!AQ86</f>
        <v>221.3</v>
      </c>
      <c r="H86" s="278">
        <f>'Monthly Data'!CD86</f>
        <v>31</v>
      </c>
      <c r="J86" s="18">
        <f>'GS 1k-4,999 Predicted Monthly'!$T$10</f>
        <v>1142088.9328922699</v>
      </c>
      <c r="K86" s="18">
        <f ca="1">E86*'GS 1k-4,999 Predicted Monthly'!$T$11</f>
        <v>0</v>
      </c>
      <c r="L86" s="18">
        <f>F86*'GS 1k-4,999 Predicted Monthly'!$T$12</f>
        <v>-348011.18810576497</v>
      </c>
      <c r="M86" s="18">
        <f>G86*'GS 1k-4,999 Predicted Monthly'!$T$13</f>
        <v>2670205.1250820486</v>
      </c>
      <c r="N86" s="18">
        <f>H86*'GS 1k-4,999 Predicted Monthly'!$T$14</f>
        <v>3521036.9894481138</v>
      </c>
      <c r="O86" s="18">
        <f t="shared" ca="1" si="9"/>
        <v>6985319.8593166675</v>
      </c>
    </row>
    <row r="87" spans="1:15" x14ac:dyDescent="0.25">
      <c r="A87" s="3">
        <f>'Monthly Data'!A87</f>
        <v>44593</v>
      </c>
      <c r="B87" s="1">
        <f t="shared" si="7"/>
        <v>2022</v>
      </c>
      <c r="C87" s="1">
        <f t="shared" si="8"/>
        <v>2</v>
      </c>
      <c r="D87" s="268">
        <f>'Monthly Data'!S87</f>
        <v>7158851.9016371276</v>
      </c>
      <c r="E87" s="278">
        <f t="shared" ca="1" si="10"/>
        <v>0</v>
      </c>
      <c r="F87" s="278">
        <f>'Monthly Data'!CG87</f>
        <v>0.25</v>
      </c>
      <c r="G87" s="278">
        <f>'Monthly Data'!AQ87</f>
        <v>221.3</v>
      </c>
      <c r="H87" s="278">
        <f>'Monthly Data'!CD87</f>
        <v>28</v>
      </c>
      <c r="J87" s="18">
        <f>'GS 1k-4,999 Predicted Monthly'!$T$10</f>
        <v>1142088.9328922699</v>
      </c>
      <c r="K87" s="18">
        <f ca="1">E87*'GS 1k-4,999 Predicted Monthly'!$T$11</f>
        <v>0</v>
      </c>
      <c r="L87" s="18">
        <f>F87*'GS 1k-4,999 Predicted Monthly'!$T$12</f>
        <v>-348011.18810576497</v>
      </c>
      <c r="M87" s="18">
        <f>G87*'GS 1k-4,999 Predicted Monthly'!$T$13</f>
        <v>2670205.1250820486</v>
      </c>
      <c r="N87" s="18">
        <f>H87*'GS 1k-4,999 Predicted Monthly'!$T$14</f>
        <v>3180291.4743402321</v>
      </c>
      <c r="O87" s="18">
        <f t="shared" ca="1" si="9"/>
        <v>6644574.3442087853</v>
      </c>
    </row>
    <row r="88" spans="1:15" x14ac:dyDescent="0.25">
      <c r="A88" s="3">
        <f>'Monthly Data'!A88</f>
        <v>44621</v>
      </c>
      <c r="B88" s="1">
        <f t="shared" si="7"/>
        <v>2022</v>
      </c>
      <c r="C88" s="1">
        <f t="shared" si="8"/>
        <v>3</v>
      </c>
      <c r="D88" s="268">
        <f>'Monthly Data'!S88</f>
        <v>7057935.0318071265</v>
      </c>
      <c r="E88" s="278">
        <f t="shared" ca="1" si="10"/>
        <v>0</v>
      </c>
      <c r="F88" s="278">
        <f>'Monthly Data'!CG88</f>
        <v>0.25</v>
      </c>
      <c r="G88" s="278">
        <f>'Monthly Data'!AQ88</f>
        <v>222.7</v>
      </c>
      <c r="H88" s="278">
        <f>'Monthly Data'!CD88</f>
        <v>31</v>
      </c>
      <c r="J88" s="18">
        <f>'GS 1k-4,999 Predicted Monthly'!$T$10</f>
        <v>1142088.9328922699</v>
      </c>
      <c r="K88" s="18">
        <f ca="1">E88*'GS 1k-4,999 Predicted Monthly'!$T$11</f>
        <v>0</v>
      </c>
      <c r="L88" s="18">
        <f>F88*'GS 1k-4,999 Predicted Monthly'!$T$12</f>
        <v>-348011.18810576497</v>
      </c>
      <c r="M88" s="18">
        <f>G88*'GS 1k-4,999 Predicted Monthly'!$T$13</f>
        <v>2687097.5208123461</v>
      </c>
      <c r="N88" s="18">
        <f>H88*'GS 1k-4,999 Predicted Monthly'!$T$14</f>
        <v>3521036.9894481138</v>
      </c>
      <c r="O88" s="18">
        <f t="shared" ca="1" si="9"/>
        <v>7002212.2550469656</v>
      </c>
    </row>
    <row r="89" spans="1:15" x14ac:dyDescent="0.25">
      <c r="A89" s="3">
        <f>'Monthly Data'!A89</f>
        <v>44652</v>
      </c>
      <c r="B89" s="1">
        <f t="shared" si="7"/>
        <v>2022</v>
      </c>
      <c r="C89" s="1">
        <f t="shared" si="8"/>
        <v>4</v>
      </c>
      <c r="D89" s="268">
        <f>'Monthly Data'!S89</f>
        <v>6934624.7238631817</v>
      </c>
      <c r="E89" s="278">
        <f t="shared" ca="1" si="10"/>
        <v>0.4316666666666677</v>
      </c>
      <c r="F89" s="278">
        <f>'Monthly Data'!CG89</f>
        <v>0.25</v>
      </c>
      <c r="G89" s="278">
        <f>'Monthly Data'!AQ89</f>
        <v>227.3</v>
      </c>
      <c r="H89" s="278">
        <f>'Monthly Data'!CD89</f>
        <v>30</v>
      </c>
      <c r="J89" s="18">
        <f>'GS 1k-4,999 Predicted Monthly'!$T$10</f>
        <v>1142088.9328922699</v>
      </c>
      <c r="K89" s="18">
        <f ca="1">E89*'GS 1k-4,999 Predicted Monthly'!$T$11</f>
        <v>3861.1407505717921</v>
      </c>
      <c r="L89" s="18">
        <f>F89*'GS 1k-4,999 Predicted Monthly'!$T$12</f>
        <v>-348011.18810576497</v>
      </c>
      <c r="M89" s="18">
        <f>G89*'GS 1k-4,999 Predicted Monthly'!$T$13</f>
        <v>2742601.1067833244</v>
      </c>
      <c r="N89" s="18">
        <f>H89*'GS 1k-4,999 Predicted Monthly'!$T$14</f>
        <v>3407455.1510788198</v>
      </c>
      <c r="O89" s="18">
        <f t="shared" ca="1" si="9"/>
        <v>6947995.1433992209</v>
      </c>
    </row>
    <row r="90" spans="1:15" x14ac:dyDescent="0.25">
      <c r="A90" s="3">
        <f>'Monthly Data'!A90</f>
        <v>44682</v>
      </c>
      <c r="B90" s="1">
        <f t="shared" si="7"/>
        <v>2022</v>
      </c>
      <c r="C90" s="1">
        <f t="shared" si="8"/>
        <v>5</v>
      </c>
      <c r="D90" s="268">
        <f>'Monthly Data'!S90</f>
        <v>7873872.1026663976</v>
      </c>
      <c r="E90" s="278">
        <f t="shared" ca="1" si="10"/>
        <v>29.4520183982684</v>
      </c>
      <c r="F90" s="278">
        <f>'Monthly Data'!CG90</f>
        <v>0.25</v>
      </c>
      <c r="G90" s="278">
        <f>'Monthly Data'!AQ90</f>
        <v>229.3</v>
      </c>
      <c r="H90" s="278">
        <f>'Monthly Data'!CD90</f>
        <v>31</v>
      </c>
      <c r="J90" s="18">
        <f>'GS 1k-4,999 Predicted Monthly'!$T$10</f>
        <v>1142088.9328922699</v>
      </c>
      <c r="K90" s="18">
        <f ca="1">E90*'GS 1k-4,999 Predicted Monthly'!$T$11</f>
        <v>263440.2820636541</v>
      </c>
      <c r="L90" s="18">
        <f>F90*'GS 1k-4,999 Predicted Monthly'!$T$12</f>
        <v>-348011.18810576497</v>
      </c>
      <c r="M90" s="18">
        <f>G90*'GS 1k-4,999 Predicted Monthly'!$T$13</f>
        <v>2766733.1006837497</v>
      </c>
      <c r="N90" s="18">
        <f>H90*'GS 1k-4,999 Predicted Monthly'!$T$14</f>
        <v>3521036.9894481138</v>
      </c>
      <c r="O90" s="18">
        <f t="shared" ca="1" si="9"/>
        <v>7345288.1169820223</v>
      </c>
    </row>
    <row r="91" spans="1:15" x14ac:dyDescent="0.25">
      <c r="A91" s="3">
        <f>'Monthly Data'!A91</f>
        <v>44713</v>
      </c>
      <c r="B91" s="1">
        <f t="shared" si="7"/>
        <v>2022</v>
      </c>
      <c r="C91" s="1">
        <f t="shared" si="8"/>
        <v>6</v>
      </c>
      <c r="D91" s="268">
        <f>'Monthly Data'!S91</f>
        <v>8319473.4229810853</v>
      </c>
      <c r="E91" s="278">
        <f t="shared" ca="1" si="10"/>
        <v>86.311049595332207</v>
      </c>
      <c r="F91" s="278">
        <f>'Monthly Data'!CG91</f>
        <v>0.25</v>
      </c>
      <c r="G91" s="278">
        <f>'Monthly Data'!AQ91</f>
        <v>229.9</v>
      </c>
      <c r="H91" s="278">
        <f>'Monthly Data'!CD91</f>
        <v>30</v>
      </c>
      <c r="J91" s="18">
        <f>'GS 1k-4,999 Predicted Monthly'!$T$10</f>
        <v>1142088.9328922699</v>
      </c>
      <c r="K91" s="18">
        <f ca="1">E91*'GS 1k-4,999 Predicted Monthly'!$T$11</f>
        <v>772028.82814785955</v>
      </c>
      <c r="L91" s="18">
        <f>F91*'GS 1k-4,999 Predicted Monthly'!$T$12</f>
        <v>-348011.18810576497</v>
      </c>
      <c r="M91" s="18">
        <f>G91*'GS 1k-4,999 Predicted Monthly'!$T$13</f>
        <v>2773972.6988538769</v>
      </c>
      <c r="N91" s="18">
        <f>H91*'GS 1k-4,999 Predicted Monthly'!$T$14</f>
        <v>3407455.1510788198</v>
      </c>
      <c r="O91" s="18">
        <f t="shared" ca="1" si="9"/>
        <v>7747534.4228670616</v>
      </c>
    </row>
    <row r="92" spans="1:15" x14ac:dyDescent="0.25">
      <c r="A92" s="3">
        <f>'Monthly Data'!A92</f>
        <v>44743</v>
      </c>
      <c r="B92" s="1">
        <f t="shared" si="7"/>
        <v>2022</v>
      </c>
      <c r="C92" s="1">
        <f t="shared" si="8"/>
        <v>7</v>
      </c>
      <c r="D92" s="268">
        <f>'Monthly Data'!S92</f>
        <v>8824616.3377139345</v>
      </c>
      <c r="E92" s="278">
        <f t="shared" ca="1" si="10"/>
        <v>174.0219619206118</v>
      </c>
      <c r="F92" s="278">
        <f>'Monthly Data'!CG92</f>
        <v>0.25</v>
      </c>
      <c r="G92" s="278">
        <f>'Monthly Data'!AQ92</f>
        <v>228.8</v>
      </c>
      <c r="H92" s="278">
        <f>'Monthly Data'!CD92</f>
        <v>31</v>
      </c>
      <c r="J92" s="18">
        <f>'GS 1k-4,999 Predicted Monthly'!$T$10</f>
        <v>1142088.9328922699</v>
      </c>
      <c r="K92" s="18">
        <f ca="1">E92*'GS 1k-4,999 Predicted Monthly'!$T$11</f>
        <v>1556579.0471029929</v>
      </c>
      <c r="L92" s="18">
        <f>F92*'GS 1k-4,999 Predicted Monthly'!$T$12</f>
        <v>-348011.18810576497</v>
      </c>
      <c r="M92" s="18">
        <f>G92*'GS 1k-4,999 Predicted Monthly'!$T$13</f>
        <v>2760700.1022086432</v>
      </c>
      <c r="N92" s="18">
        <f>H92*'GS 1k-4,999 Predicted Monthly'!$T$14</f>
        <v>3521036.9894481138</v>
      </c>
      <c r="O92" s="18">
        <f t="shared" ca="1" si="9"/>
        <v>8632393.8835462555</v>
      </c>
    </row>
    <row r="93" spans="1:15" x14ac:dyDescent="0.25">
      <c r="A93" s="3">
        <f>'Monthly Data'!A93</f>
        <v>44774</v>
      </c>
      <c r="B93" s="1">
        <f t="shared" si="7"/>
        <v>2022</v>
      </c>
      <c r="C93" s="1">
        <f t="shared" si="8"/>
        <v>8</v>
      </c>
      <c r="D93" s="268">
        <f>'Monthly Data'!S93</f>
        <v>8324973.3981702216</v>
      </c>
      <c r="E93" s="278">
        <f t="shared" ca="1" si="10"/>
        <v>149.7160046113307</v>
      </c>
      <c r="F93" s="278">
        <f>'Monthly Data'!CG93</f>
        <v>0.25</v>
      </c>
      <c r="G93" s="278">
        <f>'Monthly Data'!AQ93</f>
        <v>227.3</v>
      </c>
      <c r="H93" s="278">
        <f>'Monthly Data'!CD93</f>
        <v>31</v>
      </c>
      <c r="J93" s="18">
        <f>'GS 1k-4,999 Predicted Monthly'!$T$10</f>
        <v>1142088.9328922699</v>
      </c>
      <c r="K93" s="18">
        <f ca="1">E93*'GS 1k-4,999 Predicted Monthly'!$T$11</f>
        <v>1339168.8797318963</v>
      </c>
      <c r="L93" s="18">
        <f>F93*'GS 1k-4,999 Predicted Monthly'!$T$12</f>
        <v>-348011.18810576497</v>
      </c>
      <c r="M93" s="18">
        <f>G93*'GS 1k-4,999 Predicted Monthly'!$T$13</f>
        <v>2742601.1067833244</v>
      </c>
      <c r="N93" s="18">
        <f>H93*'GS 1k-4,999 Predicted Monthly'!$T$14</f>
        <v>3521036.9894481138</v>
      </c>
      <c r="O93" s="18">
        <f t="shared" ca="1" si="9"/>
        <v>8396884.7207498401</v>
      </c>
    </row>
    <row r="94" spans="1:15" x14ac:dyDescent="0.25">
      <c r="A94" s="3">
        <f>'Monthly Data'!A94</f>
        <v>44805</v>
      </c>
      <c r="B94" s="1">
        <f t="shared" si="7"/>
        <v>2022</v>
      </c>
      <c r="C94" s="1">
        <f t="shared" si="8"/>
        <v>9</v>
      </c>
      <c r="D94" s="268">
        <f>'Monthly Data'!S94</f>
        <v>8116264.8044103524</v>
      </c>
      <c r="E94" s="278">
        <f t="shared" ca="1" si="10"/>
        <v>62.345178571428576</v>
      </c>
      <c r="F94" s="278">
        <f>'Monthly Data'!CG94</f>
        <v>0.25</v>
      </c>
      <c r="G94" s="278">
        <f>'Monthly Data'!AQ94</f>
        <v>226</v>
      </c>
      <c r="H94" s="278">
        <f>'Monthly Data'!CD94</f>
        <v>30</v>
      </c>
      <c r="J94" s="18">
        <f>'GS 1k-4,999 Predicted Monthly'!$T$10</f>
        <v>1142088.9328922699</v>
      </c>
      <c r="K94" s="18">
        <f ca="1">E94*'GS 1k-4,999 Predicted Monthly'!$T$11</f>
        <v>557660.63996251172</v>
      </c>
      <c r="L94" s="18">
        <f>F94*'GS 1k-4,999 Predicted Monthly'!$T$12</f>
        <v>-348011.18810576497</v>
      </c>
      <c r="M94" s="18">
        <f>G94*'GS 1k-4,999 Predicted Monthly'!$T$13</f>
        <v>2726915.3107480477</v>
      </c>
      <c r="N94" s="18">
        <f>H94*'GS 1k-4,999 Predicted Monthly'!$T$14</f>
        <v>3407455.1510788198</v>
      </c>
      <c r="O94" s="18">
        <f t="shared" ca="1" si="9"/>
        <v>7486108.8465758841</v>
      </c>
    </row>
    <row r="95" spans="1:15" x14ac:dyDescent="0.25">
      <c r="A95" s="3">
        <f>'Monthly Data'!A95</f>
        <v>44835</v>
      </c>
      <c r="B95" s="1">
        <f t="shared" si="7"/>
        <v>2022</v>
      </c>
      <c r="C95" s="1">
        <f t="shared" si="8"/>
        <v>10</v>
      </c>
      <c r="D95" s="268">
        <f>'Monthly Data'!S95</f>
        <v>8408453.1170397643</v>
      </c>
      <c r="E95" s="278">
        <f t="shared" ref="E95:E110" ca="1" si="11">E83</f>
        <v>7.1541666666666703</v>
      </c>
      <c r="F95" s="278">
        <f>'Monthly Data'!CG95</f>
        <v>0.25</v>
      </c>
      <c r="G95" s="278">
        <f>'Monthly Data'!AQ95</f>
        <v>226.2</v>
      </c>
      <c r="H95" s="278">
        <f>'Monthly Data'!CD95</f>
        <v>31</v>
      </c>
      <c r="J95" s="18">
        <f>'GS 1k-4,999 Predicted Monthly'!$T$10</f>
        <v>1142088.9328922699</v>
      </c>
      <c r="K95" s="18">
        <f ca="1">E95*'GS 1k-4,999 Predicted Monthly'!$T$11</f>
        <v>63992.072092005357</v>
      </c>
      <c r="L95" s="18">
        <f>F95*'GS 1k-4,999 Predicted Monthly'!$T$12</f>
        <v>-348011.18810576497</v>
      </c>
      <c r="M95" s="18">
        <f>G95*'GS 1k-4,999 Predicted Monthly'!$T$13</f>
        <v>2729328.5101380902</v>
      </c>
      <c r="N95" s="18">
        <f>H95*'GS 1k-4,999 Predicted Monthly'!$T$14</f>
        <v>3521036.9894481138</v>
      </c>
      <c r="O95" s="18">
        <f t="shared" ca="1" si="9"/>
        <v>7108435.3164647147</v>
      </c>
    </row>
    <row r="96" spans="1:15" x14ac:dyDescent="0.25">
      <c r="A96" s="3">
        <f>'Monthly Data'!A96</f>
        <v>44866</v>
      </c>
      <c r="B96" s="1">
        <f t="shared" si="7"/>
        <v>2022</v>
      </c>
      <c r="C96" s="1">
        <f t="shared" si="8"/>
        <v>11</v>
      </c>
      <c r="D96" s="268">
        <f>'Monthly Data'!S96</f>
        <v>7440054.2619402809</v>
      </c>
      <c r="E96" s="278">
        <f t="shared" ca="1" si="11"/>
        <v>0.15041666666666628</v>
      </c>
      <c r="F96" s="278">
        <f>'Monthly Data'!CG96</f>
        <v>0.25</v>
      </c>
      <c r="G96" s="278">
        <f>'Monthly Data'!AQ96</f>
        <v>225.9</v>
      </c>
      <c r="H96" s="278">
        <f>'Monthly Data'!CD96</f>
        <v>30</v>
      </c>
      <c r="J96" s="18">
        <f>'GS 1k-4,999 Predicted Monthly'!$T$10</f>
        <v>1142088.9328922699</v>
      </c>
      <c r="K96" s="18">
        <f ca="1">E96*'GS 1k-4,999 Predicted Monthly'!$T$11</f>
        <v>1345.4361109617857</v>
      </c>
      <c r="L96" s="18">
        <f>F96*'GS 1k-4,999 Predicted Monthly'!$T$12</f>
        <v>-348011.18810576497</v>
      </c>
      <c r="M96" s="18">
        <f>G96*'GS 1k-4,999 Predicted Monthly'!$T$13</f>
        <v>2725708.7110530264</v>
      </c>
      <c r="N96" s="18">
        <f>H96*'GS 1k-4,999 Predicted Monthly'!$T$14</f>
        <v>3407455.1510788198</v>
      </c>
      <c r="O96" s="18">
        <f t="shared" ca="1" si="9"/>
        <v>6928587.043029312</v>
      </c>
    </row>
    <row r="97" spans="1:18" x14ac:dyDescent="0.25">
      <c r="A97" s="3">
        <f>'Monthly Data'!A97</f>
        <v>44896</v>
      </c>
      <c r="B97" s="1">
        <f t="shared" si="7"/>
        <v>2022</v>
      </c>
      <c r="C97" s="1">
        <f t="shared" si="8"/>
        <v>12</v>
      </c>
      <c r="D97" s="268">
        <f>'Monthly Data'!S97</f>
        <v>7186855.0292048287</v>
      </c>
      <c r="E97" s="278">
        <f t="shared" ca="1" si="11"/>
        <v>0</v>
      </c>
      <c r="F97" s="278">
        <f>'Monthly Data'!CG97</f>
        <v>0.25</v>
      </c>
      <c r="G97" s="278">
        <f>'Monthly Data'!AQ97</f>
        <v>227.6</v>
      </c>
      <c r="H97" s="278">
        <f>'Monthly Data'!CD97</f>
        <v>31</v>
      </c>
      <c r="J97" s="18">
        <f>'GS 1k-4,999 Predicted Monthly'!$T$10</f>
        <v>1142088.9328922699</v>
      </c>
      <c r="K97" s="18">
        <f ca="1">E97*'GS 1k-4,999 Predicted Monthly'!$T$11</f>
        <v>0</v>
      </c>
      <c r="L97" s="18">
        <f>F97*'GS 1k-4,999 Predicted Monthly'!$T$12</f>
        <v>-348011.18810576497</v>
      </c>
      <c r="M97" s="18">
        <f>G97*'GS 1k-4,999 Predicted Monthly'!$T$13</f>
        <v>2746220.9058683878</v>
      </c>
      <c r="N97" s="18">
        <f>H97*'GS 1k-4,999 Predicted Monthly'!$T$14</f>
        <v>3521036.9894481138</v>
      </c>
      <c r="O97" s="18">
        <f t="shared" ca="1" si="9"/>
        <v>7061335.6401030067</v>
      </c>
    </row>
    <row r="98" spans="1:18" x14ac:dyDescent="0.25">
      <c r="A98" s="3">
        <f>'Monthly Data'!A98</f>
        <v>44927</v>
      </c>
      <c r="B98" s="1">
        <f t="shared" si="7"/>
        <v>2023</v>
      </c>
      <c r="C98" s="1">
        <f t="shared" si="8"/>
        <v>1</v>
      </c>
      <c r="D98" s="268">
        <f>'Monthly Data'!S98</f>
        <v>7297519.824448091</v>
      </c>
      <c r="E98" s="278">
        <f t="shared" ca="1" si="11"/>
        <v>0</v>
      </c>
      <c r="F98" s="278">
        <f>'Monthly Data'!CG98</f>
        <v>0</v>
      </c>
      <c r="G98" s="278">
        <f>'Monthly Data'!AQ98</f>
        <v>228.9</v>
      </c>
      <c r="H98" s="278">
        <f>'Monthly Data'!CD98</f>
        <v>31</v>
      </c>
      <c r="J98" s="18">
        <f>'GS 1k-4,999 Predicted Monthly'!$T$10</f>
        <v>1142088.9328922699</v>
      </c>
      <c r="K98" s="18">
        <f ca="1">E98*'GS 1k-4,999 Predicted Monthly'!$T$11</f>
        <v>0</v>
      </c>
      <c r="L98" s="18">
        <f>F98*'GS 1k-4,999 Predicted Monthly'!$T$12</f>
        <v>0</v>
      </c>
      <c r="M98" s="18">
        <f>G98*'GS 1k-4,999 Predicted Monthly'!$T$13</f>
        <v>2761906.7019036645</v>
      </c>
      <c r="N98" s="18">
        <f>H98*'GS 1k-4,999 Predicted Monthly'!$T$14</f>
        <v>3521036.9894481138</v>
      </c>
      <c r="O98" s="18">
        <f t="shared" ca="1" si="9"/>
        <v>7425032.6242440483</v>
      </c>
    </row>
    <row r="99" spans="1:18" x14ac:dyDescent="0.25">
      <c r="A99" s="3">
        <f>'Monthly Data'!A99</f>
        <v>44958</v>
      </c>
      <c r="B99" s="1">
        <f t="shared" si="7"/>
        <v>2023</v>
      </c>
      <c r="C99" s="1">
        <f t="shared" si="8"/>
        <v>2</v>
      </c>
      <c r="D99" s="268">
        <f>'Monthly Data'!S99</f>
        <v>7161447.3370062616</v>
      </c>
      <c r="E99" s="278">
        <f t="shared" ca="1" si="11"/>
        <v>0</v>
      </c>
      <c r="F99" s="278">
        <f>'Monthly Data'!CG99</f>
        <v>0</v>
      </c>
      <c r="G99" s="278">
        <f>'Monthly Data'!AQ99</f>
        <v>229.5</v>
      </c>
      <c r="H99" s="278">
        <f>'Monthly Data'!CD99</f>
        <v>28</v>
      </c>
      <c r="J99" s="18">
        <f>'GS 1k-4,999 Predicted Monthly'!$T$10</f>
        <v>1142088.9328922699</v>
      </c>
      <c r="K99" s="18">
        <f ca="1">E99*'GS 1k-4,999 Predicted Monthly'!$T$11</f>
        <v>0</v>
      </c>
      <c r="L99" s="18">
        <f>F99*'GS 1k-4,999 Predicted Monthly'!$T$12</f>
        <v>0</v>
      </c>
      <c r="M99" s="18">
        <f>G99*'GS 1k-4,999 Predicted Monthly'!$T$13</f>
        <v>2769146.3000737918</v>
      </c>
      <c r="N99" s="18">
        <f>H99*'GS 1k-4,999 Predicted Monthly'!$T$14</f>
        <v>3180291.4743402321</v>
      </c>
      <c r="O99" s="18">
        <f t="shared" ca="1" si="9"/>
        <v>7091526.7073062938</v>
      </c>
    </row>
    <row r="100" spans="1:18" x14ac:dyDescent="0.25">
      <c r="A100" s="3">
        <f>'Monthly Data'!A100</f>
        <v>44986</v>
      </c>
      <c r="B100" s="1">
        <f t="shared" si="7"/>
        <v>2023</v>
      </c>
      <c r="C100" s="1">
        <f t="shared" si="8"/>
        <v>3</v>
      </c>
      <c r="D100" s="268">
        <f>'Monthly Data'!S100</f>
        <v>6776150.5893926928</v>
      </c>
      <c r="E100" s="278">
        <f t="shared" ca="1" si="11"/>
        <v>0</v>
      </c>
      <c r="F100" s="278">
        <f>'Monthly Data'!CG100</f>
        <v>0</v>
      </c>
      <c r="G100" s="278">
        <f>'Monthly Data'!AQ100</f>
        <v>226.7</v>
      </c>
      <c r="H100" s="278">
        <f>'Monthly Data'!CD100</f>
        <v>31</v>
      </c>
      <c r="J100" s="18">
        <f>'GS 1k-4,999 Predicted Monthly'!$T$10</f>
        <v>1142088.9328922699</v>
      </c>
      <c r="K100" s="18">
        <f ca="1">E100*'GS 1k-4,999 Predicted Monthly'!$T$11</f>
        <v>0</v>
      </c>
      <c r="L100" s="18">
        <f>F100*'GS 1k-4,999 Predicted Monthly'!$T$12</f>
        <v>0</v>
      </c>
      <c r="M100" s="18">
        <f>G100*'GS 1k-4,999 Predicted Monthly'!$T$13</f>
        <v>2735361.5086131962</v>
      </c>
      <c r="N100" s="18">
        <f>H100*'GS 1k-4,999 Predicted Monthly'!$T$14</f>
        <v>3521036.9894481138</v>
      </c>
      <c r="O100" s="18">
        <f t="shared" ca="1" si="9"/>
        <v>7398487.43095358</v>
      </c>
      <c r="Q100" s="18"/>
      <c r="R100" s="285"/>
    </row>
    <row r="101" spans="1:18" x14ac:dyDescent="0.25">
      <c r="A101" s="3">
        <f>'Monthly Data'!A101</f>
        <v>45017</v>
      </c>
      <c r="B101" s="1">
        <f t="shared" si="7"/>
        <v>2023</v>
      </c>
      <c r="C101" s="1">
        <f t="shared" si="8"/>
        <v>4</v>
      </c>
      <c r="D101" s="268">
        <f>'Monthly Data'!S101</f>
        <v>6947073.5590222785</v>
      </c>
      <c r="E101" s="278">
        <f t="shared" ca="1" si="11"/>
        <v>0.4316666666666677</v>
      </c>
      <c r="F101" s="278">
        <f>'Monthly Data'!CG101</f>
        <v>0</v>
      </c>
      <c r="G101" s="278">
        <f>'Monthly Data'!AQ101</f>
        <v>223.9</v>
      </c>
      <c r="H101" s="278">
        <f>'Monthly Data'!CD101</f>
        <v>30</v>
      </c>
      <c r="J101" s="18">
        <f>'GS 1k-4,999 Predicted Monthly'!$T$10</f>
        <v>1142088.9328922699</v>
      </c>
      <c r="K101" s="18">
        <f ca="1">E101*'GS 1k-4,999 Predicted Monthly'!$T$11</f>
        <v>3861.1407505717921</v>
      </c>
      <c r="L101" s="18">
        <f>F101*'GS 1k-4,999 Predicted Monthly'!$T$12</f>
        <v>0</v>
      </c>
      <c r="M101" s="18">
        <f>G101*'GS 1k-4,999 Predicted Monthly'!$T$13</f>
        <v>2701576.7171526011</v>
      </c>
      <c r="N101" s="18">
        <f>H101*'GS 1k-4,999 Predicted Monthly'!$T$14</f>
        <v>3407455.1510788198</v>
      </c>
      <c r="O101" s="18">
        <f t="shared" ca="1" si="9"/>
        <v>7254981.9418742619</v>
      </c>
      <c r="Q101" s="18"/>
      <c r="R101" s="285"/>
    </row>
    <row r="102" spans="1:18" x14ac:dyDescent="0.25">
      <c r="A102" s="3">
        <f>'Monthly Data'!A102</f>
        <v>45047</v>
      </c>
      <c r="B102" s="1">
        <f t="shared" si="7"/>
        <v>2023</v>
      </c>
      <c r="C102" s="1">
        <f t="shared" si="8"/>
        <v>5</v>
      </c>
      <c r="D102" s="268">
        <f>'Monthly Data'!S102</f>
        <v>7200001.0531606339</v>
      </c>
      <c r="E102" s="278">
        <f t="shared" ca="1" si="11"/>
        <v>29.4520183982684</v>
      </c>
      <c r="F102" s="278">
        <f>'Monthly Data'!CG102</f>
        <v>0</v>
      </c>
      <c r="G102" s="278">
        <f>'Monthly Data'!AQ102</f>
        <v>220</v>
      </c>
      <c r="H102" s="278">
        <f>'Monthly Data'!CD102</f>
        <v>31</v>
      </c>
      <c r="J102" s="18">
        <f>'GS 1k-4,999 Predicted Monthly'!$T$10</f>
        <v>1142088.9328922699</v>
      </c>
      <c r="K102" s="18">
        <f ca="1">E102*'GS 1k-4,999 Predicted Monthly'!$T$11</f>
        <v>263440.2820636541</v>
      </c>
      <c r="L102" s="18">
        <f>F102*'GS 1k-4,999 Predicted Monthly'!$T$12</f>
        <v>0</v>
      </c>
      <c r="M102" s="18">
        <f>G102*'GS 1k-4,999 Predicted Monthly'!$T$13</f>
        <v>2654519.3290467723</v>
      </c>
      <c r="N102" s="18">
        <f>H102*'GS 1k-4,999 Predicted Monthly'!$T$14</f>
        <v>3521036.9894481138</v>
      </c>
      <c r="O102" s="18">
        <f t="shared" ca="1" si="9"/>
        <v>7581085.5334508102</v>
      </c>
      <c r="Q102" s="18"/>
      <c r="R102" s="285"/>
    </row>
    <row r="103" spans="1:18" x14ac:dyDescent="0.25">
      <c r="A103" s="3">
        <f>'Monthly Data'!A103</f>
        <v>45078</v>
      </c>
      <c r="B103" s="1">
        <f t="shared" si="7"/>
        <v>2023</v>
      </c>
      <c r="C103" s="1">
        <f t="shared" si="8"/>
        <v>6</v>
      </c>
      <c r="D103" s="268">
        <f>'Monthly Data'!S103</f>
        <v>7964036.4040014911</v>
      </c>
      <c r="E103" s="278">
        <f t="shared" ca="1" si="11"/>
        <v>86.311049595332207</v>
      </c>
      <c r="F103" s="278">
        <f>'Monthly Data'!CG103</f>
        <v>0</v>
      </c>
      <c r="G103" s="278">
        <f>'Monthly Data'!AQ103</f>
        <v>220.4</v>
      </c>
      <c r="H103" s="278">
        <f>'Monthly Data'!CD103</f>
        <v>30</v>
      </c>
      <c r="J103" s="18">
        <f>'GS 1k-4,999 Predicted Monthly'!$T$10</f>
        <v>1142088.9328922699</v>
      </c>
      <c r="K103" s="18">
        <f ca="1">E103*'GS 1k-4,999 Predicted Monthly'!$T$11</f>
        <v>772028.82814785955</v>
      </c>
      <c r="L103" s="18">
        <f>F103*'GS 1k-4,999 Predicted Monthly'!$T$12</f>
        <v>0</v>
      </c>
      <c r="M103" s="18">
        <f>G103*'GS 1k-4,999 Predicted Monthly'!$T$13</f>
        <v>2659345.727826857</v>
      </c>
      <c r="N103" s="18">
        <f>H103*'GS 1k-4,999 Predicted Monthly'!$T$14</f>
        <v>3407455.1510788198</v>
      </c>
      <c r="O103" s="18">
        <f t="shared" ca="1" si="9"/>
        <v>7980918.6399458069</v>
      </c>
      <c r="Q103" s="18"/>
      <c r="R103" s="285"/>
    </row>
    <row r="104" spans="1:18" x14ac:dyDescent="0.25">
      <c r="A104" s="3">
        <f>'Monthly Data'!A104</f>
        <v>45108</v>
      </c>
      <c r="B104" s="1">
        <f t="shared" si="7"/>
        <v>2023</v>
      </c>
      <c r="C104" s="1">
        <f t="shared" si="8"/>
        <v>7</v>
      </c>
      <c r="D104" s="268">
        <f>'Monthly Data'!S104</f>
        <v>8159842.6990073696</v>
      </c>
      <c r="E104" s="278">
        <f t="shared" ca="1" si="11"/>
        <v>174.0219619206118</v>
      </c>
      <c r="F104" s="278">
        <f>'Monthly Data'!CG104</f>
        <v>0</v>
      </c>
      <c r="G104" s="278">
        <f>'Monthly Data'!AQ104</f>
        <v>220.8</v>
      </c>
      <c r="H104" s="278">
        <f>'Monthly Data'!CD104</f>
        <v>31</v>
      </c>
      <c r="J104" s="18">
        <f>'GS 1k-4,999 Predicted Monthly'!$T$10</f>
        <v>1142088.9328922699</v>
      </c>
      <c r="K104" s="18">
        <f ca="1">E104*'GS 1k-4,999 Predicted Monthly'!$T$11</f>
        <v>1556579.0471029929</v>
      </c>
      <c r="L104" s="18">
        <f>F104*'GS 1k-4,999 Predicted Monthly'!$T$12</f>
        <v>0</v>
      </c>
      <c r="M104" s="18">
        <f>G104*'GS 1k-4,999 Predicted Monthly'!$T$13</f>
        <v>2664172.1266069422</v>
      </c>
      <c r="N104" s="18">
        <f>H104*'GS 1k-4,999 Predicted Monthly'!$T$14</f>
        <v>3521036.9894481138</v>
      </c>
      <c r="O104" s="18">
        <f t="shared" ca="1" si="9"/>
        <v>8883877.0960503183</v>
      </c>
      <c r="Q104" s="18"/>
      <c r="R104" s="285"/>
    </row>
    <row r="105" spans="1:18" x14ac:dyDescent="0.25">
      <c r="A105" s="3">
        <f>'Monthly Data'!A105</f>
        <v>45139</v>
      </c>
      <c r="B105" s="1">
        <f t="shared" si="7"/>
        <v>2023</v>
      </c>
      <c r="C105" s="1">
        <f t="shared" si="8"/>
        <v>8</v>
      </c>
      <c r="D105" s="268">
        <f>'Monthly Data'!S105</f>
        <v>8217677.1423773421</v>
      </c>
      <c r="E105" s="278">
        <f t="shared" ca="1" si="11"/>
        <v>149.7160046113307</v>
      </c>
      <c r="F105" s="278">
        <f>'Monthly Data'!CG105</f>
        <v>0</v>
      </c>
      <c r="G105" s="278">
        <f>'Monthly Data'!AQ105</f>
        <v>223.5</v>
      </c>
      <c r="H105" s="278">
        <f>'Monthly Data'!CD105</f>
        <v>31</v>
      </c>
      <c r="J105" s="18">
        <f>'GS 1k-4,999 Predicted Monthly'!$T$10</f>
        <v>1142088.9328922699</v>
      </c>
      <c r="K105" s="18">
        <f ca="1">E105*'GS 1k-4,999 Predicted Monthly'!$T$11</f>
        <v>1339168.8797318963</v>
      </c>
      <c r="L105" s="18">
        <f>F105*'GS 1k-4,999 Predicted Monthly'!$T$12</f>
        <v>0</v>
      </c>
      <c r="M105" s="18">
        <f>G105*'GS 1k-4,999 Predicted Monthly'!$T$13</f>
        <v>2696750.3183725164</v>
      </c>
      <c r="N105" s="18">
        <f>H105*'GS 1k-4,999 Predicted Monthly'!$T$14</f>
        <v>3521036.9894481138</v>
      </c>
      <c r="O105" s="18">
        <f t="shared" ca="1" si="9"/>
        <v>8699045.120444797</v>
      </c>
      <c r="Q105" s="18"/>
      <c r="R105" s="285"/>
    </row>
    <row r="106" spans="1:18" x14ac:dyDescent="0.25">
      <c r="A106" s="3">
        <f>'Monthly Data'!A106</f>
        <v>45170</v>
      </c>
      <c r="B106" s="1">
        <f t="shared" si="7"/>
        <v>2023</v>
      </c>
      <c r="C106" s="1">
        <f t="shared" si="8"/>
        <v>9</v>
      </c>
      <c r="D106" s="268">
        <f>'Monthly Data'!S106</f>
        <v>7999183.9303060388</v>
      </c>
      <c r="E106" s="278">
        <f t="shared" ca="1" si="11"/>
        <v>62.345178571428576</v>
      </c>
      <c r="F106" s="278">
        <f>'Monthly Data'!CG106</f>
        <v>0</v>
      </c>
      <c r="G106" s="278">
        <f>'Monthly Data'!AQ106</f>
        <v>223.9</v>
      </c>
      <c r="H106" s="278">
        <f>'Monthly Data'!CD106</f>
        <v>30</v>
      </c>
      <c r="J106" s="18">
        <f>'GS 1k-4,999 Predicted Monthly'!$T$10</f>
        <v>1142088.9328922699</v>
      </c>
      <c r="K106" s="18">
        <f ca="1">E106*'GS 1k-4,999 Predicted Monthly'!$T$11</f>
        <v>557660.63996251172</v>
      </c>
      <c r="L106" s="18">
        <f>F106*'GS 1k-4,999 Predicted Monthly'!$T$12</f>
        <v>0</v>
      </c>
      <c r="M106" s="18">
        <f>G106*'GS 1k-4,999 Predicted Monthly'!$T$13</f>
        <v>2701576.7171526011</v>
      </c>
      <c r="N106" s="18">
        <f>H106*'GS 1k-4,999 Predicted Monthly'!$T$14</f>
        <v>3407455.1510788198</v>
      </c>
      <c r="O106" s="18">
        <f t="shared" ca="1" si="9"/>
        <v>7808781.4410862029</v>
      </c>
      <c r="Q106" s="18"/>
      <c r="R106" s="285"/>
    </row>
    <row r="107" spans="1:18" x14ac:dyDescent="0.25">
      <c r="A107" s="3">
        <f>'Monthly Data'!A107</f>
        <v>45200</v>
      </c>
      <c r="B107" s="1">
        <f t="shared" si="7"/>
        <v>2023</v>
      </c>
      <c r="C107" s="1">
        <f t="shared" si="8"/>
        <v>10</v>
      </c>
      <c r="D107" s="268">
        <f>'Monthly Data'!S107</f>
        <v>6717018.2480125464</v>
      </c>
      <c r="E107" s="278">
        <f t="shared" ca="1" si="11"/>
        <v>7.1541666666666703</v>
      </c>
      <c r="F107" s="278">
        <f>'Monthly Data'!CG107</f>
        <v>0</v>
      </c>
      <c r="G107" s="278">
        <f>'Monthly Data'!AQ107</f>
        <v>223.1</v>
      </c>
      <c r="H107" s="278">
        <f>'Monthly Data'!CD107</f>
        <v>31</v>
      </c>
      <c r="J107" s="18">
        <f>'GS 1k-4,999 Predicted Monthly'!$T$10</f>
        <v>1142088.9328922699</v>
      </c>
      <c r="K107" s="18">
        <f ca="1">E107*'GS 1k-4,999 Predicted Monthly'!$T$11</f>
        <v>63992.072092005357</v>
      </c>
      <c r="L107" s="18">
        <f>F107*'GS 1k-4,999 Predicted Monthly'!$T$12</f>
        <v>0</v>
      </c>
      <c r="M107" s="18">
        <f>G107*'GS 1k-4,999 Predicted Monthly'!$T$13</f>
        <v>2691923.9195924313</v>
      </c>
      <c r="N107" s="18">
        <f>H107*'GS 1k-4,999 Predicted Monthly'!$T$14</f>
        <v>3521036.9894481138</v>
      </c>
      <c r="O107" s="18">
        <f t="shared" ca="1" si="9"/>
        <v>7419041.9140248206</v>
      </c>
      <c r="Q107" s="18"/>
      <c r="R107" s="285"/>
    </row>
    <row r="108" spans="1:18" x14ac:dyDescent="0.25">
      <c r="A108" s="3">
        <f>'Monthly Data'!A108</f>
        <v>45231</v>
      </c>
      <c r="B108" s="1">
        <f t="shared" si="7"/>
        <v>2023</v>
      </c>
      <c r="C108" s="1">
        <f t="shared" si="8"/>
        <v>11</v>
      </c>
      <c r="D108" s="268">
        <f>'Monthly Data'!S108</f>
        <v>7539474.7935202802</v>
      </c>
      <c r="E108" s="278">
        <f t="shared" ca="1" si="11"/>
        <v>0.15041666666666628</v>
      </c>
      <c r="F108" s="278">
        <f>'Monthly Data'!CG108</f>
        <v>0</v>
      </c>
      <c r="G108" s="278">
        <f>'Monthly Data'!AQ108</f>
        <v>224.9</v>
      </c>
      <c r="H108" s="278">
        <f>'Monthly Data'!CD108</f>
        <v>30</v>
      </c>
      <c r="J108" s="18">
        <f>'GS 1k-4,999 Predicted Monthly'!$T$10</f>
        <v>1142088.9328922699</v>
      </c>
      <c r="K108" s="18">
        <f ca="1">E108*'GS 1k-4,999 Predicted Monthly'!$T$11</f>
        <v>1345.4361109617857</v>
      </c>
      <c r="L108" s="18">
        <f>F108*'GS 1k-4,999 Predicted Monthly'!$T$12</f>
        <v>0</v>
      </c>
      <c r="M108" s="18">
        <f>G108*'GS 1k-4,999 Predicted Monthly'!$T$13</f>
        <v>2713642.714102814</v>
      </c>
      <c r="N108" s="18">
        <f>H108*'GS 1k-4,999 Predicted Monthly'!$T$14</f>
        <v>3407455.1510788198</v>
      </c>
      <c r="O108" s="18">
        <f t="shared" ca="1" si="9"/>
        <v>7264532.2341848649</v>
      </c>
      <c r="Q108" s="18"/>
      <c r="R108" s="285"/>
    </row>
    <row r="109" spans="1:18" x14ac:dyDescent="0.25">
      <c r="A109" s="3">
        <f>'Monthly Data'!A109</f>
        <v>45261</v>
      </c>
      <c r="B109" s="1">
        <f t="shared" si="7"/>
        <v>2023</v>
      </c>
      <c r="C109" s="1">
        <f t="shared" si="8"/>
        <v>12</v>
      </c>
      <c r="D109" s="268">
        <f>'Monthly Data'!S109</f>
        <v>6870511.9660611674</v>
      </c>
      <c r="E109" s="278">
        <f t="shared" ca="1" si="11"/>
        <v>0</v>
      </c>
      <c r="F109" s="278">
        <f>'Monthly Data'!CG109</f>
        <v>0</v>
      </c>
      <c r="G109" s="278">
        <f>'Monthly Data'!AQ109</f>
        <v>226.3</v>
      </c>
      <c r="H109" s="278">
        <f>'Monthly Data'!CD109</f>
        <v>31</v>
      </c>
      <c r="J109" s="18">
        <f>'GS 1k-4,999 Predicted Monthly'!$T$10</f>
        <v>1142088.9328922699</v>
      </c>
      <c r="K109" s="18">
        <f ca="1">E109*'GS 1k-4,999 Predicted Monthly'!$T$11</f>
        <v>0</v>
      </c>
      <c r="L109" s="18">
        <f>F109*'GS 1k-4,999 Predicted Monthly'!$T$12</f>
        <v>0</v>
      </c>
      <c r="M109" s="18">
        <f>G109*'GS 1k-4,999 Predicted Monthly'!$T$13</f>
        <v>2730535.1098331115</v>
      </c>
      <c r="N109" s="18">
        <f>H109*'GS 1k-4,999 Predicted Monthly'!$T$14</f>
        <v>3521036.9894481138</v>
      </c>
      <c r="O109" s="18">
        <f t="shared" ca="1" si="9"/>
        <v>7393661.0321734957</v>
      </c>
      <c r="P109" s="268"/>
      <c r="Q109" s="18"/>
      <c r="R109" s="285"/>
    </row>
    <row r="110" spans="1:18" x14ac:dyDescent="0.25">
      <c r="A110" s="3">
        <f>'Monthly Data'!A110</f>
        <v>45292</v>
      </c>
      <c r="B110" s="1">
        <f t="shared" si="7"/>
        <v>2024</v>
      </c>
      <c r="C110" s="1">
        <f t="shared" si="8"/>
        <v>1</v>
      </c>
      <c r="D110" s="268">
        <f>'Monthly Data'!S110</f>
        <v>7590328.9312978219</v>
      </c>
      <c r="E110" s="278">
        <f t="shared" ca="1" si="11"/>
        <v>0</v>
      </c>
      <c r="F110" s="278">
        <f>'Monthly Data'!CG110</f>
        <v>0</v>
      </c>
      <c r="G110" s="278">
        <f>'Monthly Data'!AQ110</f>
        <v>228.3</v>
      </c>
      <c r="H110" s="278">
        <f>'Monthly Data'!CD110</f>
        <v>31</v>
      </c>
      <c r="J110" s="18">
        <f>'GS 1k-4,999 Predicted Monthly'!$T$10</f>
        <v>1142088.9328922699</v>
      </c>
      <c r="K110" s="18">
        <f ca="1">E110*'GS 1k-4,999 Predicted Monthly'!$T$11</f>
        <v>0</v>
      </c>
      <c r="L110" s="18">
        <f>F110*'GS 1k-4,999 Predicted Monthly'!$T$12</f>
        <v>0</v>
      </c>
      <c r="M110" s="18">
        <f>G110*'GS 1k-4,999 Predicted Monthly'!$T$13</f>
        <v>2754667.1037335368</v>
      </c>
      <c r="N110" s="18">
        <f>H110*'GS 1k-4,999 Predicted Monthly'!$T$14</f>
        <v>3521036.9894481138</v>
      </c>
      <c r="O110" s="18">
        <f t="shared" ca="1" si="9"/>
        <v>7417793.0260739205</v>
      </c>
      <c r="P110" s="268"/>
      <c r="Q110" s="18"/>
      <c r="R110" s="285"/>
    </row>
    <row r="111" spans="1:18" x14ac:dyDescent="0.25">
      <c r="A111" s="3">
        <f>'Monthly Data'!A111</f>
        <v>45323</v>
      </c>
      <c r="B111" s="1">
        <f t="shared" si="7"/>
        <v>2024</v>
      </c>
      <c r="C111" s="1">
        <f t="shared" si="8"/>
        <v>2</v>
      </c>
      <c r="D111" s="268">
        <f>'Monthly Data'!S111</f>
        <v>6811755.0200896021</v>
      </c>
      <c r="E111" s="278">
        <f t="shared" ref="E111:F126" ca="1" si="12">E99</f>
        <v>0</v>
      </c>
      <c r="F111" s="278">
        <f>'Monthly Data'!CG111</f>
        <v>0</v>
      </c>
      <c r="G111" s="278">
        <f>'Monthly Data'!AQ111</f>
        <v>229.4</v>
      </c>
      <c r="H111" s="278">
        <f>'Monthly Data'!CD111</f>
        <v>29</v>
      </c>
      <c r="J111" s="18">
        <f>'GS 1k-4,999 Predicted Monthly'!$T$10</f>
        <v>1142088.9328922699</v>
      </c>
      <c r="K111" s="18">
        <f ca="1">E111*'GS 1k-4,999 Predicted Monthly'!$T$11</f>
        <v>0</v>
      </c>
      <c r="L111" s="18">
        <f>F111*'GS 1k-4,999 Predicted Monthly'!$T$12</f>
        <v>0</v>
      </c>
      <c r="M111" s="18">
        <f>G111*'GS 1k-4,999 Predicted Monthly'!$T$13</f>
        <v>2767939.7003787705</v>
      </c>
      <c r="N111" s="18">
        <f>H111*'GS 1k-4,999 Predicted Monthly'!$T$14</f>
        <v>3293873.3127095257</v>
      </c>
      <c r="O111" s="18">
        <f t="shared" ca="1" si="9"/>
        <v>7203901.9459805656</v>
      </c>
      <c r="P111" s="268"/>
      <c r="Q111" s="18"/>
      <c r="R111" s="285"/>
    </row>
    <row r="112" spans="1:18" x14ac:dyDescent="0.25">
      <c r="A112" s="3">
        <f>'Monthly Data'!A112</f>
        <v>45352</v>
      </c>
      <c r="B112" s="1">
        <f t="shared" si="7"/>
        <v>2024</v>
      </c>
      <c r="C112" s="1">
        <f t="shared" si="8"/>
        <v>3</v>
      </c>
      <c r="D112" s="268">
        <f>'Monthly Data'!S112</f>
        <v>7114173.1088813813</v>
      </c>
      <c r="E112" s="278">
        <f t="shared" ca="1" si="12"/>
        <v>0</v>
      </c>
      <c r="F112" s="278">
        <f>'Monthly Data'!CG112</f>
        <v>0</v>
      </c>
      <c r="G112" s="278">
        <f>'Monthly Data'!AQ112</f>
        <v>230.9</v>
      </c>
      <c r="H112" s="278">
        <f>'Monthly Data'!CD112</f>
        <v>31</v>
      </c>
      <c r="J112" s="18">
        <f>'GS 1k-4,999 Predicted Monthly'!$T$10</f>
        <v>1142088.9328922699</v>
      </c>
      <c r="K112" s="18">
        <f ca="1">E112*'GS 1k-4,999 Predicted Monthly'!$T$11</f>
        <v>0</v>
      </c>
      <c r="L112" s="18">
        <f>F112*'GS 1k-4,999 Predicted Monthly'!$T$12</f>
        <v>0</v>
      </c>
      <c r="M112" s="18">
        <f>G112*'GS 1k-4,999 Predicted Monthly'!$T$13</f>
        <v>2786038.6958040893</v>
      </c>
      <c r="N112" s="18">
        <f>H112*'GS 1k-4,999 Predicted Monthly'!$T$14</f>
        <v>3521036.9894481138</v>
      </c>
      <c r="O112" s="18">
        <f t="shared" ca="1" si="9"/>
        <v>7449164.6181444731</v>
      </c>
      <c r="P112" s="268"/>
    </row>
    <row r="113" spans="1:17" x14ac:dyDescent="0.25">
      <c r="A113" s="3">
        <f>'Monthly Data'!A113</f>
        <v>45383</v>
      </c>
      <c r="B113" s="1">
        <f t="shared" si="7"/>
        <v>2024</v>
      </c>
      <c r="C113" s="1">
        <f t="shared" si="8"/>
        <v>4</v>
      </c>
      <c r="D113" s="268">
        <f>'Monthly Data'!S113</f>
        <v>7473751.1976731606</v>
      </c>
      <c r="E113" s="278">
        <f t="shared" ca="1" si="12"/>
        <v>0.4316666666666677</v>
      </c>
      <c r="F113" s="278">
        <f>'Monthly Data'!CG113</f>
        <v>0</v>
      </c>
      <c r="G113" s="278">
        <f>'Monthly Data'!AQ113</f>
        <v>233.1</v>
      </c>
      <c r="H113" s="278">
        <f>'Monthly Data'!CD113</f>
        <v>30</v>
      </c>
      <c r="J113" s="18">
        <f>'GS 1k-4,999 Predicted Monthly'!$T$10</f>
        <v>1142088.9328922699</v>
      </c>
      <c r="K113" s="18">
        <f ca="1">E113*'GS 1k-4,999 Predicted Monthly'!$T$11</f>
        <v>3861.1407505717921</v>
      </c>
      <c r="L113" s="18">
        <f>F113*'GS 1k-4,999 Predicted Monthly'!$T$12</f>
        <v>0</v>
      </c>
      <c r="M113" s="18">
        <f>G113*'GS 1k-4,999 Predicted Monthly'!$T$13</f>
        <v>2812583.8890945571</v>
      </c>
      <c r="N113" s="18">
        <f>H113*'GS 1k-4,999 Predicted Monthly'!$T$14</f>
        <v>3407455.1510788198</v>
      </c>
      <c r="O113" s="18">
        <f t="shared" ca="1" si="9"/>
        <v>7365989.1138162185</v>
      </c>
      <c r="P113" s="268"/>
      <c r="Q113" s="18"/>
    </row>
    <row r="114" spans="1:17" x14ac:dyDescent="0.25">
      <c r="A114" s="3">
        <f>'Monthly Data'!A114</f>
        <v>45413</v>
      </c>
      <c r="B114" s="1">
        <f t="shared" si="7"/>
        <v>2024</v>
      </c>
      <c r="C114" s="1">
        <f t="shared" si="8"/>
        <v>5</v>
      </c>
      <c r="D114" s="268">
        <f>'Monthly Data'!S114</f>
        <v>7987544.2864649398</v>
      </c>
      <c r="E114" s="278">
        <f t="shared" ca="1" si="12"/>
        <v>29.4520183982684</v>
      </c>
      <c r="F114" s="278">
        <f>'Monthly Data'!CG114</f>
        <v>0</v>
      </c>
      <c r="G114" s="278">
        <f>'Monthly Data'!AQ114</f>
        <v>232.8</v>
      </c>
      <c r="H114" s="278">
        <f>'Monthly Data'!CD114</f>
        <v>31</v>
      </c>
      <c r="J114" s="18">
        <f>'GS 1k-4,999 Predicted Monthly'!$T$10</f>
        <v>1142088.9328922699</v>
      </c>
      <c r="K114" s="18">
        <f ca="1">E114*'GS 1k-4,999 Predicted Monthly'!$T$11</f>
        <v>263440.2820636541</v>
      </c>
      <c r="L114" s="18">
        <f>F114*'GS 1k-4,999 Predicted Monthly'!$T$12</f>
        <v>0</v>
      </c>
      <c r="M114" s="18">
        <f>G114*'GS 1k-4,999 Predicted Monthly'!$T$13</f>
        <v>2808964.0900094938</v>
      </c>
      <c r="N114" s="18">
        <f>H114*'GS 1k-4,999 Predicted Monthly'!$T$14</f>
        <v>3521036.9894481138</v>
      </c>
      <c r="O114" s="18">
        <f t="shared" ca="1" si="9"/>
        <v>7735530.2944135312</v>
      </c>
      <c r="P114" s="268"/>
      <c r="Q114" s="18"/>
    </row>
    <row r="115" spans="1:17" x14ac:dyDescent="0.25">
      <c r="A115" s="3">
        <f>'Monthly Data'!A115</f>
        <v>45444</v>
      </c>
      <c r="B115" s="1">
        <f t="shared" si="7"/>
        <v>2024</v>
      </c>
      <c r="C115" s="1">
        <f t="shared" si="8"/>
        <v>6</v>
      </c>
      <c r="D115" s="268">
        <f>'Monthly Data'!S115</f>
        <v>8767993.3752567191</v>
      </c>
      <c r="E115" s="278">
        <f t="shared" ca="1" si="12"/>
        <v>86.311049595332207</v>
      </c>
      <c r="F115" s="278">
        <f>'Monthly Data'!CG115</f>
        <v>0</v>
      </c>
      <c r="G115" s="278">
        <f>'Monthly Data'!AQ115</f>
        <v>230.6</v>
      </c>
      <c r="H115" s="278">
        <f>'Monthly Data'!CD115</f>
        <v>30</v>
      </c>
      <c r="J115" s="18">
        <f>'GS 1k-4,999 Predicted Monthly'!$T$10</f>
        <v>1142088.9328922699</v>
      </c>
      <c r="K115" s="18">
        <f ca="1">E115*'GS 1k-4,999 Predicted Monthly'!$T$11</f>
        <v>772028.82814785955</v>
      </c>
      <c r="L115" s="18">
        <f>F115*'GS 1k-4,999 Predicted Monthly'!$T$12</f>
        <v>0</v>
      </c>
      <c r="M115" s="18">
        <f>G115*'GS 1k-4,999 Predicted Monthly'!$T$13</f>
        <v>2782418.8967190254</v>
      </c>
      <c r="N115" s="18">
        <f>H115*'GS 1k-4,999 Predicted Monthly'!$T$14</f>
        <v>3407455.1510788198</v>
      </c>
      <c r="O115" s="18">
        <f t="shared" ca="1" si="9"/>
        <v>8103991.8088379744</v>
      </c>
      <c r="P115" s="268"/>
      <c r="Q115" s="18"/>
    </row>
    <row r="116" spans="1:17" x14ac:dyDescent="0.25">
      <c r="A116" s="3">
        <v>45474</v>
      </c>
      <c r="B116" s="1">
        <f t="shared" si="7"/>
        <v>2024</v>
      </c>
      <c r="C116" s="1">
        <f t="shared" si="8"/>
        <v>7</v>
      </c>
      <c r="D116" s="268">
        <f>'Monthly Data'!S116</f>
        <v>9613834.4640484992</v>
      </c>
      <c r="E116" s="278">
        <f t="shared" ca="1" si="12"/>
        <v>174.0219619206118</v>
      </c>
      <c r="F116" s="278">
        <f>'Monthly Data'!CG116</f>
        <v>0</v>
      </c>
      <c r="G116" s="278">
        <f>'Monthly Data'!AQ116</f>
        <v>227.5</v>
      </c>
      <c r="H116" s="278">
        <f>'Monthly Data'!CD116</f>
        <v>31</v>
      </c>
      <c r="J116" s="18">
        <f>'GS 1k-4,999 Predicted Monthly'!$T$10</f>
        <v>1142088.9328922699</v>
      </c>
      <c r="K116" s="18">
        <f ca="1">E116*'GS 1k-4,999 Predicted Monthly'!$T$11</f>
        <v>1556579.0471029929</v>
      </c>
      <c r="L116" s="18">
        <f>F116*'GS 1k-4,999 Predicted Monthly'!$T$12</f>
        <v>0</v>
      </c>
      <c r="M116" s="18">
        <f>G116*'GS 1k-4,999 Predicted Monthly'!$T$13</f>
        <v>2745014.3061733665</v>
      </c>
      <c r="N116" s="18">
        <f>H116*'GS 1k-4,999 Predicted Monthly'!$T$14</f>
        <v>3521036.9894481138</v>
      </c>
      <c r="O116" s="18">
        <f t="shared" ca="1" si="9"/>
        <v>8964719.2756167427</v>
      </c>
      <c r="P116" s="268"/>
      <c r="Q116" s="18"/>
    </row>
    <row r="117" spans="1:17" x14ac:dyDescent="0.25">
      <c r="A117" s="3">
        <v>45505</v>
      </c>
      <c r="B117" s="1">
        <f t="shared" si="7"/>
        <v>2024</v>
      </c>
      <c r="C117" s="1">
        <f t="shared" si="8"/>
        <v>8</v>
      </c>
      <c r="D117" s="268">
        <f>'Monthly Data'!S117</f>
        <v>9361267.5528402776</v>
      </c>
      <c r="E117" s="278">
        <f t="shared" ca="1" si="12"/>
        <v>149.7160046113307</v>
      </c>
      <c r="F117" s="278">
        <f>'Monthly Data'!CG117</f>
        <v>0</v>
      </c>
      <c r="G117" s="278">
        <f>'Monthly Data'!AQ117</f>
        <v>225.1</v>
      </c>
      <c r="H117" s="278">
        <f>'Monthly Data'!CD117</f>
        <v>31</v>
      </c>
      <c r="J117" s="18">
        <f>'GS 1k-4,999 Predicted Monthly'!$T$10</f>
        <v>1142088.9328922699</v>
      </c>
      <c r="K117" s="18">
        <f ca="1">E117*'GS 1k-4,999 Predicted Monthly'!$T$11</f>
        <v>1339168.8797318963</v>
      </c>
      <c r="L117" s="18">
        <f>F117*'GS 1k-4,999 Predicted Monthly'!$T$12</f>
        <v>0</v>
      </c>
      <c r="M117" s="18">
        <f>G117*'GS 1k-4,999 Predicted Monthly'!$T$13</f>
        <v>2716055.9134928561</v>
      </c>
      <c r="N117" s="18">
        <f>H117*'GS 1k-4,999 Predicted Monthly'!$T$14</f>
        <v>3521036.9894481138</v>
      </c>
      <c r="O117" s="18">
        <f t="shared" ca="1" si="9"/>
        <v>8718350.7155651357</v>
      </c>
      <c r="Q117" s="18"/>
    </row>
    <row r="118" spans="1:17" x14ac:dyDescent="0.25">
      <c r="A118" s="3">
        <v>45536</v>
      </c>
      <c r="B118" s="1">
        <f t="shared" si="7"/>
        <v>2024</v>
      </c>
      <c r="C118" s="1">
        <f t="shared" si="8"/>
        <v>9</v>
      </c>
      <c r="D118" s="268">
        <f>'Monthly Data'!S118</f>
        <v>8188581.6416320577</v>
      </c>
      <c r="E118" s="278">
        <f t="shared" ca="1" si="12"/>
        <v>62.345178571428576</v>
      </c>
      <c r="F118" s="278">
        <f>'Monthly Data'!CG118</f>
        <v>0</v>
      </c>
      <c r="G118" s="278">
        <f>'Monthly Data'!AQ118</f>
        <v>226.9</v>
      </c>
      <c r="H118" s="278">
        <f>'Monthly Data'!CD118</f>
        <v>30</v>
      </c>
      <c r="J118" s="18">
        <f>'GS 1k-4,999 Predicted Monthly'!$T$10</f>
        <v>1142088.9328922699</v>
      </c>
      <c r="K118" s="18">
        <f ca="1">E118*'GS 1k-4,999 Predicted Monthly'!$T$11</f>
        <v>557660.63996251172</v>
      </c>
      <c r="L118" s="18">
        <f>F118*'GS 1k-4,999 Predicted Monthly'!$T$12</f>
        <v>0</v>
      </c>
      <c r="M118" s="18">
        <f>G118*'GS 1k-4,999 Predicted Monthly'!$T$13</f>
        <v>2737774.7080032392</v>
      </c>
      <c r="N118" s="18">
        <f>H118*'GS 1k-4,999 Predicted Monthly'!$T$14</f>
        <v>3407455.1510788198</v>
      </c>
      <c r="O118" s="18">
        <f t="shared" ca="1" si="9"/>
        <v>7844979.4319368415</v>
      </c>
      <c r="Q118" s="18"/>
    </row>
    <row r="119" spans="1:17" x14ac:dyDescent="0.25">
      <c r="A119" s="3">
        <v>45566</v>
      </c>
      <c r="B119" s="1">
        <f t="shared" si="7"/>
        <v>2024</v>
      </c>
      <c r="C119" s="1">
        <f t="shared" si="8"/>
        <v>10</v>
      </c>
      <c r="D119" s="268">
        <f>'Monthly Data'!S119</f>
        <v>7540474.730423837</v>
      </c>
      <c r="E119" s="278">
        <f t="shared" ca="1" si="12"/>
        <v>7.1541666666666703</v>
      </c>
      <c r="F119" s="278">
        <f>'Monthly Data'!CG119</f>
        <v>0</v>
      </c>
      <c r="G119" s="278">
        <f>'Monthly Data'!AQ119</f>
        <v>228.7</v>
      </c>
      <c r="H119" s="278">
        <f>'Monthly Data'!CD119</f>
        <v>31</v>
      </c>
      <c r="J119" s="18">
        <f>'GS 1k-4,999 Predicted Monthly'!$T$10</f>
        <v>1142088.9328922699</v>
      </c>
      <c r="K119" s="18">
        <f ca="1">E119*'GS 1k-4,999 Predicted Monthly'!$T$11</f>
        <v>63992.072092005357</v>
      </c>
      <c r="L119" s="18">
        <f>F119*'GS 1k-4,999 Predicted Monthly'!$T$12</f>
        <v>0</v>
      </c>
      <c r="M119" s="18">
        <f>G119*'GS 1k-4,999 Predicted Monthly'!$T$13</f>
        <v>2759493.5025136215</v>
      </c>
      <c r="N119" s="18">
        <f>H119*'GS 1k-4,999 Predicted Monthly'!$T$14</f>
        <v>3521036.9894481138</v>
      </c>
      <c r="O119" s="18">
        <f t="shared" ca="1" si="9"/>
        <v>7486611.4969460107</v>
      </c>
      <c r="Q119" s="18"/>
    </row>
    <row r="120" spans="1:17" x14ac:dyDescent="0.25">
      <c r="A120" s="3">
        <v>45597</v>
      </c>
      <c r="B120" s="1">
        <f t="shared" si="7"/>
        <v>2024</v>
      </c>
      <c r="C120" s="1">
        <f t="shared" si="8"/>
        <v>11</v>
      </c>
      <c r="D120" s="268">
        <f>'Monthly Data'!S120</f>
        <v>7124288.8192156162</v>
      </c>
      <c r="E120" s="278">
        <f t="shared" ca="1" si="12"/>
        <v>0.15041666666666628</v>
      </c>
      <c r="F120" s="278">
        <f>'Monthly Data'!CG120</f>
        <v>0</v>
      </c>
      <c r="G120" s="278">
        <f>'Monthly Data'!AQ120</f>
        <v>228.7</v>
      </c>
      <c r="H120" s="278">
        <f>'Monthly Data'!CD120</f>
        <v>30</v>
      </c>
      <c r="J120" s="18">
        <f>'GS 1k-4,999 Predicted Monthly'!$T$10</f>
        <v>1142088.9328922699</v>
      </c>
      <c r="K120" s="18">
        <f ca="1">E120*'GS 1k-4,999 Predicted Monthly'!$T$11</f>
        <v>1345.4361109617857</v>
      </c>
      <c r="L120" s="18">
        <f>F120*'GS 1k-4,999 Predicted Monthly'!$T$12</f>
        <v>0</v>
      </c>
      <c r="M120" s="18">
        <f>G120*'GS 1k-4,999 Predicted Monthly'!$T$13</f>
        <v>2759493.5025136215</v>
      </c>
      <c r="N120" s="18">
        <f>H120*'GS 1k-4,999 Predicted Monthly'!$T$14</f>
        <v>3407455.1510788198</v>
      </c>
      <c r="O120" s="18">
        <f t="shared" ca="1" si="9"/>
        <v>7310383.0225956729</v>
      </c>
      <c r="Q120" s="18"/>
    </row>
    <row r="121" spans="1:17" x14ac:dyDescent="0.25">
      <c r="A121" s="3">
        <v>45627</v>
      </c>
      <c r="B121" s="1">
        <f t="shared" si="7"/>
        <v>2024</v>
      </c>
      <c r="C121" s="1">
        <f t="shared" si="8"/>
        <v>12</v>
      </c>
      <c r="D121" s="268">
        <f>'Monthly Data'!S121</f>
        <v>7546802.9080073964</v>
      </c>
      <c r="E121" s="278">
        <f t="shared" ca="1" si="12"/>
        <v>0</v>
      </c>
      <c r="F121" s="278">
        <f>'Monthly Data'!CG121</f>
        <v>0</v>
      </c>
      <c r="G121" s="278">
        <f>'Monthly Data'!AQ121</f>
        <v>227</v>
      </c>
      <c r="H121" s="278">
        <f>'Monthly Data'!CD121</f>
        <v>31</v>
      </c>
      <c r="J121" s="18">
        <f>'GS 1k-4,999 Predicted Monthly'!$T$10</f>
        <v>1142088.9328922699</v>
      </c>
      <c r="K121" s="18">
        <f ca="1">E121*'GS 1k-4,999 Predicted Monthly'!$T$11</f>
        <v>0</v>
      </c>
      <c r="L121" s="18">
        <f>F121*'GS 1k-4,999 Predicted Monthly'!$T$12</f>
        <v>0</v>
      </c>
      <c r="M121" s="18">
        <f>G121*'GS 1k-4,999 Predicted Monthly'!$T$13</f>
        <v>2738981.3076982605</v>
      </c>
      <c r="N121" s="18">
        <f>H121*'GS 1k-4,999 Predicted Monthly'!$T$14</f>
        <v>3521036.9894481138</v>
      </c>
      <c r="O121" s="18">
        <f t="shared" ca="1" si="9"/>
        <v>7402107.2300386447</v>
      </c>
      <c r="Q121" s="18"/>
    </row>
    <row r="122" spans="1:17" x14ac:dyDescent="0.25">
      <c r="A122" s="3">
        <v>45658</v>
      </c>
      <c r="B122" s="1">
        <f t="shared" si="7"/>
        <v>2025</v>
      </c>
      <c r="C122" s="1">
        <f t="shared" si="8"/>
        <v>1</v>
      </c>
      <c r="D122" s="268"/>
      <c r="E122" s="278">
        <f t="shared" ca="1" si="12"/>
        <v>0</v>
      </c>
      <c r="F122" s="278">
        <f t="shared" si="12"/>
        <v>0</v>
      </c>
      <c r="G122" s="278">
        <f>Economic!F124</f>
        <v>232.12402500000002</v>
      </c>
      <c r="H122" s="278">
        <f>H74</f>
        <v>31</v>
      </c>
      <c r="J122" s="18">
        <f>'GS 1k-4,999 Predicted Monthly'!$T$10</f>
        <v>1142088.9328922699</v>
      </c>
      <c r="K122" s="18">
        <f ca="1">E122*'GS 1k-4,999 Predicted Monthly'!$T$11</f>
        <v>0</v>
      </c>
      <c r="L122" s="18">
        <f>F122*'GS 1k-4,999 Predicted Monthly'!$T$12</f>
        <v>0</v>
      </c>
      <c r="M122" s="18">
        <f>G122*'GS 1k-4,999 Predicted Monthly'!$T$13</f>
        <v>2800807.7777210735</v>
      </c>
      <c r="N122" s="18">
        <f>H122*'GS 1k-4,999 Predicted Monthly'!$T$14</f>
        <v>3521036.9894481138</v>
      </c>
      <c r="O122" s="18">
        <f t="shared" ca="1" si="9"/>
        <v>7463933.7000614572</v>
      </c>
      <c r="Q122" s="18"/>
    </row>
    <row r="123" spans="1:17" x14ac:dyDescent="0.25">
      <c r="A123" s="3">
        <v>45689</v>
      </c>
      <c r="B123" s="1">
        <f t="shared" si="7"/>
        <v>2025</v>
      </c>
      <c r="C123" s="1">
        <f t="shared" si="8"/>
        <v>2</v>
      </c>
      <c r="D123" s="268"/>
      <c r="E123" s="278">
        <f t="shared" ca="1" si="12"/>
        <v>0</v>
      </c>
      <c r="F123" s="278">
        <f t="shared" si="12"/>
        <v>0</v>
      </c>
      <c r="G123" s="278">
        <f>Economic!F125</f>
        <v>233.24245000000002</v>
      </c>
      <c r="H123" s="278">
        <f t="shared" ref="H123:H145" si="13">H75</f>
        <v>28</v>
      </c>
      <c r="J123" s="18">
        <f>'GS 1k-4,999 Predicted Monthly'!$T$10</f>
        <v>1142088.9328922699</v>
      </c>
      <c r="K123" s="18">
        <f ca="1">E123*'GS 1k-4,999 Predicted Monthly'!$T$11</f>
        <v>0</v>
      </c>
      <c r="L123" s="18">
        <f>F123*'GS 1k-4,999 Predicted Monthly'!$T$12</f>
        <v>0</v>
      </c>
      <c r="M123" s="18">
        <f>G123*'GS 1k-4,999 Predicted Monthly'!$T$13</f>
        <v>2814302.6903601154</v>
      </c>
      <c r="N123" s="18">
        <f>H123*'GS 1k-4,999 Predicted Monthly'!$T$14</f>
        <v>3180291.4743402321</v>
      </c>
      <c r="O123" s="18">
        <f t="shared" ca="1" si="9"/>
        <v>7136683.0975926174</v>
      </c>
      <c r="Q123" s="18"/>
    </row>
    <row r="124" spans="1:17" x14ac:dyDescent="0.25">
      <c r="A124" s="3">
        <v>45717</v>
      </c>
      <c r="B124" s="1">
        <f t="shared" si="7"/>
        <v>2025</v>
      </c>
      <c r="C124" s="1">
        <f t="shared" si="8"/>
        <v>3</v>
      </c>
      <c r="D124" s="268"/>
      <c r="E124" s="278">
        <f t="shared" ca="1" si="12"/>
        <v>0</v>
      </c>
      <c r="F124" s="278">
        <f t="shared" si="12"/>
        <v>0</v>
      </c>
      <c r="G124" s="278">
        <f>Economic!F126</f>
        <v>234.76757500000002</v>
      </c>
      <c r="H124" s="278">
        <f t="shared" si="13"/>
        <v>31</v>
      </c>
      <c r="J124" s="18">
        <f>'GS 1k-4,999 Predicted Monthly'!$T$10</f>
        <v>1142088.9328922699</v>
      </c>
      <c r="K124" s="18">
        <f ca="1">E124*'GS 1k-4,999 Predicted Monthly'!$T$11</f>
        <v>0</v>
      </c>
      <c r="L124" s="18">
        <f>F124*'GS 1k-4,999 Predicted Monthly'!$T$12</f>
        <v>0</v>
      </c>
      <c r="M124" s="18">
        <f>G124*'GS 1k-4,999 Predicted Monthly'!$T$13</f>
        <v>2832704.8439588081</v>
      </c>
      <c r="N124" s="18">
        <f>H124*'GS 1k-4,999 Predicted Monthly'!$T$14</f>
        <v>3521036.9894481138</v>
      </c>
      <c r="O124" s="18">
        <f t="shared" ca="1" si="9"/>
        <v>7495830.7662991919</v>
      </c>
      <c r="Q124" s="18"/>
    </row>
    <row r="125" spans="1:17" x14ac:dyDescent="0.25">
      <c r="A125" s="3">
        <v>45748</v>
      </c>
      <c r="B125" s="1">
        <f t="shared" si="7"/>
        <v>2025</v>
      </c>
      <c r="C125" s="1">
        <f t="shared" si="8"/>
        <v>4</v>
      </c>
      <c r="D125" s="268"/>
      <c r="E125" s="278">
        <f t="shared" ca="1" si="12"/>
        <v>0.4316666666666677</v>
      </c>
      <c r="F125" s="278">
        <f t="shared" si="12"/>
        <v>0</v>
      </c>
      <c r="G125" s="278">
        <f>Economic!F127</f>
        <v>237.004425</v>
      </c>
      <c r="H125" s="278">
        <f t="shared" si="13"/>
        <v>30</v>
      </c>
      <c r="J125" s="18">
        <f>'GS 1k-4,999 Predicted Monthly'!$T$10</f>
        <v>1142088.9328922699</v>
      </c>
      <c r="K125" s="18">
        <f ca="1">E125*'GS 1k-4,999 Predicted Monthly'!$T$11</f>
        <v>3861.1407505717921</v>
      </c>
      <c r="L125" s="18">
        <f>F125*'GS 1k-4,999 Predicted Monthly'!$T$12</f>
        <v>0</v>
      </c>
      <c r="M125" s="18">
        <f>G125*'GS 1k-4,999 Predicted Monthly'!$T$13</f>
        <v>2859694.669236891</v>
      </c>
      <c r="N125" s="18">
        <f>H125*'GS 1k-4,999 Predicted Monthly'!$T$14</f>
        <v>3407455.1510788198</v>
      </c>
      <c r="O125" s="18">
        <f t="shared" ca="1" si="9"/>
        <v>7413099.8939585518</v>
      </c>
    </row>
    <row r="126" spans="1:17" x14ac:dyDescent="0.25">
      <c r="A126" s="3">
        <v>45778</v>
      </c>
      <c r="B126" s="1">
        <f t="shared" si="7"/>
        <v>2025</v>
      </c>
      <c r="C126" s="1">
        <f t="shared" si="8"/>
        <v>5</v>
      </c>
      <c r="D126" s="268"/>
      <c r="E126" s="278">
        <f t="shared" ca="1" si="12"/>
        <v>29.4520183982684</v>
      </c>
      <c r="F126" s="278">
        <f t="shared" si="12"/>
        <v>0</v>
      </c>
      <c r="G126" s="278">
        <f>Economic!F128</f>
        <v>236.69940000000003</v>
      </c>
      <c r="H126" s="278">
        <f t="shared" si="13"/>
        <v>31</v>
      </c>
      <c r="J126" s="18">
        <f>'GS 1k-4,999 Predicted Monthly'!$T$10</f>
        <v>1142088.9328922699</v>
      </c>
      <c r="K126" s="18">
        <f ca="1">E126*'GS 1k-4,999 Predicted Monthly'!$T$11</f>
        <v>263440.2820636541</v>
      </c>
      <c r="L126" s="18">
        <f>F126*'GS 1k-4,999 Predicted Monthly'!$T$12</f>
        <v>0</v>
      </c>
      <c r="M126" s="18">
        <f>G126*'GS 1k-4,999 Predicted Monthly'!$T$13</f>
        <v>2856014.2385171526</v>
      </c>
      <c r="N126" s="18">
        <f>H126*'GS 1k-4,999 Predicted Monthly'!$T$14</f>
        <v>3521036.9894481138</v>
      </c>
      <c r="O126" s="18">
        <f t="shared" ca="1" si="9"/>
        <v>7782580.4429211896</v>
      </c>
    </row>
    <row r="127" spans="1:17" x14ac:dyDescent="0.25">
      <c r="A127" s="3">
        <v>45809</v>
      </c>
      <c r="B127" s="1">
        <f t="shared" si="7"/>
        <v>2025</v>
      </c>
      <c r="C127" s="1">
        <f t="shared" si="8"/>
        <v>6</v>
      </c>
      <c r="D127" s="268"/>
      <c r="E127" s="278">
        <f t="shared" ref="E127:F142" ca="1" si="14">E115</f>
        <v>86.311049595332207</v>
      </c>
      <c r="F127" s="278">
        <f t="shared" si="14"/>
        <v>0</v>
      </c>
      <c r="G127" s="278">
        <f>Economic!F129</f>
        <v>234.46254999999999</v>
      </c>
      <c r="H127" s="278">
        <f t="shared" si="13"/>
        <v>30</v>
      </c>
      <c r="J127" s="18">
        <f>'GS 1k-4,999 Predicted Monthly'!$T$10</f>
        <v>1142088.9328922699</v>
      </c>
      <c r="K127" s="18">
        <f ca="1">E127*'GS 1k-4,999 Predicted Monthly'!$T$11</f>
        <v>772028.82814785955</v>
      </c>
      <c r="L127" s="18">
        <f>F127*'GS 1k-4,999 Predicted Monthly'!$T$12</f>
        <v>0</v>
      </c>
      <c r="M127" s="18">
        <f>G127*'GS 1k-4,999 Predicted Monthly'!$T$13</f>
        <v>2829024.4132390693</v>
      </c>
      <c r="N127" s="18">
        <f>H127*'GS 1k-4,999 Predicted Monthly'!$T$14</f>
        <v>3407455.1510788198</v>
      </c>
      <c r="O127" s="18">
        <f t="shared" ca="1" si="9"/>
        <v>8150597.3253580183</v>
      </c>
    </row>
    <row r="128" spans="1:17" x14ac:dyDescent="0.25">
      <c r="A128" s="3">
        <v>45839</v>
      </c>
      <c r="B128" s="1">
        <f t="shared" si="7"/>
        <v>2025</v>
      </c>
      <c r="C128" s="1">
        <f t="shared" si="8"/>
        <v>7</v>
      </c>
      <c r="D128" s="268"/>
      <c r="E128" s="278">
        <f t="shared" ca="1" si="14"/>
        <v>174.0219619206118</v>
      </c>
      <c r="F128" s="278">
        <f t="shared" si="14"/>
        <v>0</v>
      </c>
      <c r="G128" s="278">
        <f>Economic!F130</f>
        <v>231.31062500000002</v>
      </c>
      <c r="H128" s="278">
        <f t="shared" si="13"/>
        <v>31</v>
      </c>
      <c r="J128" s="18">
        <f>'GS 1k-4,999 Predicted Monthly'!$T$10</f>
        <v>1142088.9328922699</v>
      </c>
      <c r="K128" s="18">
        <f ca="1">E128*'GS 1k-4,999 Predicted Monthly'!$T$11</f>
        <v>1556579.0471029929</v>
      </c>
      <c r="L128" s="18">
        <f>F128*'GS 1k-4,999 Predicted Monthly'!$T$12</f>
        <v>0</v>
      </c>
      <c r="M128" s="18">
        <f>G128*'GS 1k-4,999 Predicted Monthly'!$T$13</f>
        <v>2790993.2958017709</v>
      </c>
      <c r="N128" s="18">
        <f>H128*'GS 1k-4,999 Predicted Monthly'!$T$14</f>
        <v>3521036.9894481138</v>
      </c>
      <c r="O128" s="18">
        <f t="shared" ca="1" si="9"/>
        <v>9010698.265245147</v>
      </c>
    </row>
    <row r="129" spans="1:15" x14ac:dyDescent="0.25">
      <c r="A129" s="3">
        <v>45870</v>
      </c>
      <c r="B129" s="1">
        <f t="shared" si="7"/>
        <v>2025</v>
      </c>
      <c r="C129" s="1">
        <f t="shared" si="8"/>
        <v>8</v>
      </c>
      <c r="D129" s="268"/>
      <c r="E129" s="278">
        <f t="shared" ca="1" si="14"/>
        <v>149.7160046113307</v>
      </c>
      <c r="F129" s="278">
        <f t="shared" si="14"/>
        <v>0</v>
      </c>
      <c r="G129" s="278">
        <f>Economic!F131</f>
        <v>228.87042500000001</v>
      </c>
      <c r="H129" s="278">
        <f t="shared" si="13"/>
        <v>31</v>
      </c>
      <c r="J129" s="18">
        <f>'GS 1k-4,999 Predicted Monthly'!$T$10</f>
        <v>1142088.9328922699</v>
      </c>
      <c r="K129" s="18">
        <f ca="1">E129*'GS 1k-4,999 Predicted Monthly'!$T$11</f>
        <v>1339168.8797318963</v>
      </c>
      <c r="L129" s="18">
        <f>F129*'GS 1k-4,999 Predicted Monthly'!$T$12</f>
        <v>0</v>
      </c>
      <c r="M129" s="18">
        <f>G129*'GS 1k-4,999 Predicted Monthly'!$T$13</f>
        <v>2761549.8500438617</v>
      </c>
      <c r="N129" s="18">
        <f>H129*'GS 1k-4,999 Predicted Monthly'!$T$14</f>
        <v>3521036.9894481138</v>
      </c>
      <c r="O129" s="18">
        <f t="shared" ca="1" si="9"/>
        <v>8763844.6521161422</v>
      </c>
    </row>
    <row r="130" spans="1:15" x14ac:dyDescent="0.25">
      <c r="A130" s="3">
        <v>45901</v>
      </c>
      <c r="B130" s="1">
        <f t="shared" ref="B130:B145" si="15">YEAR(A130)</f>
        <v>2025</v>
      </c>
      <c r="C130" s="1">
        <f t="shared" ref="C130:C145" si="16">MONTH(A130)</f>
        <v>9</v>
      </c>
      <c r="D130" s="268"/>
      <c r="E130" s="278">
        <f t="shared" ca="1" si="14"/>
        <v>62.345178571428576</v>
      </c>
      <c r="F130" s="278">
        <f t="shared" si="14"/>
        <v>0</v>
      </c>
      <c r="G130" s="278">
        <f>Economic!F132</f>
        <v>230.70057500000001</v>
      </c>
      <c r="H130" s="278">
        <f t="shared" si="13"/>
        <v>30</v>
      </c>
      <c r="J130" s="18">
        <f>'GS 1k-4,999 Predicted Monthly'!$T$10</f>
        <v>1142088.9328922699</v>
      </c>
      <c r="K130" s="18">
        <f ca="1">E130*'GS 1k-4,999 Predicted Monthly'!$T$11</f>
        <v>557660.63996251172</v>
      </c>
      <c r="L130" s="18">
        <f>F130*'GS 1k-4,999 Predicted Monthly'!$T$12</f>
        <v>0</v>
      </c>
      <c r="M130" s="18">
        <f>G130*'GS 1k-4,999 Predicted Monthly'!$T$13</f>
        <v>2783632.4343622937</v>
      </c>
      <c r="N130" s="18">
        <f>H130*'GS 1k-4,999 Predicted Monthly'!$T$14</f>
        <v>3407455.1510788198</v>
      </c>
      <c r="O130" s="18">
        <f t="shared" ca="1" si="9"/>
        <v>7890837.1582958959</v>
      </c>
    </row>
    <row r="131" spans="1:15" x14ac:dyDescent="0.25">
      <c r="A131" s="3">
        <v>45931</v>
      </c>
      <c r="B131" s="1">
        <f t="shared" si="15"/>
        <v>2025</v>
      </c>
      <c r="C131" s="1">
        <f t="shared" si="16"/>
        <v>10</v>
      </c>
      <c r="D131" s="268"/>
      <c r="E131" s="278">
        <f t="shared" ca="1" si="14"/>
        <v>7.1541666666666703</v>
      </c>
      <c r="F131" s="278">
        <f t="shared" si="14"/>
        <v>0</v>
      </c>
      <c r="G131" s="278">
        <f>Economic!F133</f>
        <v>232.53072499999999</v>
      </c>
      <c r="H131" s="278">
        <f t="shared" si="13"/>
        <v>31</v>
      </c>
      <c r="J131" s="18">
        <f>'GS 1k-4,999 Predicted Monthly'!$T$10</f>
        <v>1142088.9328922699</v>
      </c>
      <c r="K131" s="18">
        <f ca="1">E131*'GS 1k-4,999 Predicted Monthly'!$T$11</f>
        <v>63992.072092005357</v>
      </c>
      <c r="L131" s="18">
        <f>F131*'GS 1k-4,999 Predicted Monthly'!$T$12</f>
        <v>0</v>
      </c>
      <c r="M131" s="18">
        <f>G131*'GS 1k-4,999 Predicted Monthly'!$T$13</f>
        <v>2805715.0186807248</v>
      </c>
      <c r="N131" s="18">
        <f>H131*'GS 1k-4,999 Predicted Monthly'!$T$14</f>
        <v>3521036.9894481138</v>
      </c>
      <c r="O131" s="18">
        <f t="shared" ref="O131:O145" ca="1" si="17">SUM(J131:N131)</f>
        <v>7532833.0131131131</v>
      </c>
    </row>
    <row r="132" spans="1:15" x14ac:dyDescent="0.25">
      <c r="A132" s="3">
        <v>45962</v>
      </c>
      <c r="B132" s="1">
        <f t="shared" si="15"/>
        <v>2025</v>
      </c>
      <c r="C132" s="1">
        <f t="shared" si="16"/>
        <v>11</v>
      </c>
      <c r="D132" s="268"/>
      <c r="E132" s="278">
        <f t="shared" ca="1" si="14"/>
        <v>0.15041666666666628</v>
      </c>
      <c r="F132" s="278">
        <f t="shared" si="14"/>
        <v>0</v>
      </c>
      <c r="G132" s="278">
        <f>Economic!F134</f>
        <v>232.53072499999999</v>
      </c>
      <c r="H132" s="278">
        <f t="shared" si="13"/>
        <v>30</v>
      </c>
      <c r="J132" s="18">
        <f>'GS 1k-4,999 Predicted Monthly'!$T$10</f>
        <v>1142088.9328922699</v>
      </c>
      <c r="K132" s="18">
        <f ca="1">E132*'GS 1k-4,999 Predicted Monthly'!$T$11</f>
        <v>1345.4361109617857</v>
      </c>
      <c r="L132" s="18">
        <f>F132*'GS 1k-4,999 Predicted Monthly'!$T$12</f>
        <v>0</v>
      </c>
      <c r="M132" s="18">
        <f>G132*'GS 1k-4,999 Predicted Monthly'!$T$13</f>
        <v>2805715.0186807248</v>
      </c>
      <c r="N132" s="18">
        <f>H132*'GS 1k-4,999 Predicted Monthly'!$T$14</f>
        <v>3407455.1510788198</v>
      </c>
      <c r="O132" s="18">
        <f t="shared" ca="1" si="17"/>
        <v>7356604.5387627762</v>
      </c>
    </row>
    <row r="133" spans="1:15" x14ac:dyDescent="0.25">
      <c r="A133" s="3">
        <v>45992</v>
      </c>
      <c r="B133" s="1">
        <f t="shared" si="15"/>
        <v>2025</v>
      </c>
      <c r="C133" s="1">
        <f t="shared" si="16"/>
        <v>12</v>
      </c>
      <c r="D133" s="268"/>
      <c r="E133" s="278">
        <f t="shared" ca="1" si="14"/>
        <v>0</v>
      </c>
      <c r="F133" s="278">
        <f t="shared" si="14"/>
        <v>0</v>
      </c>
      <c r="G133" s="278">
        <f>Economic!F135</f>
        <v>230.80225000000002</v>
      </c>
      <c r="H133" s="278">
        <f t="shared" si="13"/>
        <v>31</v>
      </c>
      <c r="J133" s="18">
        <f>'GS 1k-4,999 Predicted Monthly'!$T$10</f>
        <v>1142088.9328922699</v>
      </c>
      <c r="K133" s="18">
        <f ca="1">E133*'GS 1k-4,999 Predicted Monthly'!$T$11</f>
        <v>0</v>
      </c>
      <c r="L133" s="18">
        <f>F133*'GS 1k-4,999 Predicted Monthly'!$T$12</f>
        <v>0</v>
      </c>
      <c r="M133" s="18">
        <f>G133*'GS 1k-4,999 Predicted Monthly'!$T$13</f>
        <v>2784859.2446022062</v>
      </c>
      <c r="N133" s="18">
        <f>H133*'GS 1k-4,999 Predicted Monthly'!$T$14</f>
        <v>3521036.9894481138</v>
      </c>
      <c r="O133" s="18">
        <f t="shared" ca="1" si="17"/>
        <v>7447985.1669425899</v>
      </c>
    </row>
    <row r="134" spans="1:15" x14ac:dyDescent="0.25">
      <c r="A134" s="3">
        <v>46023</v>
      </c>
      <c r="B134" s="1">
        <f t="shared" si="15"/>
        <v>2026</v>
      </c>
      <c r="C134" s="1">
        <f t="shared" si="16"/>
        <v>1</v>
      </c>
      <c r="D134" s="268"/>
      <c r="E134" s="278">
        <f t="shared" ca="1" si="14"/>
        <v>0</v>
      </c>
      <c r="F134" s="278">
        <f t="shared" si="14"/>
        <v>0</v>
      </c>
      <c r="G134" s="278">
        <f>Economic!F136</f>
        <v>234.85148229375</v>
      </c>
      <c r="H134" s="278">
        <f t="shared" si="13"/>
        <v>31</v>
      </c>
      <c r="J134" s="18">
        <f>'GS 1k-4,999 Predicted Monthly'!$T$10</f>
        <v>1142088.9328922699</v>
      </c>
      <c r="K134" s="18">
        <f ca="1">E134*'GS 1k-4,999 Predicted Monthly'!$T$11</f>
        <v>0</v>
      </c>
      <c r="L134" s="18">
        <f>F134*'GS 1k-4,999 Predicted Monthly'!$T$12</f>
        <v>0</v>
      </c>
      <c r="M134" s="18">
        <f>G134*'GS 1k-4,999 Predicted Monthly'!$T$13</f>
        <v>2833717.2691092961</v>
      </c>
      <c r="N134" s="18">
        <f>H134*'GS 1k-4,999 Predicted Monthly'!$T$14</f>
        <v>3521036.9894481138</v>
      </c>
      <c r="O134" s="18">
        <f t="shared" ca="1" si="17"/>
        <v>7496843.1914496794</v>
      </c>
    </row>
    <row r="135" spans="1:15" x14ac:dyDescent="0.25">
      <c r="A135" s="3">
        <v>46054</v>
      </c>
      <c r="B135" s="1">
        <f t="shared" si="15"/>
        <v>2026</v>
      </c>
      <c r="C135" s="1">
        <f t="shared" si="16"/>
        <v>2</v>
      </c>
      <c r="D135" s="268"/>
      <c r="E135" s="278">
        <f t="shared" ca="1" si="14"/>
        <v>0</v>
      </c>
      <c r="F135" s="278">
        <f t="shared" si="14"/>
        <v>0</v>
      </c>
      <c r="G135" s="278">
        <f>Economic!F137</f>
        <v>235.9830487875</v>
      </c>
      <c r="H135" s="278">
        <f t="shared" si="13"/>
        <v>28</v>
      </c>
      <c r="J135" s="18">
        <f>'GS 1k-4,999 Predicted Monthly'!$T$10</f>
        <v>1142088.9328922699</v>
      </c>
      <c r="K135" s="18">
        <f ca="1">E135*'GS 1k-4,999 Predicted Monthly'!$T$11</f>
        <v>0</v>
      </c>
      <c r="L135" s="18">
        <f>F135*'GS 1k-4,999 Predicted Monthly'!$T$12</f>
        <v>0</v>
      </c>
      <c r="M135" s="18">
        <f>G135*'GS 1k-4,999 Predicted Monthly'!$T$13</f>
        <v>2847370.7469718461</v>
      </c>
      <c r="N135" s="18">
        <f>H135*'GS 1k-4,999 Predicted Monthly'!$T$14</f>
        <v>3180291.4743402321</v>
      </c>
      <c r="O135" s="18">
        <f t="shared" ca="1" si="17"/>
        <v>7169751.1542043481</v>
      </c>
    </row>
    <row r="136" spans="1:15" x14ac:dyDescent="0.25">
      <c r="A136" s="3">
        <v>46082</v>
      </c>
      <c r="B136" s="1">
        <f t="shared" si="15"/>
        <v>2026</v>
      </c>
      <c r="C136" s="1">
        <f t="shared" si="16"/>
        <v>3</v>
      </c>
      <c r="D136" s="268"/>
      <c r="E136" s="278">
        <f t="shared" ca="1" si="14"/>
        <v>0</v>
      </c>
      <c r="F136" s="278">
        <f t="shared" si="14"/>
        <v>0</v>
      </c>
      <c r="G136" s="278">
        <f>Economic!F138</f>
        <v>237.52609400624999</v>
      </c>
      <c r="H136" s="278">
        <f t="shared" si="13"/>
        <v>31</v>
      </c>
      <c r="J136" s="18">
        <f>'GS 1k-4,999 Predicted Monthly'!$T$10</f>
        <v>1142088.9328922699</v>
      </c>
      <c r="K136" s="18">
        <f ca="1">E136*'GS 1k-4,999 Predicted Monthly'!$T$11</f>
        <v>0</v>
      </c>
      <c r="L136" s="18">
        <f>F136*'GS 1k-4,999 Predicted Monthly'!$T$12</f>
        <v>0</v>
      </c>
      <c r="M136" s="18">
        <f>G136*'GS 1k-4,999 Predicted Monthly'!$T$13</f>
        <v>2865989.125875324</v>
      </c>
      <c r="N136" s="18">
        <f>H136*'GS 1k-4,999 Predicted Monthly'!$T$14</f>
        <v>3521036.9894481138</v>
      </c>
      <c r="O136" s="18">
        <f t="shared" ca="1" si="17"/>
        <v>7529115.0482157078</v>
      </c>
    </row>
    <row r="137" spans="1:15" x14ac:dyDescent="0.25">
      <c r="A137" s="3">
        <v>46113</v>
      </c>
      <c r="B137" s="1">
        <f t="shared" si="15"/>
        <v>2026</v>
      </c>
      <c r="C137" s="1">
        <f t="shared" si="16"/>
        <v>4</v>
      </c>
      <c r="D137" s="268"/>
      <c r="E137" s="278">
        <f t="shared" ca="1" si="14"/>
        <v>0.4316666666666677</v>
      </c>
      <c r="F137" s="278">
        <f t="shared" si="14"/>
        <v>0</v>
      </c>
      <c r="G137" s="278">
        <f>Economic!F139</f>
        <v>239.78922699374999</v>
      </c>
      <c r="H137" s="278">
        <f t="shared" si="13"/>
        <v>30</v>
      </c>
      <c r="J137" s="18">
        <f>'GS 1k-4,999 Predicted Monthly'!$T$10</f>
        <v>1142088.9328922699</v>
      </c>
      <c r="K137" s="18">
        <f ca="1">E137*'GS 1k-4,999 Predicted Monthly'!$T$11</f>
        <v>3861.1407505717921</v>
      </c>
      <c r="L137" s="18">
        <f>F137*'GS 1k-4,999 Predicted Monthly'!$T$12</f>
        <v>0</v>
      </c>
      <c r="M137" s="18">
        <f>G137*'GS 1k-4,999 Predicted Monthly'!$T$13</f>
        <v>2893296.0816004244</v>
      </c>
      <c r="N137" s="18">
        <f>H137*'GS 1k-4,999 Predicted Monthly'!$T$14</f>
        <v>3407455.1510788198</v>
      </c>
      <c r="O137" s="18">
        <f t="shared" ca="1" si="17"/>
        <v>7446701.3063220866</v>
      </c>
    </row>
    <row r="138" spans="1:15" x14ac:dyDescent="0.25">
      <c r="A138" s="3">
        <v>46143</v>
      </c>
      <c r="B138" s="1">
        <f t="shared" si="15"/>
        <v>2026</v>
      </c>
      <c r="C138" s="1">
        <f t="shared" si="16"/>
        <v>5</v>
      </c>
      <c r="D138" s="268"/>
      <c r="E138" s="278">
        <f t="shared" ca="1" si="14"/>
        <v>29.4520183982684</v>
      </c>
      <c r="F138" s="278">
        <f t="shared" si="14"/>
        <v>0</v>
      </c>
      <c r="G138" s="278">
        <f>Economic!F140</f>
        <v>239.48061795000001</v>
      </c>
      <c r="H138" s="278">
        <f t="shared" si="13"/>
        <v>31</v>
      </c>
      <c r="J138" s="18">
        <f>'GS 1k-4,999 Predicted Monthly'!$T$10</f>
        <v>1142088.9328922699</v>
      </c>
      <c r="K138" s="18">
        <f ca="1">E138*'GS 1k-4,999 Predicted Monthly'!$T$11</f>
        <v>263440.2820636541</v>
      </c>
      <c r="L138" s="18">
        <f>F138*'GS 1k-4,999 Predicted Monthly'!$T$12</f>
        <v>0</v>
      </c>
      <c r="M138" s="18">
        <f>G138*'GS 1k-4,999 Predicted Monthly'!$T$13</f>
        <v>2889572.405819729</v>
      </c>
      <c r="N138" s="18">
        <f>H138*'GS 1k-4,999 Predicted Monthly'!$T$14</f>
        <v>3521036.9894481138</v>
      </c>
      <c r="O138" s="18">
        <f t="shared" ca="1" si="17"/>
        <v>7816138.6102237664</v>
      </c>
    </row>
    <row r="139" spans="1:15" x14ac:dyDescent="0.25">
      <c r="A139" s="3">
        <v>46174</v>
      </c>
      <c r="B139" s="1">
        <f t="shared" si="15"/>
        <v>2026</v>
      </c>
      <c r="C139" s="1">
        <f t="shared" si="16"/>
        <v>6</v>
      </c>
      <c r="D139" s="268"/>
      <c r="E139" s="278">
        <f t="shared" ca="1" si="14"/>
        <v>86.311049595332207</v>
      </c>
      <c r="F139" s="278">
        <f t="shared" si="14"/>
        <v>0</v>
      </c>
      <c r="G139" s="278">
        <f>Economic!F141</f>
        <v>237.21748496249998</v>
      </c>
      <c r="H139" s="278">
        <f t="shared" si="13"/>
        <v>30</v>
      </c>
      <c r="J139" s="18">
        <f>'GS 1k-4,999 Predicted Monthly'!$T$10</f>
        <v>1142088.9328922699</v>
      </c>
      <c r="K139" s="18">
        <f ca="1">E139*'GS 1k-4,999 Predicted Monthly'!$T$11</f>
        <v>772028.82814785955</v>
      </c>
      <c r="L139" s="18">
        <f>F139*'GS 1k-4,999 Predicted Monthly'!$T$12</f>
        <v>0</v>
      </c>
      <c r="M139" s="18">
        <f>G139*'GS 1k-4,999 Predicted Monthly'!$T$13</f>
        <v>2862265.4500946281</v>
      </c>
      <c r="N139" s="18">
        <f>H139*'GS 1k-4,999 Predicted Monthly'!$T$14</f>
        <v>3407455.1510788198</v>
      </c>
      <c r="O139" s="18">
        <f t="shared" ca="1" si="17"/>
        <v>8183838.3622135781</v>
      </c>
    </row>
    <row r="140" spans="1:15" x14ac:dyDescent="0.25">
      <c r="A140" s="3">
        <v>46204</v>
      </c>
      <c r="B140" s="1">
        <f t="shared" si="15"/>
        <v>2026</v>
      </c>
      <c r="C140" s="1">
        <f t="shared" si="16"/>
        <v>7</v>
      </c>
      <c r="D140" s="268"/>
      <c r="E140" s="278">
        <f t="shared" ca="1" si="14"/>
        <v>174.0219619206118</v>
      </c>
      <c r="F140" s="278">
        <f t="shared" si="14"/>
        <v>0</v>
      </c>
      <c r="G140" s="278">
        <f>Economic!F142</f>
        <v>234.02852484375001</v>
      </c>
      <c r="H140" s="278">
        <f t="shared" si="13"/>
        <v>31</v>
      </c>
      <c r="J140" s="18">
        <f>'GS 1k-4,999 Predicted Monthly'!$T$10</f>
        <v>1142088.9328922699</v>
      </c>
      <c r="K140" s="18">
        <f ca="1">E140*'GS 1k-4,999 Predicted Monthly'!$T$11</f>
        <v>1556579.0471029929</v>
      </c>
      <c r="L140" s="18">
        <f>F140*'GS 1k-4,999 Predicted Monthly'!$T$12</f>
        <v>0</v>
      </c>
      <c r="M140" s="18">
        <f>G140*'GS 1k-4,999 Predicted Monthly'!$T$13</f>
        <v>2823787.4670274416</v>
      </c>
      <c r="N140" s="18">
        <f>H140*'GS 1k-4,999 Predicted Monthly'!$T$14</f>
        <v>3521036.9894481138</v>
      </c>
      <c r="O140" s="18">
        <f t="shared" ca="1" si="17"/>
        <v>9043492.4364708178</v>
      </c>
    </row>
    <row r="141" spans="1:15" x14ac:dyDescent="0.25">
      <c r="A141" s="3">
        <v>46235</v>
      </c>
      <c r="B141" s="1">
        <f t="shared" si="15"/>
        <v>2026</v>
      </c>
      <c r="C141" s="1">
        <f t="shared" si="16"/>
        <v>8</v>
      </c>
      <c r="D141" s="268"/>
      <c r="E141" s="278">
        <f t="shared" ca="1" si="14"/>
        <v>149.7160046113307</v>
      </c>
      <c r="F141" s="278">
        <f t="shared" si="14"/>
        <v>0</v>
      </c>
      <c r="G141" s="278">
        <f>Economic!F143</f>
        <v>231.55965249375001</v>
      </c>
      <c r="H141" s="278">
        <f t="shared" si="13"/>
        <v>31</v>
      </c>
      <c r="J141" s="18">
        <f>'GS 1k-4,999 Predicted Monthly'!$T$10</f>
        <v>1142088.9328922699</v>
      </c>
      <c r="K141" s="18">
        <f ca="1">E141*'GS 1k-4,999 Predicted Monthly'!$T$11</f>
        <v>1339168.8797318963</v>
      </c>
      <c r="L141" s="18">
        <f>F141*'GS 1k-4,999 Predicted Monthly'!$T$12</f>
        <v>0</v>
      </c>
      <c r="M141" s="18">
        <f>G141*'GS 1k-4,999 Predicted Monthly'!$T$13</f>
        <v>2793998.060781877</v>
      </c>
      <c r="N141" s="18">
        <f>H141*'GS 1k-4,999 Predicted Monthly'!$T$14</f>
        <v>3521036.9894481138</v>
      </c>
      <c r="O141" s="18">
        <f t="shared" ca="1" si="17"/>
        <v>8796292.8628541566</v>
      </c>
    </row>
    <row r="142" spans="1:15" x14ac:dyDescent="0.25">
      <c r="A142" s="3">
        <v>46266</v>
      </c>
      <c r="B142" s="1">
        <f t="shared" si="15"/>
        <v>2026</v>
      </c>
      <c r="C142" s="1">
        <f t="shared" si="16"/>
        <v>9</v>
      </c>
      <c r="D142" s="268"/>
      <c r="E142" s="278">
        <f t="shared" ca="1" si="14"/>
        <v>62.345178571428576</v>
      </c>
      <c r="F142" s="278">
        <f t="shared" si="14"/>
        <v>0</v>
      </c>
      <c r="G142" s="278">
        <f>Economic!F144</f>
        <v>233.41130675624999</v>
      </c>
      <c r="H142" s="278">
        <f t="shared" si="13"/>
        <v>30</v>
      </c>
      <c r="J142" s="18">
        <f>'GS 1k-4,999 Predicted Monthly'!$T$10</f>
        <v>1142088.9328922699</v>
      </c>
      <c r="K142" s="18">
        <f ca="1">E142*'GS 1k-4,999 Predicted Monthly'!$T$11</f>
        <v>557660.63996251172</v>
      </c>
      <c r="L142" s="18">
        <f>F142*'GS 1k-4,999 Predicted Monthly'!$T$12</f>
        <v>0</v>
      </c>
      <c r="M142" s="18">
        <f>G142*'GS 1k-4,999 Predicted Monthly'!$T$13</f>
        <v>2816340.1154660499</v>
      </c>
      <c r="N142" s="18">
        <f>H142*'GS 1k-4,999 Predicted Monthly'!$T$14</f>
        <v>3407455.1510788198</v>
      </c>
      <c r="O142" s="18">
        <f t="shared" ca="1" si="17"/>
        <v>7923544.8393996507</v>
      </c>
    </row>
    <row r="143" spans="1:15" x14ac:dyDescent="0.25">
      <c r="A143" s="3">
        <v>46296</v>
      </c>
      <c r="B143" s="1">
        <f t="shared" si="15"/>
        <v>2026</v>
      </c>
      <c r="C143" s="1">
        <f t="shared" si="16"/>
        <v>10</v>
      </c>
      <c r="D143" s="268"/>
      <c r="E143" s="278">
        <f t="shared" ref="E143:F145" ca="1" si="18">E131</f>
        <v>7.1541666666666703</v>
      </c>
      <c r="F143" s="278">
        <f t="shared" si="18"/>
        <v>0</v>
      </c>
      <c r="G143" s="278">
        <f>Economic!F145</f>
        <v>235.26296101874996</v>
      </c>
      <c r="H143" s="278">
        <f t="shared" si="13"/>
        <v>31</v>
      </c>
      <c r="J143" s="18">
        <f>'GS 1k-4,999 Predicted Monthly'!$T$10</f>
        <v>1142088.9328922699</v>
      </c>
      <c r="K143" s="18">
        <f ca="1">E143*'GS 1k-4,999 Predicted Monthly'!$T$11</f>
        <v>63992.072092005357</v>
      </c>
      <c r="L143" s="18">
        <f>F143*'GS 1k-4,999 Predicted Monthly'!$T$12</f>
        <v>0</v>
      </c>
      <c r="M143" s="18">
        <f>G143*'GS 1k-4,999 Predicted Monthly'!$T$13</f>
        <v>2838682.1701502232</v>
      </c>
      <c r="N143" s="18">
        <f>H143*'GS 1k-4,999 Predicted Monthly'!$T$14</f>
        <v>3521036.9894481138</v>
      </c>
      <c r="O143" s="18">
        <f t="shared" ca="1" si="17"/>
        <v>7565800.164582612</v>
      </c>
    </row>
    <row r="144" spans="1:15" x14ac:dyDescent="0.25">
      <c r="A144" s="3">
        <v>46327</v>
      </c>
      <c r="B144" s="1">
        <f t="shared" si="15"/>
        <v>2026</v>
      </c>
      <c r="C144" s="1">
        <f t="shared" si="16"/>
        <v>11</v>
      </c>
      <c r="D144" s="268"/>
      <c r="E144" s="278">
        <f t="shared" ca="1" si="18"/>
        <v>0.15041666666666628</v>
      </c>
      <c r="F144" s="278">
        <f t="shared" si="18"/>
        <v>0</v>
      </c>
      <c r="G144" s="278">
        <f>Economic!F146</f>
        <v>235.26296101874996</v>
      </c>
      <c r="H144" s="278">
        <f t="shared" si="13"/>
        <v>30</v>
      </c>
      <c r="J144" s="18">
        <f>'GS 1k-4,999 Predicted Monthly'!$T$10</f>
        <v>1142088.9328922699</v>
      </c>
      <c r="K144" s="18">
        <f ca="1">E144*'GS 1k-4,999 Predicted Monthly'!$T$11</f>
        <v>1345.4361109617857</v>
      </c>
      <c r="L144" s="18">
        <f>F144*'GS 1k-4,999 Predicted Monthly'!$T$12</f>
        <v>0</v>
      </c>
      <c r="M144" s="18">
        <f>G144*'GS 1k-4,999 Predicted Monthly'!$T$13</f>
        <v>2838682.1701502232</v>
      </c>
      <c r="N144" s="18">
        <f>H144*'GS 1k-4,999 Predicted Monthly'!$T$14</f>
        <v>3407455.1510788198</v>
      </c>
      <c r="O144" s="18">
        <f t="shared" ca="1" si="17"/>
        <v>7389571.6902322751</v>
      </c>
    </row>
    <row r="145" spans="1:15" x14ac:dyDescent="0.25">
      <c r="A145" s="3">
        <v>46357</v>
      </c>
      <c r="B145" s="1">
        <f t="shared" si="15"/>
        <v>2026</v>
      </c>
      <c r="C145" s="1">
        <f t="shared" si="16"/>
        <v>12</v>
      </c>
      <c r="D145" s="268"/>
      <c r="E145" s="278">
        <f t="shared" ca="1" si="18"/>
        <v>0</v>
      </c>
      <c r="F145" s="278">
        <f t="shared" si="18"/>
        <v>0</v>
      </c>
      <c r="G145" s="278">
        <f>Economic!F147</f>
        <v>233.5141764375</v>
      </c>
      <c r="H145" s="278">
        <f t="shared" si="13"/>
        <v>31</v>
      </c>
      <c r="J145" s="18">
        <f>'GS 1k-4,999 Predicted Monthly'!$T$10</f>
        <v>1142088.9328922699</v>
      </c>
      <c r="K145" s="18">
        <f ca="1">E145*'GS 1k-4,999 Predicted Monthly'!$T$11</f>
        <v>0</v>
      </c>
      <c r="L145" s="18">
        <f>F145*'GS 1k-4,999 Predicted Monthly'!$T$12</f>
        <v>0</v>
      </c>
      <c r="M145" s="18">
        <f>G145*'GS 1k-4,999 Predicted Monthly'!$T$13</f>
        <v>2817581.340726282</v>
      </c>
      <c r="N145" s="18">
        <f>H145*'GS 1k-4,999 Predicted Monthly'!$T$14</f>
        <v>3521036.9894481138</v>
      </c>
      <c r="O145" s="18">
        <f t="shared" ca="1" si="17"/>
        <v>7480707.2630666662</v>
      </c>
    </row>
    <row r="195" spans="7:18" x14ac:dyDescent="0.25">
      <c r="G195" s="18"/>
      <c r="H195" s="18"/>
      <c r="K195" s="18"/>
      <c r="L195" s="18"/>
      <c r="M195" s="18"/>
      <c r="N195" s="18"/>
      <c r="O195" s="18"/>
      <c r="P195" s="18"/>
      <c r="Q195" s="18"/>
      <c r="R195" s="18"/>
    </row>
    <row r="196" spans="7:18" x14ac:dyDescent="0.25">
      <c r="G196" s="18"/>
      <c r="H196" s="18"/>
      <c r="K196" s="18"/>
      <c r="L196" s="18"/>
      <c r="M196" s="18"/>
      <c r="N196" s="18"/>
      <c r="O196" s="18"/>
      <c r="P196" s="18"/>
      <c r="Q196" s="18"/>
      <c r="R196" s="18"/>
    </row>
    <row r="197" spans="7:18" x14ac:dyDescent="0.25">
      <c r="G197" s="18"/>
      <c r="H197" s="18"/>
      <c r="K197" s="18"/>
      <c r="L197" s="18"/>
      <c r="M197" s="18"/>
      <c r="N197" s="18"/>
      <c r="O197" s="18"/>
      <c r="P197" s="18"/>
      <c r="Q197" s="18"/>
      <c r="R197" s="18"/>
    </row>
    <row r="198" spans="7:18" x14ac:dyDescent="0.25">
      <c r="G198" s="18"/>
      <c r="H198" s="18"/>
      <c r="K198" s="18"/>
      <c r="L198" s="18"/>
      <c r="M198" s="18"/>
      <c r="N198" s="18"/>
      <c r="O198" s="18"/>
      <c r="P198" s="18"/>
      <c r="Q198" s="18"/>
      <c r="R198" s="18"/>
    </row>
    <row r="199" spans="7:18" x14ac:dyDescent="0.25">
      <c r="G199" s="18"/>
      <c r="H199" s="18"/>
      <c r="K199" s="18"/>
      <c r="L199" s="18"/>
      <c r="M199" s="18"/>
      <c r="N199" s="18"/>
      <c r="O199" s="18"/>
      <c r="P199" s="18"/>
      <c r="Q199" s="18"/>
      <c r="R199" s="18"/>
    </row>
    <row r="200" spans="7:18" x14ac:dyDescent="0.25">
      <c r="G200" s="18"/>
      <c r="H200" s="18"/>
      <c r="K200" s="18"/>
      <c r="L200" s="18"/>
      <c r="M200" s="18"/>
      <c r="N200" s="18"/>
      <c r="O200" s="18"/>
      <c r="P200" s="18"/>
      <c r="Q200" s="18"/>
      <c r="R200" s="18"/>
    </row>
    <row r="201" spans="7:18" x14ac:dyDescent="0.25">
      <c r="G201" s="18"/>
      <c r="H201" s="18"/>
      <c r="K201" s="18"/>
      <c r="L201" s="18"/>
      <c r="M201" s="18"/>
      <c r="N201" s="18"/>
      <c r="O201" s="18"/>
      <c r="P201" s="18"/>
      <c r="Q201" s="18"/>
      <c r="R201" s="18"/>
    </row>
    <row r="202" spans="7:18" x14ac:dyDescent="0.25">
      <c r="G202" s="18"/>
      <c r="H202" s="18"/>
      <c r="K202" s="18"/>
      <c r="L202" s="18"/>
      <c r="M202" s="18"/>
      <c r="N202" s="18"/>
      <c r="O202" s="18"/>
      <c r="P202" s="18"/>
      <c r="Q202" s="18"/>
      <c r="R202" s="18"/>
    </row>
    <row r="204" spans="7:18" x14ac:dyDescent="0.25">
      <c r="J204" s="24"/>
      <c r="K204" s="24"/>
      <c r="L204" s="24"/>
      <c r="M204" s="24"/>
      <c r="N204" s="24"/>
      <c r="O204" s="24"/>
      <c r="P204" s="24"/>
      <c r="Q204" s="24"/>
      <c r="R204"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pageSetUpPr fitToPage="1"/>
  </sheetPr>
  <dimension ref="A1:DV122"/>
  <sheetViews>
    <sheetView workbookViewId="0">
      <pane xSplit="1" ySplit="1" topLeftCell="B2" activePane="bottomRight" state="frozen"/>
      <selection activeCell="G45" sqref="G45"/>
      <selection pane="topRight" activeCell="G45" sqref="G45"/>
      <selection pane="bottomLeft" activeCell="G45" sqref="G45"/>
      <selection pane="bottomRight" activeCell="DB28" sqref="DB28"/>
    </sheetView>
  </sheetViews>
  <sheetFormatPr defaultColWidth="8.77734375" defaultRowHeight="13.2" x14ac:dyDescent="0.25"/>
  <cols>
    <col min="1" max="1" width="11.77734375" style="3" bestFit="1" customWidth="1"/>
    <col min="2" max="3" width="10.33203125" style="1" customWidth="1"/>
    <col min="4" max="4" width="14.77734375" style="266" customWidth="1"/>
    <col min="5" max="5" width="14.109375" style="266" customWidth="1"/>
    <col min="6" max="6" width="13.109375" style="266" customWidth="1"/>
    <col min="7" max="7" width="12.44140625" style="4" customWidth="1"/>
    <col min="8" max="8" width="15.44140625" style="263" customWidth="1"/>
    <col min="9" max="10" width="13.109375" style="1" customWidth="1"/>
    <col min="11" max="11" width="17.44140625" style="4" bestFit="1" customWidth="1"/>
    <col min="12" max="13" width="14.33203125" style="4" customWidth="1"/>
    <col min="14" max="14" width="15.77734375" style="4" customWidth="1"/>
    <col min="15" max="26" width="13.77734375" style="4" customWidth="1"/>
    <col min="27" max="27" width="19.44140625" style="4" bestFit="1" customWidth="1"/>
    <col min="28" max="28" width="18.33203125" style="4" customWidth="1"/>
    <col min="29" max="29" width="20" style="4" bestFit="1" customWidth="1"/>
    <col min="30" max="32" width="20" style="4" customWidth="1"/>
    <col min="33" max="33" width="12.33203125" style="4" bestFit="1" customWidth="1"/>
    <col min="34" max="34" width="18.33203125" style="1" bestFit="1" customWidth="1"/>
    <col min="35" max="35" width="12.33203125" style="5" bestFit="1" customWidth="1"/>
    <col min="36" max="40" width="12.33203125" style="5" customWidth="1"/>
    <col min="41" max="44" width="10.109375" style="5" bestFit="1" customWidth="1"/>
    <col min="45" max="50" width="8.77734375" style="5" customWidth="1"/>
    <col min="51" max="65" width="8.77734375" style="6"/>
    <col min="66" max="83" width="8.77734375" style="1"/>
    <col min="84" max="84" width="8.33203125" style="1" bestFit="1" customWidth="1"/>
    <col min="85" max="85" width="12.33203125" style="1" bestFit="1" customWidth="1"/>
    <col min="86" max="86" width="13.6640625" style="1" bestFit="1" customWidth="1"/>
    <col min="87" max="87" width="12.33203125" style="1" bestFit="1" customWidth="1"/>
    <col min="88" max="115" width="10.109375" style="1" customWidth="1"/>
    <col min="116" max="116" width="10.6640625" style="1" customWidth="1"/>
    <col min="117" max="117" width="8.77734375" style="1"/>
    <col min="118" max="118" width="12.77734375" style="1" customWidth="1"/>
    <col min="119" max="119" width="10.77734375" style="1" bestFit="1" customWidth="1"/>
    <col min="120" max="120" width="8.77734375" style="1"/>
    <col min="121" max="122" width="12" style="1" bestFit="1" customWidth="1"/>
    <col min="123" max="124" width="10.77734375" style="1" bestFit="1" customWidth="1"/>
    <col min="125" max="126" width="14" style="1" bestFit="1" customWidth="1"/>
    <col min="127" max="16384" width="8.77734375" style="1"/>
  </cols>
  <sheetData>
    <row r="1" spans="1:126" s="241" customFormat="1" ht="39.6" x14ac:dyDescent="0.25">
      <c r="A1" s="256" t="s">
        <v>0</v>
      </c>
      <c r="B1" s="241" t="s">
        <v>1</v>
      </c>
      <c r="C1" s="241" t="s">
        <v>2</v>
      </c>
      <c r="D1" s="257" t="s">
        <v>3</v>
      </c>
      <c r="E1" s="257" t="s">
        <v>4</v>
      </c>
      <c r="F1" s="257" t="s">
        <v>5</v>
      </c>
      <c r="G1" s="258" t="s">
        <v>6</v>
      </c>
      <c r="H1" s="259" t="s">
        <v>7</v>
      </c>
      <c r="I1" s="257" t="s">
        <v>8</v>
      </c>
      <c r="J1" s="257" t="s">
        <v>9</v>
      </c>
      <c r="K1" s="260" t="s">
        <v>10</v>
      </c>
      <c r="L1" s="260" t="s">
        <v>11</v>
      </c>
      <c r="M1" s="260" t="s">
        <v>12</v>
      </c>
      <c r="N1" s="260" t="s">
        <v>13</v>
      </c>
      <c r="O1" s="260" t="s">
        <v>14</v>
      </c>
      <c r="P1" s="260" t="s">
        <v>15</v>
      </c>
      <c r="Q1" s="260" t="s">
        <v>16</v>
      </c>
      <c r="R1" s="260" t="s">
        <v>17</v>
      </c>
      <c r="S1" s="260" t="s">
        <v>18</v>
      </c>
      <c r="T1" s="260" t="s">
        <v>19</v>
      </c>
      <c r="U1" s="260" t="s">
        <v>20</v>
      </c>
      <c r="V1" s="260" t="s">
        <v>21</v>
      </c>
      <c r="W1" s="260" t="s">
        <v>22</v>
      </c>
      <c r="X1" s="260" t="s">
        <v>23</v>
      </c>
      <c r="Y1" s="260" t="s">
        <v>24</v>
      </c>
      <c r="Z1" s="260" t="s">
        <v>25</v>
      </c>
      <c r="AA1" s="260" t="s">
        <v>26</v>
      </c>
      <c r="AB1" s="260" t="s">
        <v>27</v>
      </c>
      <c r="AC1" s="260" t="s">
        <v>28</v>
      </c>
      <c r="AD1" s="260" t="s">
        <v>29</v>
      </c>
      <c r="AE1" s="260" t="s">
        <v>30</v>
      </c>
      <c r="AF1" s="260" t="s">
        <v>31</v>
      </c>
      <c r="AG1" s="260" t="s">
        <v>32</v>
      </c>
      <c r="AH1" s="241" t="s">
        <v>33</v>
      </c>
      <c r="AI1" s="242" t="s">
        <v>34</v>
      </c>
      <c r="AJ1" s="242" t="s">
        <v>35</v>
      </c>
      <c r="AK1" s="242" t="s">
        <v>36</v>
      </c>
      <c r="AL1" s="242" t="s">
        <v>37</v>
      </c>
      <c r="AM1" s="242" t="s">
        <v>38</v>
      </c>
      <c r="AN1" s="242" t="s">
        <v>39</v>
      </c>
      <c r="AO1" s="242" t="s">
        <v>40</v>
      </c>
      <c r="AP1" s="242" t="s">
        <v>41</v>
      </c>
      <c r="AQ1" s="242" t="s">
        <v>42</v>
      </c>
      <c r="AR1" s="242" t="s">
        <v>43</v>
      </c>
      <c r="AS1" s="242" t="s">
        <v>44</v>
      </c>
      <c r="AT1" s="242" t="s">
        <v>45</v>
      </c>
      <c r="AU1" s="242" t="s">
        <v>46</v>
      </c>
      <c r="AV1" s="242" t="s">
        <v>47</v>
      </c>
      <c r="AW1" s="242" t="s">
        <v>48</v>
      </c>
      <c r="AX1" s="242" t="s">
        <v>49</v>
      </c>
      <c r="AY1" s="243" t="s">
        <v>50</v>
      </c>
      <c r="AZ1" s="243" t="s">
        <v>51</v>
      </c>
      <c r="BA1" s="243" t="s">
        <v>52</v>
      </c>
      <c r="BB1" s="243" t="s">
        <v>53</v>
      </c>
      <c r="BC1" s="243" t="s">
        <v>54</v>
      </c>
      <c r="BD1" s="243" t="s">
        <v>55</v>
      </c>
      <c r="BE1" s="243" t="s">
        <v>56</v>
      </c>
      <c r="BF1" s="243" t="s">
        <v>57</v>
      </c>
      <c r="BG1" s="243" t="s">
        <v>58</v>
      </c>
      <c r="BH1" s="243" t="s">
        <v>59</v>
      </c>
      <c r="BI1" s="243" t="s">
        <v>60</v>
      </c>
      <c r="BJ1" s="243" t="s">
        <v>61</v>
      </c>
      <c r="BK1" s="243" t="s">
        <v>62</v>
      </c>
      <c r="BL1" s="243" t="s">
        <v>63</v>
      </c>
      <c r="BM1" s="243" t="s">
        <v>64</v>
      </c>
      <c r="BN1" s="458" t="s">
        <v>65</v>
      </c>
      <c r="BO1" s="458" t="s">
        <v>66</v>
      </c>
      <c r="BP1" s="458" t="s">
        <v>67</v>
      </c>
      <c r="BQ1" s="458" t="s">
        <v>68</v>
      </c>
      <c r="BR1" s="458" t="s">
        <v>69</v>
      </c>
      <c r="BS1" s="458" t="s">
        <v>70</v>
      </c>
      <c r="BT1" s="458" t="s">
        <v>71</v>
      </c>
      <c r="BU1" s="458" t="s">
        <v>72</v>
      </c>
      <c r="BV1" s="458" t="s">
        <v>73</v>
      </c>
      <c r="BW1" s="458" t="s">
        <v>74</v>
      </c>
      <c r="BX1" s="458" t="s">
        <v>75</v>
      </c>
      <c r="BY1" s="458" t="s">
        <v>76</v>
      </c>
      <c r="BZ1" s="458" t="s">
        <v>77</v>
      </c>
      <c r="CA1" s="458" t="s">
        <v>78</v>
      </c>
      <c r="CB1" s="458" t="s">
        <v>79</v>
      </c>
      <c r="CC1" s="241" t="s">
        <v>80</v>
      </c>
      <c r="CD1" s="458" t="s">
        <v>81</v>
      </c>
      <c r="CE1" s="458" t="s">
        <v>82</v>
      </c>
      <c r="CF1" s="459" t="s">
        <v>83</v>
      </c>
      <c r="CG1" s="459" t="s">
        <v>84</v>
      </c>
      <c r="CH1" s="459" t="s">
        <v>85</v>
      </c>
      <c r="CI1" s="459" t="s">
        <v>86</v>
      </c>
      <c r="CJ1" s="459" t="s">
        <v>87</v>
      </c>
      <c r="CK1" s="459" t="s">
        <v>88</v>
      </c>
      <c r="CL1" s="459" t="s">
        <v>89</v>
      </c>
      <c r="CM1" s="459" t="s">
        <v>90</v>
      </c>
      <c r="CN1" s="459" t="s">
        <v>91</v>
      </c>
      <c r="CO1" s="459" t="s">
        <v>92</v>
      </c>
      <c r="CP1" s="459" t="s">
        <v>93</v>
      </c>
      <c r="CQ1" s="459" t="s">
        <v>94</v>
      </c>
      <c r="CR1" s="459" t="s">
        <v>95</v>
      </c>
      <c r="CS1" s="459" t="s">
        <v>96</v>
      </c>
      <c r="CT1" s="459" t="s">
        <v>97</v>
      </c>
      <c r="CU1" s="459" t="s">
        <v>98</v>
      </c>
      <c r="CV1" s="459" t="s">
        <v>99</v>
      </c>
      <c r="CW1" s="459" t="s">
        <v>100</v>
      </c>
      <c r="CX1" s="459" t="s">
        <v>101</v>
      </c>
      <c r="CY1" s="459" t="s">
        <v>102</v>
      </c>
      <c r="CZ1" s="459" t="s">
        <v>103</v>
      </c>
      <c r="DA1" s="459" t="s">
        <v>104</v>
      </c>
      <c r="DB1" s="459" t="s">
        <v>105</v>
      </c>
      <c r="DC1" s="459" t="s">
        <v>106</v>
      </c>
      <c r="DD1" s="459" t="s">
        <v>107</v>
      </c>
      <c r="DE1" s="459" t="s">
        <v>108</v>
      </c>
      <c r="DF1" s="459" t="s">
        <v>109</v>
      </c>
      <c r="DG1" s="459" t="s">
        <v>110</v>
      </c>
      <c r="DH1" s="459" t="s">
        <v>111</v>
      </c>
      <c r="DI1" s="459" t="s">
        <v>112</v>
      </c>
      <c r="DJ1" s="459" t="s">
        <v>113</v>
      </c>
      <c r="DK1" s="459" t="s">
        <v>114</v>
      </c>
    </row>
    <row r="2" spans="1:126" x14ac:dyDescent="0.25">
      <c r="A2" s="261">
        <v>42005</v>
      </c>
      <c r="B2" s="262">
        <f t="shared" ref="B2:B53" si="0">YEAR(A2)</f>
        <v>2015</v>
      </c>
      <c r="C2" s="262">
        <f t="shared" ref="C2:C53" si="1">MONTH(A2)</f>
        <v>1</v>
      </c>
      <c r="D2" s="263">
        <v>49368868.680075057</v>
      </c>
      <c r="E2" s="263">
        <f>IFERROR(VLOOKUP($B2-1,CDM!$L$7:$T$18,2,FALSE)/12,0)+IFERROR(VLOOKUP($B2,CDM!$L$36:$T$46,2,FALSE)/24,0)+IFERROR(VLOOKUP($B2,CDM!$L$36:$T$46,2,FALSE)/2*$C2/78,0)</f>
        <v>83935.528846153844</v>
      </c>
      <c r="F2" s="263">
        <f t="shared" ref="F2:F53" si="2">D2+E2</f>
        <v>49452804.208921209</v>
      </c>
      <c r="G2" s="264">
        <v>46149</v>
      </c>
      <c r="H2" s="263">
        <v>13797623.045835016</v>
      </c>
      <c r="I2" s="263">
        <f>IFERROR(VLOOKUP($B2-1,CDM!$L$7:$T$18,3,FALSE)/12,0)+IFERROR(VLOOKUP($B2,CDM!$L$36:$T$46,3,FALSE)/24,0)+IFERROR(VLOOKUP($B2,CDM!$L$36:$T$46,3,FALSE)/2*$C2/78,0)</f>
        <v>24765.750961538462</v>
      </c>
      <c r="J2" s="263">
        <f>H2+I2</f>
        <v>13822388.796796555</v>
      </c>
      <c r="K2" s="265">
        <v>3993</v>
      </c>
      <c r="L2" s="4">
        <v>32669752.675784744</v>
      </c>
      <c r="M2" s="266">
        <f>IFERROR(VLOOKUP($B2-1,CDM!$L$7:$T$18,4,FALSE)/12,0)+IFERROR(VLOOKUP($B2,CDM!$L$36:$T$46,4,FALSE)/24,0)+IFERROR(VLOOKUP($B2,CDM!$L$36:$T$46,4,FALSE)/2*$C2/78,0)</f>
        <v>34541.70528846154</v>
      </c>
      <c r="N2" s="263">
        <f t="shared" ref="N2:N53" si="3">L2+M2</f>
        <v>32704294.381073207</v>
      </c>
      <c r="O2" s="4">
        <v>74419</v>
      </c>
      <c r="P2" s="265">
        <v>505</v>
      </c>
      <c r="Q2" s="265">
        <v>6465611.5670688022</v>
      </c>
      <c r="R2" s="265">
        <f>IFERROR(VLOOKUP($B2-1,CDM!$L$7:$T$18,5,FALSE)/12,0)+IFERROR(VLOOKUP($B2,CDM!$L$36:$T$46,5,FALSE)/24,0)+IFERROR(VLOOKUP($B2,CDM!$L$36:$T$46,5,FALSE)/2*$C2/78,0)</f>
        <v>231991.26971153848</v>
      </c>
      <c r="S2" s="265">
        <f>Q2+R2</f>
        <v>6697602.8367803404</v>
      </c>
      <c r="T2" s="265">
        <v>14368</v>
      </c>
      <c r="U2" s="265">
        <v>12</v>
      </c>
      <c r="V2" s="265">
        <v>3310187.7147286441</v>
      </c>
      <c r="W2" s="265">
        <f>IFERROR(VLOOKUP($B2-1,CDM!$L$7:$T$18,6,FALSE)/12,0)+IFERROR(VLOOKUP($B2,CDM!$L$36:$T$46,6,FALSE)/24,0)+IFERROR(VLOOKUP($B2,CDM!$L$36:$T$46,6,FALSE)/2*$C2/78,0)</f>
        <v>0</v>
      </c>
      <c r="X2" s="265">
        <f>V2+W2</f>
        <v>3310187.7147286441</v>
      </c>
      <c r="Y2" s="265">
        <v>7527</v>
      </c>
      <c r="Z2" s="265">
        <v>1</v>
      </c>
      <c r="AA2" s="4">
        <v>978774.29611849855</v>
      </c>
      <c r="AB2" s="4">
        <v>2153</v>
      </c>
      <c r="AC2" s="265">
        <v>12547</v>
      </c>
      <c r="AD2" s="265">
        <v>2413.1031851993134</v>
      </c>
      <c r="AE2" s="265">
        <v>0</v>
      </c>
      <c r="AF2" s="265">
        <v>25</v>
      </c>
      <c r="AG2" s="4">
        <v>210684</v>
      </c>
      <c r="AH2" s="4">
        <v>268</v>
      </c>
      <c r="AI2" s="28">
        <f>Economic!H4</f>
        <v>727609.6</v>
      </c>
      <c r="AJ2" s="28">
        <f>Economic!I4</f>
        <v>557474</v>
      </c>
      <c r="AK2" s="28">
        <f>Economic!J4</f>
        <v>49299.3</v>
      </c>
      <c r="AL2" s="28">
        <f>Economic!K4</f>
        <v>718587</v>
      </c>
      <c r="AM2" s="28">
        <f>Economic!L4</f>
        <v>551679</v>
      </c>
      <c r="AN2" s="28">
        <f>Economic!M4</f>
        <v>28860</v>
      </c>
      <c r="AO2" s="28">
        <f>Economic!D4</f>
        <v>6851.1</v>
      </c>
      <c r="AP2" s="28">
        <f>Economic!E4</f>
        <v>6809.7</v>
      </c>
      <c r="AQ2" s="28">
        <f>Economic!F4</f>
        <v>201.9</v>
      </c>
      <c r="AR2" s="28">
        <f>Economic!G4</f>
        <v>201.6</v>
      </c>
      <c r="AS2" s="28">
        <f>Economic!N4</f>
        <v>0</v>
      </c>
      <c r="AT2" s="28">
        <f>Economic!O4</f>
        <v>0</v>
      </c>
      <c r="AU2" s="28">
        <f>Economic!P4</f>
        <v>0</v>
      </c>
      <c r="AV2" s="28">
        <f>Economic!Q4</f>
        <v>0</v>
      </c>
      <c r="AW2" s="28">
        <f>Economic!R4</f>
        <v>0</v>
      </c>
      <c r="AX2" s="28">
        <f>Economic!S4</f>
        <v>0</v>
      </c>
      <c r="AY2" s="7">
        <f>Weather!D2</f>
        <v>-7.7384467040673215</v>
      </c>
      <c r="AZ2" s="7">
        <f>Weather!E2</f>
        <v>859.89184782608675</v>
      </c>
      <c r="BA2" s="7">
        <f>Weather!F2</f>
        <v>0</v>
      </c>
      <c r="BB2" s="7">
        <f>Weather!G2</f>
        <v>797.89184782608675</v>
      </c>
      <c r="BC2" s="7">
        <f>Weather!H2</f>
        <v>0</v>
      </c>
      <c r="BD2" s="7">
        <f>Weather!I2</f>
        <v>735.89184782608675</v>
      </c>
      <c r="BE2" s="7">
        <f>Weather!J2</f>
        <v>0</v>
      </c>
      <c r="BF2" s="7">
        <f>Weather!K2</f>
        <v>673.89184782608697</v>
      </c>
      <c r="BG2" s="7">
        <f>Weather!L2</f>
        <v>0</v>
      </c>
      <c r="BH2" s="7">
        <f>Weather!M2</f>
        <v>611.89184782608697</v>
      </c>
      <c r="BI2" s="7">
        <f>Weather!N2</f>
        <v>0</v>
      </c>
      <c r="BJ2" s="7">
        <f>Weather!O2</f>
        <v>549.89184782608709</v>
      </c>
      <c r="BK2" s="7">
        <f>Weather!P2</f>
        <v>0</v>
      </c>
      <c r="BL2" s="7">
        <f>Weather!Q2</f>
        <v>487.89184782608703</v>
      </c>
      <c r="BM2" s="7">
        <f>Weather!R2</f>
        <v>0</v>
      </c>
      <c r="BN2" s="1">
        <v>1</v>
      </c>
      <c r="BO2" s="1">
        <v>0</v>
      </c>
      <c r="BP2" s="1">
        <v>0</v>
      </c>
      <c r="BQ2" s="1">
        <v>0</v>
      </c>
      <c r="BR2" s="1">
        <v>0</v>
      </c>
      <c r="BS2" s="1">
        <v>0</v>
      </c>
      <c r="BT2" s="1">
        <v>0</v>
      </c>
      <c r="BU2" s="1">
        <v>0</v>
      </c>
      <c r="BV2" s="1">
        <v>0</v>
      </c>
      <c r="BW2" s="1">
        <v>0</v>
      </c>
      <c r="BX2" s="1">
        <v>0</v>
      </c>
      <c r="BY2" s="1">
        <v>0</v>
      </c>
      <c r="BZ2" s="1">
        <v>0</v>
      </c>
      <c r="CA2" s="1">
        <v>0</v>
      </c>
      <c r="CB2" s="1">
        <v>0</v>
      </c>
      <c r="CC2" s="1">
        <v>1</v>
      </c>
      <c r="CD2" s="1">
        <v>31</v>
      </c>
      <c r="CE2" s="1">
        <v>21</v>
      </c>
      <c r="CF2" s="1">
        <v>0</v>
      </c>
      <c r="CG2" s="1">
        <v>0</v>
      </c>
      <c r="CH2" s="1">
        <v>0</v>
      </c>
      <c r="CI2" s="1">
        <v>0</v>
      </c>
      <c r="CJ2" s="1">
        <f t="shared" ref="CJ2:CW8" si="4">$CG2*AZ2</f>
        <v>0</v>
      </c>
      <c r="CK2" s="1">
        <f t="shared" si="4"/>
        <v>0</v>
      </c>
      <c r="CL2" s="1">
        <f t="shared" si="4"/>
        <v>0</v>
      </c>
      <c r="CM2" s="1">
        <f t="shared" si="4"/>
        <v>0</v>
      </c>
      <c r="CN2" s="1">
        <f t="shared" si="4"/>
        <v>0</v>
      </c>
      <c r="CO2" s="1">
        <f t="shared" si="4"/>
        <v>0</v>
      </c>
      <c r="CP2" s="1">
        <f t="shared" si="4"/>
        <v>0</v>
      </c>
      <c r="CQ2" s="1">
        <f t="shared" si="4"/>
        <v>0</v>
      </c>
      <c r="CR2" s="1">
        <f t="shared" si="4"/>
        <v>0</v>
      </c>
      <c r="CS2" s="1">
        <f t="shared" si="4"/>
        <v>0</v>
      </c>
      <c r="CT2" s="1">
        <f t="shared" si="4"/>
        <v>0</v>
      </c>
      <c r="CU2" s="1">
        <f t="shared" si="4"/>
        <v>0</v>
      </c>
      <c r="CV2" s="1">
        <f t="shared" si="4"/>
        <v>0</v>
      </c>
      <c r="CW2" s="1">
        <f t="shared" si="4"/>
        <v>0</v>
      </c>
      <c r="CX2" s="1">
        <f t="shared" ref="CX2:DK8" si="5">$CH2*AZ2</f>
        <v>0</v>
      </c>
      <c r="CY2" s="1">
        <f t="shared" si="5"/>
        <v>0</v>
      </c>
      <c r="CZ2" s="1">
        <f t="shared" si="5"/>
        <v>0</v>
      </c>
      <c r="DA2" s="1">
        <f t="shared" si="5"/>
        <v>0</v>
      </c>
      <c r="DB2" s="1">
        <f t="shared" si="5"/>
        <v>0</v>
      </c>
      <c r="DC2" s="1">
        <f t="shared" si="5"/>
        <v>0</v>
      </c>
      <c r="DD2" s="1">
        <f t="shared" si="5"/>
        <v>0</v>
      </c>
      <c r="DE2" s="1">
        <f t="shared" si="5"/>
        <v>0</v>
      </c>
      <c r="DF2" s="1">
        <f t="shared" si="5"/>
        <v>0</v>
      </c>
      <c r="DG2" s="1">
        <f t="shared" si="5"/>
        <v>0</v>
      </c>
      <c r="DH2" s="1">
        <f t="shared" si="5"/>
        <v>0</v>
      </c>
      <c r="DI2" s="1">
        <f t="shared" si="5"/>
        <v>0</v>
      </c>
      <c r="DJ2" s="1">
        <f t="shared" si="5"/>
        <v>0</v>
      </c>
      <c r="DK2" s="1">
        <f t="shared" si="5"/>
        <v>0</v>
      </c>
      <c r="DL2" s="25"/>
      <c r="DM2" s="25"/>
      <c r="DN2" s="24"/>
      <c r="DO2" s="25"/>
      <c r="DP2" s="25"/>
      <c r="DQ2" s="25"/>
      <c r="DR2" s="25"/>
      <c r="DS2" s="25"/>
      <c r="DT2" s="25"/>
      <c r="DU2" s="25"/>
      <c r="DV2" s="25"/>
    </row>
    <row r="3" spans="1:126" x14ac:dyDescent="0.25">
      <c r="A3" s="261">
        <v>42036</v>
      </c>
      <c r="B3" s="262">
        <f t="shared" si="0"/>
        <v>2015</v>
      </c>
      <c r="C3" s="262">
        <f t="shared" si="1"/>
        <v>2</v>
      </c>
      <c r="D3" s="263">
        <v>50207789.74081552</v>
      </c>
      <c r="E3" s="263">
        <f>IFERROR(VLOOKUP($B3-1,CDM!$L$7:$T$18,2,FALSE)/12,0)+IFERROR(VLOOKUP($B3,CDM!$L$36:$T$46,2,FALSE)/24,0)+IFERROR(VLOOKUP($B3,CDM!$L$36:$T$46,2,FALSE)/2*$C3/78,0)</f>
        <v>95126.932692307688</v>
      </c>
      <c r="F3" s="263">
        <f t="shared" si="2"/>
        <v>50302916.673507825</v>
      </c>
      <c r="G3" s="264">
        <v>46291</v>
      </c>
      <c r="H3" s="263">
        <v>12740841.794725608</v>
      </c>
      <c r="I3" s="263">
        <f>IFERROR(VLOOKUP($B3-1,CDM!$L$7:$T$18,3,FALSE)/12,0)+IFERROR(VLOOKUP($B3,CDM!$L$36:$T$46,3,FALSE)/24,0)+IFERROR(VLOOKUP($B3,CDM!$L$36:$T$46,3,FALSE)/2*$C3/78,0)</f>
        <v>28067.851089743592</v>
      </c>
      <c r="J3" s="263">
        <f t="shared" ref="J3:J53" si="6">H3+I3</f>
        <v>12768909.645815352</v>
      </c>
      <c r="K3" s="265">
        <v>3993</v>
      </c>
      <c r="L3" s="4">
        <v>34066716.224822745</v>
      </c>
      <c r="M3" s="266">
        <f>IFERROR(VLOOKUP($B3-1,CDM!$L$7:$T$18,4,FALSE)/12,0)+IFERROR(VLOOKUP($B3,CDM!$L$36:$T$46,4,FALSE)/24,0)+IFERROR(VLOOKUP($B3,CDM!$L$36:$T$46,4,FALSE)/2*$C3/78,0)</f>
        <v>39147.265993589754</v>
      </c>
      <c r="N3" s="263">
        <f t="shared" si="3"/>
        <v>34105863.490816332</v>
      </c>
      <c r="O3" s="4">
        <v>82526</v>
      </c>
      <c r="P3" s="265">
        <v>505</v>
      </c>
      <c r="Q3" s="265">
        <v>6029332.5775803057</v>
      </c>
      <c r="R3" s="265">
        <f>IFERROR(VLOOKUP($B3-1,CDM!$L$7:$T$18,5,FALSE)/12,0)+IFERROR(VLOOKUP($B3,CDM!$L$36:$T$46,5,FALSE)/24,0)+IFERROR(VLOOKUP($B3,CDM!$L$36:$T$46,5,FALSE)/2*$C3/78,0)</f>
        <v>262923.43900641031</v>
      </c>
      <c r="S3" s="265">
        <f t="shared" ref="S3:S66" si="7">Q3+R3</f>
        <v>6292256.0165867163</v>
      </c>
      <c r="T3" s="265">
        <v>14632</v>
      </c>
      <c r="U3" s="265">
        <v>12</v>
      </c>
      <c r="V3" s="265">
        <v>3180175.3551415652</v>
      </c>
      <c r="W3" s="265">
        <f>IFERROR(VLOOKUP($B3-1,CDM!$L$7:$T$18,6,FALSE)/12,0)+IFERROR(VLOOKUP($B3,CDM!$L$36:$T$46,6,FALSE)/24,0)+IFERROR(VLOOKUP($B3,CDM!$L$36:$T$46,6,FALSE)/2*$C3/78,0)</f>
        <v>0</v>
      </c>
      <c r="X3" s="265">
        <f t="shared" ref="X3:X66" si="8">V3+W3</f>
        <v>3180175.3551415652</v>
      </c>
      <c r="Y3" s="265">
        <v>7067</v>
      </c>
      <c r="Z3" s="265">
        <v>1</v>
      </c>
      <c r="AA3" s="4">
        <v>810286.24593737395</v>
      </c>
      <c r="AB3" s="4">
        <v>2153</v>
      </c>
      <c r="AC3" s="265">
        <v>12547</v>
      </c>
      <c r="AD3" s="265">
        <v>2242.6473393095557</v>
      </c>
      <c r="AE3" s="265">
        <v>0</v>
      </c>
      <c r="AF3" s="265">
        <v>25</v>
      </c>
      <c r="AG3" s="4">
        <v>207365</v>
      </c>
      <c r="AH3" s="4">
        <v>268</v>
      </c>
      <c r="AI3" s="28">
        <f>Economic!H5</f>
        <v>727609.6</v>
      </c>
      <c r="AJ3" s="28">
        <f>Economic!I5</f>
        <v>557474</v>
      </c>
      <c r="AK3" s="28">
        <f>Economic!J5</f>
        <v>49299.3</v>
      </c>
      <c r="AL3" s="28">
        <f>Economic!K5</f>
        <v>718587</v>
      </c>
      <c r="AM3" s="28">
        <f>Economic!L5</f>
        <v>551679</v>
      </c>
      <c r="AN3" s="28">
        <f>Economic!M5</f>
        <v>28860</v>
      </c>
      <c r="AO3" s="28">
        <f>Economic!D5</f>
        <v>6859.2</v>
      </c>
      <c r="AP3" s="28">
        <f>Economic!E5</f>
        <v>6782.7</v>
      </c>
      <c r="AQ3" s="28">
        <f>Economic!F5</f>
        <v>200.2</v>
      </c>
      <c r="AR3" s="28">
        <f>Economic!G5</f>
        <v>198.8</v>
      </c>
      <c r="AS3" s="28">
        <f>Economic!N5</f>
        <v>0</v>
      </c>
      <c r="AT3" s="28">
        <f>Economic!O5</f>
        <v>0</v>
      </c>
      <c r="AU3" s="28">
        <f>Economic!P5</f>
        <v>0</v>
      </c>
      <c r="AV3" s="28">
        <f>Economic!Q5</f>
        <v>0</v>
      </c>
      <c r="AW3" s="28">
        <f>Economic!R5</f>
        <v>0</v>
      </c>
      <c r="AX3" s="28">
        <f>Economic!S5</f>
        <v>0</v>
      </c>
      <c r="AY3" s="7">
        <f>Weather!D3</f>
        <v>-12.92336956521739</v>
      </c>
      <c r="AZ3" s="7">
        <f>Weather!E3</f>
        <v>921.85434782608706</v>
      </c>
      <c r="BA3" s="7">
        <f>Weather!F3</f>
        <v>0</v>
      </c>
      <c r="BB3" s="7">
        <f>Weather!G3</f>
        <v>865.85434782608706</v>
      </c>
      <c r="BC3" s="7">
        <f>Weather!H3</f>
        <v>0</v>
      </c>
      <c r="BD3" s="7">
        <f>Weather!I3</f>
        <v>809.85434782608706</v>
      </c>
      <c r="BE3" s="7">
        <f>Weather!J3</f>
        <v>0</v>
      </c>
      <c r="BF3" s="7">
        <f>Weather!K3</f>
        <v>753.85434782608695</v>
      </c>
      <c r="BG3" s="7">
        <f>Weather!L3</f>
        <v>0</v>
      </c>
      <c r="BH3" s="7">
        <f>Weather!M3</f>
        <v>697.85434782608695</v>
      </c>
      <c r="BI3" s="7">
        <f>Weather!N3</f>
        <v>0</v>
      </c>
      <c r="BJ3" s="7">
        <f>Weather!O3</f>
        <v>641.85434782608695</v>
      </c>
      <c r="BK3" s="7">
        <f>Weather!P3</f>
        <v>0</v>
      </c>
      <c r="BL3" s="7">
        <f>Weather!Q3</f>
        <v>585.85434782608695</v>
      </c>
      <c r="BM3" s="7">
        <f>Weather!R3</f>
        <v>0</v>
      </c>
      <c r="BN3" s="1">
        <v>0</v>
      </c>
      <c r="BO3" s="1">
        <v>1</v>
      </c>
      <c r="BP3" s="1">
        <v>0</v>
      </c>
      <c r="BQ3" s="1">
        <v>0</v>
      </c>
      <c r="BR3" s="1">
        <v>0</v>
      </c>
      <c r="BS3" s="1">
        <v>0</v>
      </c>
      <c r="BT3" s="1">
        <v>0</v>
      </c>
      <c r="BU3" s="1">
        <v>0</v>
      </c>
      <c r="BV3" s="1">
        <v>0</v>
      </c>
      <c r="BW3" s="1">
        <v>0</v>
      </c>
      <c r="BX3" s="1">
        <v>0</v>
      </c>
      <c r="BY3" s="1">
        <v>0</v>
      </c>
      <c r="BZ3" s="1">
        <v>0</v>
      </c>
      <c r="CA3" s="1">
        <v>0</v>
      </c>
      <c r="CB3" s="1">
        <v>0</v>
      </c>
      <c r="CC3" s="1">
        <f t="shared" ref="CC3:CC53" si="9">1+CC2</f>
        <v>2</v>
      </c>
      <c r="CD3" s="1">
        <v>28</v>
      </c>
      <c r="CE3" s="1">
        <v>19</v>
      </c>
      <c r="CF3" s="1">
        <v>0</v>
      </c>
      <c r="CG3" s="1">
        <v>0</v>
      </c>
      <c r="CH3" s="1">
        <v>0</v>
      </c>
      <c r="CI3" s="1">
        <v>0</v>
      </c>
      <c r="CJ3" s="1">
        <f t="shared" si="4"/>
        <v>0</v>
      </c>
      <c r="CK3" s="1">
        <f t="shared" si="4"/>
        <v>0</v>
      </c>
      <c r="CL3" s="1">
        <f t="shared" si="4"/>
        <v>0</v>
      </c>
      <c r="CM3" s="1">
        <f t="shared" si="4"/>
        <v>0</v>
      </c>
      <c r="CN3" s="1">
        <f t="shared" si="4"/>
        <v>0</v>
      </c>
      <c r="CO3" s="1">
        <f t="shared" si="4"/>
        <v>0</v>
      </c>
      <c r="CP3" s="1">
        <f t="shared" si="4"/>
        <v>0</v>
      </c>
      <c r="CQ3" s="1">
        <f t="shared" si="4"/>
        <v>0</v>
      </c>
      <c r="CR3" s="1">
        <f t="shared" si="4"/>
        <v>0</v>
      </c>
      <c r="CS3" s="1">
        <f t="shared" si="4"/>
        <v>0</v>
      </c>
      <c r="CT3" s="1">
        <f t="shared" si="4"/>
        <v>0</v>
      </c>
      <c r="CU3" s="1">
        <f t="shared" si="4"/>
        <v>0</v>
      </c>
      <c r="CV3" s="1">
        <f t="shared" si="4"/>
        <v>0</v>
      </c>
      <c r="CW3" s="1">
        <f t="shared" si="4"/>
        <v>0</v>
      </c>
      <c r="CX3" s="1">
        <f t="shared" si="5"/>
        <v>0</v>
      </c>
      <c r="CY3" s="1">
        <f t="shared" si="5"/>
        <v>0</v>
      </c>
      <c r="CZ3" s="1">
        <f t="shared" si="5"/>
        <v>0</v>
      </c>
      <c r="DA3" s="1">
        <f t="shared" si="5"/>
        <v>0</v>
      </c>
      <c r="DB3" s="1">
        <f t="shared" si="5"/>
        <v>0</v>
      </c>
      <c r="DC3" s="1">
        <f t="shared" si="5"/>
        <v>0</v>
      </c>
      <c r="DD3" s="1">
        <f t="shared" si="5"/>
        <v>0</v>
      </c>
      <c r="DE3" s="1">
        <f t="shared" si="5"/>
        <v>0</v>
      </c>
      <c r="DF3" s="1">
        <f t="shared" si="5"/>
        <v>0</v>
      </c>
      <c r="DG3" s="1">
        <f t="shared" si="5"/>
        <v>0</v>
      </c>
      <c r="DH3" s="1">
        <f t="shared" si="5"/>
        <v>0</v>
      </c>
      <c r="DI3" s="1">
        <f t="shared" si="5"/>
        <v>0</v>
      </c>
      <c r="DJ3" s="1">
        <f t="shared" si="5"/>
        <v>0</v>
      </c>
      <c r="DK3" s="1">
        <f t="shared" si="5"/>
        <v>0</v>
      </c>
      <c r="DL3" s="25"/>
      <c r="DM3" s="25"/>
      <c r="DN3" s="24"/>
      <c r="DO3" s="25"/>
      <c r="DP3" s="25"/>
      <c r="DQ3" s="25"/>
      <c r="DR3" s="25"/>
      <c r="DS3" s="25"/>
      <c r="DT3" s="25"/>
      <c r="DU3" s="25"/>
      <c r="DV3" s="25"/>
    </row>
    <row r="4" spans="1:126" x14ac:dyDescent="0.25">
      <c r="A4" s="261">
        <v>42064</v>
      </c>
      <c r="B4" s="262">
        <f t="shared" si="0"/>
        <v>2015</v>
      </c>
      <c r="C4" s="262">
        <f t="shared" si="1"/>
        <v>3</v>
      </c>
      <c r="D4" s="263">
        <v>41764611.526714548</v>
      </c>
      <c r="E4" s="263">
        <f>IFERROR(VLOOKUP($B4-1,CDM!$L$7:$T$18,2,FALSE)/12,0)+IFERROR(VLOOKUP($B4,CDM!$L$36:$T$46,2,FALSE)/24,0)+IFERROR(VLOOKUP($B4,CDM!$L$36:$T$46,2,FALSE)/2*$C4/78,0)</f>
        <v>106318.33653846153</v>
      </c>
      <c r="F4" s="263">
        <f t="shared" si="2"/>
        <v>41870929.863253012</v>
      </c>
      <c r="G4" s="264">
        <v>46722</v>
      </c>
      <c r="H4" s="263">
        <v>12297756.173001509</v>
      </c>
      <c r="I4" s="263">
        <f>IFERROR(VLOOKUP($B4-1,CDM!$L$7:$T$18,3,FALSE)/12,0)+IFERROR(VLOOKUP($B4,CDM!$L$36:$T$46,3,FALSE)/24,0)+IFERROR(VLOOKUP($B4,CDM!$L$36:$T$46,3,FALSE)/2*$C4/78,0)</f>
        <v>31369.951217948717</v>
      </c>
      <c r="J4" s="263">
        <f t="shared" si="6"/>
        <v>12329126.124219459</v>
      </c>
      <c r="K4" s="265">
        <v>3986</v>
      </c>
      <c r="L4" s="4">
        <v>29439289.530604061</v>
      </c>
      <c r="M4" s="266">
        <f>IFERROR(VLOOKUP($B4-1,CDM!$L$7:$T$18,4,FALSE)/12,0)+IFERROR(VLOOKUP($B4,CDM!$L$36:$T$46,4,FALSE)/24,0)+IFERROR(VLOOKUP($B4,CDM!$L$36:$T$46,4,FALSE)/2*$C4/78,0)</f>
        <v>43752.826698717952</v>
      </c>
      <c r="N4" s="263">
        <f t="shared" si="3"/>
        <v>29483042.357302777</v>
      </c>
      <c r="O4" s="4">
        <v>70720</v>
      </c>
      <c r="P4" s="265">
        <v>506</v>
      </c>
      <c r="Q4" s="265">
        <v>6585251.8047750825</v>
      </c>
      <c r="R4" s="265">
        <f>IFERROR(VLOOKUP($B4-1,CDM!$L$7:$T$18,5,FALSE)/12,0)+IFERROR(VLOOKUP($B4,CDM!$L$36:$T$46,5,FALSE)/24,0)+IFERROR(VLOOKUP($B4,CDM!$L$36:$T$46,5,FALSE)/2*$C4/78,0)</f>
        <v>293855.60830128205</v>
      </c>
      <c r="S4" s="265">
        <f t="shared" si="7"/>
        <v>6879107.4130763644</v>
      </c>
      <c r="T4" s="265">
        <v>14419</v>
      </c>
      <c r="U4" s="265">
        <v>12</v>
      </c>
      <c r="V4" s="265">
        <v>3522503.9865684011</v>
      </c>
      <c r="W4" s="265">
        <f>IFERROR(VLOOKUP($B4-1,CDM!$L$7:$T$18,6,FALSE)/12,0)+IFERROR(VLOOKUP($B4,CDM!$L$36:$T$46,6,FALSE)/24,0)+IFERROR(VLOOKUP($B4,CDM!$L$36:$T$46,6,FALSE)/2*$C4/78,0)</f>
        <v>0</v>
      </c>
      <c r="X4" s="265">
        <f t="shared" si="8"/>
        <v>3522503.9865684011</v>
      </c>
      <c r="Y4" s="265">
        <v>7914</v>
      </c>
      <c r="Z4" s="265">
        <v>1</v>
      </c>
      <c r="AA4" s="4">
        <v>814076.77874504891</v>
      </c>
      <c r="AB4" s="4">
        <v>2153</v>
      </c>
      <c r="AC4" s="265">
        <v>12547</v>
      </c>
      <c r="AD4" s="265">
        <v>2322.1247377455657</v>
      </c>
      <c r="AE4" s="265">
        <v>0</v>
      </c>
      <c r="AF4" s="265">
        <v>25</v>
      </c>
      <c r="AG4" s="4">
        <v>207328</v>
      </c>
      <c r="AH4" s="4">
        <v>263</v>
      </c>
      <c r="AI4" s="28">
        <f>Economic!H6</f>
        <v>727609.6</v>
      </c>
      <c r="AJ4" s="28">
        <f>Economic!I6</f>
        <v>557474</v>
      </c>
      <c r="AK4" s="28">
        <f>Economic!J6</f>
        <v>49299.3</v>
      </c>
      <c r="AL4" s="28">
        <f>Economic!K6</f>
        <v>718587</v>
      </c>
      <c r="AM4" s="28">
        <f>Economic!L6</f>
        <v>551679</v>
      </c>
      <c r="AN4" s="28">
        <f>Economic!M6</f>
        <v>28860</v>
      </c>
      <c r="AO4" s="28">
        <f>Economic!D6</f>
        <v>6870</v>
      </c>
      <c r="AP4" s="28">
        <f>Economic!E6</f>
        <v>6761.8</v>
      </c>
      <c r="AQ4" s="28">
        <f>Economic!F6</f>
        <v>198.4</v>
      </c>
      <c r="AR4" s="28">
        <f>Economic!G6</f>
        <v>196</v>
      </c>
      <c r="AS4" s="28">
        <f>Economic!N6</f>
        <v>0</v>
      </c>
      <c r="AT4" s="28">
        <f>Economic!O6</f>
        <v>0</v>
      </c>
      <c r="AU4" s="28">
        <f>Economic!P6</f>
        <v>0</v>
      </c>
      <c r="AV4" s="28">
        <f>Economic!Q6</f>
        <v>0</v>
      </c>
      <c r="AW4" s="28">
        <f>Economic!R6</f>
        <v>0</v>
      </c>
      <c r="AX4" s="28">
        <f>Economic!S6</f>
        <v>0</v>
      </c>
      <c r="AY4" s="7">
        <f>Weather!D4</f>
        <v>-2.5741935483870972</v>
      </c>
      <c r="AZ4" s="7">
        <f>Weather!E4</f>
        <v>699.80000000000007</v>
      </c>
      <c r="BA4" s="7">
        <f>Weather!F4</f>
        <v>0</v>
      </c>
      <c r="BB4" s="7">
        <f>Weather!G4</f>
        <v>637.79999999999995</v>
      </c>
      <c r="BC4" s="7">
        <f>Weather!H4</f>
        <v>0</v>
      </c>
      <c r="BD4" s="7">
        <f>Weather!I4</f>
        <v>575.79999999999995</v>
      </c>
      <c r="BE4" s="7">
        <f>Weather!J4</f>
        <v>0</v>
      </c>
      <c r="BF4" s="7">
        <f>Weather!K4</f>
        <v>513.79999999999995</v>
      </c>
      <c r="BG4" s="7">
        <f>Weather!L4</f>
        <v>0</v>
      </c>
      <c r="BH4" s="7">
        <f>Weather!M4</f>
        <v>451.8</v>
      </c>
      <c r="BI4" s="7">
        <f>Weather!N4</f>
        <v>0</v>
      </c>
      <c r="BJ4" s="7">
        <f>Weather!O4</f>
        <v>389.8</v>
      </c>
      <c r="BK4" s="7">
        <f>Weather!P4</f>
        <v>0</v>
      </c>
      <c r="BL4" s="7">
        <f>Weather!Q4</f>
        <v>327.79999999999995</v>
      </c>
      <c r="BM4" s="7">
        <f>Weather!R4</f>
        <v>0</v>
      </c>
      <c r="BN4" s="1">
        <v>0</v>
      </c>
      <c r="BO4" s="1">
        <v>0</v>
      </c>
      <c r="BP4" s="1">
        <v>1</v>
      </c>
      <c r="BQ4" s="1">
        <v>0</v>
      </c>
      <c r="BR4" s="1">
        <v>0</v>
      </c>
      <c r="BS4" s="1">
        <v>0</v>
      </c>
      <c r="BT4" s="1">
        <v>0</v>
      </c>
      <c r="BU4" s="1">
        <v>0</v>
      </c>
      <c r="BV4" s="1">
        <v>0</v>
      </c>
      <c r="BW4" s="1">
        <v>0</v>
      </c>
      <c r="BX4" s="1">
        <v>0</v>
      </c>
      <c r="BY4" s="1">
        <v>0</v>
      </c>
      <c r="BZ4" s="1">
        <v>1</v>
      </c>
      <c r="CA4" s="1">
        <v>0</v>
      </c>
      <c r="CB4" s="1">
        <v>1</v>
      </c>
      <c r="CC4" s="1">
        <f t="shared" si="9"/>
        <v>3</v>
      </c>
      <c r="CD4" s="1">
        <v>31</v>
      </c>
      <c r="CE4" s="1">
        <v>22</v>
      </c>
      <c r="CF4" s="1">
        <v>0</v>
      </c>
      <c r="CG4" s="1">
        <v>0</v>
      </c>
      <c r="CH4" s="1">
        <v>0</v>
      </c>
      <c r="CI4" s="1">
        <v>0</v>
      </c>
      <c r="CJ4" s="1">
        <f t="shared" si="4"/>
        <v>0</v>
      </c>
      <c r="CK4" s="1">
        <f t="shared" si="4"/>
        <v>0</v>
      </c>
      <c r="CL4" s="1">
        <f t="shared" si="4"/>
        <v>0</v>
      </c>
      <c r="CM4" s="1">
        <f t="shared" si="4"/>
        <v>0</v>
      </c>
      <c r="CN4" s="1">
        <f t="shared" si="4"/>
        <v>0</v>
      </c>
      <c r="CO4" s="1">
        <f t="shared" si="4"/>
        <v>0</v>
      </c>
      <c r="CP4" s="1">
        <f t="shared" si="4"/>
        <v>0</v>
      </c>
      <c r="CQ4" s="1">
        <f t="shared" si="4"/>
        <v>0</v>
      </c>
      <c r="CR4" s="1">
        <f t="shared" si="4"/>
        <v>0</v>
      </c>
      <c r="CS4" s="1">
        <f t="shared" si="4"/>
        <v>0</v>
      </c>
      <c r="CT4" s="1">
        <f t="shared" si="4"/>
        <v>0</v>
      </c>
      <c r="CU4" s="1">
        <f t="shared" si="4"/>
        <v>0</v>
      </c>
      <c r="CV4" s="1">
        <f t="shared" si="4"/>
        <v>0</v>
      </c>
      <c r="CW4" s="1">
        <f t="shared" si="4"/>
        <v>0</v>
      </c>
      <c r="CX4" s="1">
        <f t="shared" si="5"/>
        <v>0</v>
      </c>
      <c r="CY4" s="1">
        <f t="shared" si="5"/>
        <v>0</v>
      </c>
      <c r="CZ4" s="1">
        <f t="shared" si="5"/>
        <v>0</v>
      </c>
      <c r="DA4" s="1">
        <f t="shared" si="5"/>
        <v>0</v>
      </c>
      <c r="DB4" s="1">
        <f t="shared" si="5"/>
        <v>0</v>
      </c>
      <c r="DC4" s="1">
        <f t="shared" si="5"/>
        <v>0</v>
      </c>
      <c r="DD4" s="1">
        <f t="shared" si="5"/>
        <v>0</v>
      </c>
      <c r="DE4" s="1">
        <f t="shared" si="5"/>
        <v>0</v>
      </c>
      <c r="DF4" s="1">
        <f t="shared" si="5"/>
        <v>0</v>
      </c>
      <c r="DG4" s="1">
        <f t="shared" si="5"/>
        <v>0</v>
      </c>
      <c r="DH4" s="1">
        <f t="shared" si="5"/>
        <v>0</v>
      </c>
      <c r="DI4" s="1">
        <f t="shared" si="5"/>
        <v>0</v>
      </c>
      <c r="DJ4" s="1">
        <f t="shared" si="5"/>
        <v>0</v>
      </c>
      <c r="DK4" s="1">
        <f t="shared" si="5"/>
        <v>0</v>
      </c>
      <c r="DL4" s="25"/>
      <c r="DM4" s="25"/>
      <c r="DN4" s="24"/>
      <c r="DO4" s="25"/>
      <c r="DP4" s="25"/>
      <c r="DQ4" s="25"/>
      <c r="DR4" s="25"/>
      <c r="DS4" s="25"/>
      <c r="DT4" s="25"/>
      <c r="DU4" s="25"/>
      <c r="DV4" s="25"/>
    </row>
    <row r="5" spans="1:126" x14ac:dyDescent="0.25">
      <c r="A5" s="261">
        <v>42095</v>
      </c>
      <c r="B5" s="262">
        <f t="shared" si="0"/>
        <v>2015</v>
      </c>
      <c r="C5" s="262">
        <f t="shared" si="1"/>
        <v>4</v>
      </c>
      <c r="D5" s="263">
        <v>36980695.059087172</v>
      </c>
      <c r="E5" s="263">
        <f>IFERROR(VLOOKUP($B5-1,CDM!$L$7:$T$18,2,FALSE)/12,0)+IFERROR(VLOOKUP($B5,CDM!$L$36:$T$46,2,FALSE)/24,0)+IFERROR(VLOOKUP($B5,CDM!$L$36:$T$46,2,FALSE)/2*$C5/78,0)</f>
        <v>117509.74038461538</v>
      </c>
      <c r="F5" s="263">
        <f t="shared" si="2"/>
        <v>37098204.799471788</v>
      </c>
      <c r="G5" s="264">
        <v>46995</v>
      </c>
      <c r="H5" s="263">
        <v>10589244.119807418</v>
      </c>
      <c r="I5" s="263">
        <f>IFERROR(VLOOKUP($B5-1,CDM!$L$7:$T$18,3,FALSE)/12,0)+IFERROR(VLOOKUP($B5,CDM!$L$36:$T$46,3,FALSE)/24,0)+IFERROR(VLOOKUP($B5,CDM!$L$36:$T$46,3,FALSE)/2*$C5/78,0)</f>
        <v>34672.05134615385</v>
      </c>
      <c r="J5" s="263">
        <f t="shared" si="6"/>
        <v>10623916.171153571</v>
      </c>
      <c r="K5" s="265">
        <v>3993</v>
      </c>
      <c r="L5" s="4">
        <v>24935775.65282936</v>
      </c>
      <c r="M5" s="266">
        <f>IFERROR(VLOOKUP($B5-1,CDM!$L$7:$T$18,4,FALSE)/12,0)+IFERROR(VLOOKUP($B5,CDM!$L$36:$T$46,4,FALSE)/24,0)+IFERROR(VLOOKUP($B5,CDM!$L$36:$T$46,4,FALSE)/2*$C5/78,0)</f>
        <v>48358.387403846165</v>
      </c>
      <c r="N5" s="263">
        <f t="shared" si="3"/>
        <v>24984134.040233206</v>
      </c>
      <c r="O5" s="4">
        <v>67704</v>
      </c>
      <c r="P5" s="265">
        <v>507</v>
      </c>
      <c r="Q5" s="265">
        <v>6232028.5327273933</v>
      </c>
      <c r="R5" s="265">
        <f>IFERROR(VLOOKUP($B5-1,CDM!$L$7:$T$18,5,FALSE)/12,0)+IFERROR(VLOOKUP($B5,CDM!$L$36:$T$46,5,FALSE)/24,0)+IFERROR(VLOOKUP($B5,CDM!$L$36:$T$46,5,FALSE)/2*$C5/78,0)</f>
        <v>324787.7775961539</v>
      </c>
      <c r="S5" s="265">
        <f t="shared" si="7"/>
        <v>6556816.3103235476</v>
      </c>
      <c r="T5" s="265">
        <v>15103</v>
      </c>
      <c r="U5" s="265">
        <v>12</v>
      </c>
      <c r="V5" s="265">
        <v>3275756.0247792401</v>
      </c>
      <c r="W5" s="265">
        <f>IFERROR(VLOOKUP($B5-1,CDM!$L$7:$T$18,6,FALSE)/12,0)+IFERROR(VLOOKUP($B5,CDM!$L$36:$T$46,6,FALSE)/24,0)+IFERROR(VLOOKUP($B5,CDM!$L$36:$T$46,6,FALSE)/2*$C5/78,0)</f>
        <v>0</v>
      </c>
      <c r="X5" s="265">
        <f t="shared" si="8"/>
        <v>3275756.0247792401</v>
      </c>
      <c r="Y5" s="265">
        <v>7221</v>
      </c>
      <c r="Z5" s="265">
        <v>1</v>
      </c>
      <c r="AA5" s="4">
        <v>691418.0142282272</v>
      </c>
      <c r="AB5" s="4">
        <v>2149</v>
      </c>
      <c r="AC5" s="265">
        <v>12548</v>
      </c>
      <c r="AD5" s="265">
        <v>2324.2418462712194</v>
      </c>
      <c r="AE5" s="265">
        <v>0</v>
      </c>
      <c r="AF5" s="265">
        <v>25</v>
      </c>
      <c r="AG5" s="4">
        <v>206439</v>
      </c>
      <c r="AH5" s="4">
        <v>258</v>
      </c>
      <c r="AI5" s="28">
        <f>Economic!H7</f>
        <v>727609.6</v>
      </c>
      <c r="AJ5" s="28">
        <f>Economic!I7</f>
        <v>557474</v>
      </c>
      <c r="AK5" s="28">
        <f>Economic!J7</f>
        <v>49299.3</v>
      </c>
      <c r="AL5" s="28">
        <f>Economic!K7</f>
        <v>723726</v>
      </c>
      <c r="AM5" s="28">
        <f>Economic!L7</f>
        <v>555651</v>
      </c>
      <c r="AN5" s="28">
        <f>Economic!M7</f>
        <v>28915</v>
      </c>
      <c r="AO5" s="28">
        <f>Economic!D7</f>
        <v>6876.8</v>
      </c>
      <c r="AP5" s="28">
        <f>Economic!E7</f>
        <v>6786.4</v>
      </c>
      <c r="AQ5" s="28">
        <f>Economic!F7</f>
        <v>195.5</v>
      </c>
      <c r="AR5" s="28">
        <f>Economic!G7</f>
        <v>193.2</v>
      </c>
      <c r="AS5" s="28">
        <f>Economic!N7</f>
        <v>0</v>
      </c>
      <c r="AT5" s="28">
        <f>Economic!O7</f>
        <v>0</v>
      </c>
      <c r="AU5" s="28">
        <f>Economic!P7</f>
        <v>0</v>
      </c>
      <c r="AV5" s="28">
        <f>Economic!Q7</f>
        <v>0</v>
      </c>
      <c r="AW5" s="28">
        <f>Economic!R7</f>
        <v>0</v>
      </c>
      <c r="AX5" s="28">
        <f>Economic!S7</f>
        <v>5139</v>
      </c>
      <c r="AY5" s="7">
        <f>Weather!D5</f>
        <v>6.4416540404040381</v>
      </c>
      <c r="AZ5" s="7">
        <f>Weather!E5</f>
        <v>406.75037878787873</v>
      </c>
      <c r="BA5" s="7">
        <f>Weather!F5</f>
        <v>0</v>
      </c>
      <c r="BB5" s="7">
        <f>Weather!G5</f>
        <v>346.75037878787867</v>
      </c>
      <c r="BC5" s="7">
        <f>Weather!H5</f>
        <v>0</v>
      </c>
      <c r="BD5" s="7">
        <f>Weather!I5</f>
        <v>286.75037878787873</v>
      </c>
      <c r="BE5" s="7">
        <f>Weather!J5</f>
        <v>0</v>
      </c>
      <c r="BF5" s="7">
        <f>Weather!K5</f>
        <v>226.75037878787884</v>
      </c>
      <c r="BG5" s="7">
        <f>Weather!L5</f>
        <v>0</v>
      </c>
      <c r="BH5" s="7">
        <f>Weather!M5</f>
        <v>168.28371212121215</v>
      </c>
      <c r="BI5" s="7">
        <f>Weather!N5</f>
        <v>1.5333333333333332</v>
      </c>
      <c r="BJ5" s="7">
        <f>Weather!O5</f>
        <v>116.58371212121212</v>
      </c>
      <c r="BK5" s="7">
        <f>Weather!P5</f>
        <v>9.8333333333333321</v>
      </c>
      <c r="BL5" s="7">
        <f>Weather!Q5</f>
        <v>72.862878787878799</v>
      </c>
      <c r="BM5" s="7">
        <f>Weather!R5</f>
        <v>26.112499999999997</v>
      </c>
      <c r="BN5" s="1">
        <v>0</v>
      </c>
      <c r="BO5" s="1">
        <v>0</v>
      </c>
      <c r="BP5" s="1">
        <v>0</v>
      </c>
      <c r="BQ5" s="1">
        <v>1</v>
      </c>
      <c r="BR5" s="1">
        <v>0</v>
      </c>
      <c r="BS5" s="1">
        <v>0</v>
      </c>
      <c r="BT5" s="1">
        <v>0</v>
      </c>
      <c r="BU5" s="1">
        <v>0</v>
      </c>
      <c r="BV5" s="1">
        <v>0</v>
      </c>
      <c r="BW5" s="1">
        <v>0</v>
      </c>
      <c r="BX5" s="1">
        <v>0</v>
      </c>
      <c r="BY5" s="1">
        <v>0</v>
      </c>
      <c r="BZ5" s="1">
        <v>1</v>
      </c>
      <c r="CA5" s="1">
        <v>0</v>
      </c>
      <c r="CB5" s="1">
        <v>1</v>
      </c>
      <c r="CC5" s="1">
        <f t="shared" si="9"/>
        <v>4</v>
      </c>
      <c r="CD5" s="1">
        <v>30</v>
      </c>
      <c r="CE5" s="1">
        <v>20</v>
      </c>
      <c r="CF5" s="1">
        <v>0</v>
      </c>
      <c r="CG5" s="1">
        <v>0</v>
      </c>
      <c r="CH5" s="1">
        <v>0</v>
      </c>
      <c r="CI5" s="1">
        <v>0</v>
      </c>
      <c r="CJ5" s="1">
        <f t="shared" si="4"/>
        <v>0</v>
      </c>
      <c r="CK5" s="1">
        <f t="shared" si="4"/>
        <v>0</v>
      </c>
      <c r="CL5" s="1">
        <f t="shared" si="4"/>
        <v>0</v>
      </c>
      <c r="CM5" s="1">
        <f t="shared" si="4"/>
        <v>0</v>
      </c>
      <c r="CN5" s="1">
        <f t="shared" si="4"/>
        <v>0</v>
      </c>
      <c r="CO5" s="1">
        <f t="shared" si="4"/>
        <v>0</v>
      </c>
      <c r="CP5" s="1">
        <f t="shared" si="4"/>
        <v>0</v>
      </c>
      <c r="CQ5" s="1">
        <f t="shared" si="4"/>
        <v>0</v>
      </c>
      <c r="CR5" s="1">
        <f t="shared" si="4"/>
        <v>0</v>
      </c>
      <c r="CS5" s="1">
        <f t="shared" si="4"/>
        <v>0</v>
      </c>
      <c r="CT5" s="1">
        <f t="shared" si="4"/>
        <v>0</v>
      </c>
      <c r="CU5" s="1">
        <f t="shared" si="4"/>
        <v>0</v>
      </c>
      <c r="CV5" s="1">
        <f t="shared" si="4"/>
        <v>0</v>
      </c>
      <c r="CW5" s="1">
        <f t="shared" si="4"/>
        <v>0</v>
      </c>
      <c r="CX5" s="1">
        <f t="shared" si="5"/>
        <v>0</v>
      </c>
      <c r="CY5" s="1">
        <f t="shared" si="5"/>
        <v>0</v>
      </c>
      <c r="CZ5" s="1">
        <f t="shared" si="5"/>
        <v>0</v>
      </c>
      <c r="DA5" s="1">
        <f t="shared" si="5"/>
        <v>0</v>
      </c>
      <c r="DB5" s="1">
        <f t="shared" si="5"/>
        <v>0</v>
      </c>
      <c r="DC5" s="1">
        <f t="shared" si="5"/>
        <v>0</v>
      </c>
      <c r="DD5" s="1">
        <f t="shared" si="5"/>
        <v>0</v>
      </c>
      <c r="DE5" s="1">
        <f t="shared" si="5"/>
        <v>0</v>
      </c>
      <c r="DF5" s="1">
        <f t="shared" si="5"/>
        <v>0</v>
      </c>
      <c r="DG5" s="1">
        <f t="shared" si="5"/>
        <v>0</v>
      </c>
      <c r="DH5" s="1">
        <f t="shared" si="5"/>
        <v>0</v>
      </c>
      <c r="DI5" s="1">
        <f t="shared" si="5"/>
        <v>0</v>
      </c>
      <c r="DJ5" s="1">
        <f t="shared" si="5"/>
        <v>0</v>
      </c>
      <c r="DK5" s="1">
        <f t="shared" si="5"/>
        <v>0</v>
      </c>
      <c r="DL5" s="25"/>
      <c r="DM5" s="25"/>
      <c r="DN5" s="24"/>
      <c r="DO5" s="25"/>
      <c r="DP5" s="25"/>
      <c r="DQ5" s="25"/>
      <c r="DR5" s="25"/>
      <c r="DS5" s="25"/>
      <c r="DT5" s="25"/>
      <c r="DU5" s="25"/>
      <c r="DV5" s="25"/>
    </row>
    <row r="6" spans="1:126" x14ac:dyDescent="0.25">
      <c r="A6" s="261">
        <v>42125</v>
      </c>
      <c r="B6" s="262">
        <f t="shared" si="0"/>
        <v>2015</v>
      </c>
      <c r="C6" s="262">
        <f t="shared" si="1"/>
        <v>5</v>
      </c>
      <c r="D6" s="263">
        <v>31641689.409133583</v>
      </c>
      <c r="E6" s="263">
        <f>IFERROR(VLOOKUP($B6-1,CDM!$L$7:$T$18,2,FALSE)/12,0)+IFERROR(VLOOKUP($B6,CDM!$L$36:$T$46,2,FALSE)/24,0)+IFERROR(VLOOKUP($B6,CDM!$L$36:$T$46,2,FALSE)/2*$C6/78,0)</f>
        <v>128701.14423076923</v>
      </c>
      <c r="F6" s="263">
        <f t="shared" si="2"/>
        <v>31770390.553364351</v>
      </c>
      <c r="G6" s="264">
        <v>47470</v>
      </c>
      <c r="H6" s="263">
        <v>10150858.681456644</v>
      </c>
      <c r="I6" s="263">
        <f>IFERROR(VLOOKUP($B6-1,CDM!$L$7:$T$18,3,FALSE)/12,0)+IFERROR(VLOOKUP($B6,CDM!$L$36:$T$46,3,FALSE)/24,0)+IFERROR(VLOOKUP($B6,CDM!$L$36:$T$46,3,FALSE)/2*$C6/78,0)</f>
        <v>37974.15147435898</v>
      </c>
      <c r="J6" s="263">
        <f t="shared" si="6"/>
        <v>10188832.832931003</v>
      </c>
      <c r="K6" s="265">
        <v>3998</v>
      </c>
      <c r="L6" s="4">
        <v>25114198.741742235</v>
      </c>
      <c r="M6" s="266">
        <f>IFERROR(VLOOKUP($B6-1,CDM!$L$7:$T$18,4,FALSE)/12,0)+IFERROR(VLOOKUP($B6,CDM!$L$36:$T$46,4,FALSE)/24,0)+IFERROR(VLOOKUP($B6,CDM!$L$36:$T$46,4,FALSE)/2*$C6/78,0)</f>
        <v>52963.948108974364</v>
      </c>
      <c r="N6" s="263">
        <f t="shared" si="3"/>
        <v>25167162.68985121</v>
      </c>
      <c r="O6" s="4">
        <v>66725</v>
      </c>
      <c r="P6" s="265">
        <v>506</v>
      </c>
      <c r="Q6" s="265">
        <v>6875031.0480602589</v>
      </c>
      <c r="R6" s="265">
        <f>IFERROR(VLOOKUP($B6-1,CDM!$L$7:$T$18,5,FALSE)/12,0)+IFERROR(VLOOKUP($B6,CDM!$L$36:$T$46,5,FALSE)/24,0)+IFERROR(VLOOKUP($B6,CDM!$L$36:$T$46,5,FALSE)/2*$C6/78,0)</f>
        <v>355719.94689102564</v>
      </c>
      <c r="S6" s="265">
        <f t="shared" si="7"/>
        <v>7230750.9949512845</v>
      </c>
      <c r="T6" s="265">
        <v>15730</v>
      </c>
      <c r="U6" s="265">
        <v>12</v>
      </c>
      <c r="V6" s="265">
        <v>3629287.263527994</v>
      </c>
      <c r="W6" s="265">
        <f>IFERROR(VLOOKUP($B6-1,CDM!$L$7:$T$18,6,FALSE)/12,0)+IFERROR(VLOOKUP($B6,CDM!$L$36:$T$46,6,FALSE)/24,0)+IFERROR(VLOOKUP($B6,CDM!$L$36:$T$46,6,FALSE)/2*$C6/78,0)</f>
        <v>0</v>
      </c>
      <c r="X6" s="265">
        <f t="shared" si="8"/>
        <v>3629287.263527994</v>
      </c>
      <c r="Y6" s="265">
        <v>7963</v>
      </c>
      <c r="Z6" s="265">
        <v>1</v>
      </c>
      <c r="AA6" s="4">
        <v>632402.16746043775</v>
      </c>
      <c r="AB6" s="4">
        <v>2155</v>
      </c>
      <c r="AC6" s="265">
        <v>12639</v>
      </c>
      <c r="AD6" s="265">
        <v>2304.2723631508679</v>
      </c>
      <c r="AE6" s="265">
        <v>0</v>
      </c>
      <c r="AF6" s="265">
        <v>25</v>
      </c>
      <c r="AG6" s="4">
        <v>209666.06557377049</v>
      </c>
      <c r="AH6" s="4">
        <v>258</v>
      </c>
      <c r="AI6" s="28">
        <f>Economic!H8</f>
        <v>727609.6</v>
      </c>
      <c r="AJ6" s="28">
        <f>Economic!I8</f>
        <v>557474</v>
      </c>
      <c r="AK6" s="28">
        <f>Economic!J8</f>
        <v>49299.3</v>
      </c>
      <c r="AL6" s="28">
        <f>Economic!K8</f>
        <v>723726</v>
      </c>
      <c r="AM6" s="28">
        <f>Economic!L8</f>
        <v>555651</v>
      </c>
      <c r="AN6" s="28">
        <f>Economic!M8</f>
        <v>28915</v>
      </c>
      <c r="AO6" s="28">
        <f>Economic!D8</f>
        <v>6883.3</v>
      </c>
      <c r="AP6" s="28">
        <f>Economic!E8</f>
        <v>6848.1</v>
      </c>
      <c r="AQ6" s="28">
        <f>Economic!F8</f>
        <v>193.3</v>
      </c>
      <c r="AR6" s="28">
        <f>Economic!G8</f>
        <v>192.6</v>
      </c>
      <c r="AS6" s="28">
        <f>Economic!N8</f>
        <v>0</v>
      </c>
      <c r="AT6" s="28">
        <f>Economic!O8</f>
        <v>0</v>
      </c>
      <c r="AU6" s="28">
        <f>Economic!P8</f>
        <v>0</v>
      </c>
      <c r="AV6" s="28">
        <f>Economic!Q8</f>
        <v>0</v>
      </c>
      <c r="AW6" s="28">
        <f>Economic!R8</f>
        <v>0</v>
      </c>
      <c r="AX6" s="28">
        <f>Economic!S8</f>
        <v>5139</v>
      </c>
      <c r="AY6" s="7">
        <f>Weather!D6</f>
        <v>14.880745341614906</v>
      </c>
      <c r="AZ6" s="7">
        <f>Weather!E6</f>
        <v>159.09689440993785</v>
      </c>
      <c r="BA6" s="7">
        <f>Weather!F6</f>
        <v>0.39999999999999503</v>
      </c>
      <c r="BB6" s="7">
        <f>Weather!G6</f>
        <v>108.22189440993786</v>
      </c>
      <c r="BC6" s="7">
        <f>Weather!H6</f>
        <v>11.524999999999999</v>
      </c>
      <c r="BD6" s="7">
        <f>Weather!I6</f>
        <v>67.211775362318832</v>
      </c>
      <c r="BE6" s="7">
        <f>Weather!J6</f>
        <v>32.514880952380949</v>
      </c>
      <c r="BF6" s="7">
        <f>Weather!K6</f>
        <v>35.578442028985506</v>
      </c>
      <c r="BG6" s="7">
        <f>Weather!L6</f>
        <v>62.881547619047637</v>
      </c>
      <c r="BH6" s="7">
        <f>Weather!M6</f>
        <v>16.190942028985511</v>
      </c>
      <c r="BI6" s="7">
        <f>Weather!N6</f>
        <v>105.49404761904762</v>
      </c>
      <c r="BJ6" s="7">
        <f>Weather!O6</f>
        <v>4.3916666666666675</v>
      </c>
      <c r="BK6" s="7">
        <f>Weather!P6</f>
        <v>155.69477225672881</v>
      </c>
      <c r="BL6" s="7">
        <f>Weather!Q6</f>
        <v>0</v>
      </c>
      <c r="BM6" s="7">
        <f>Weather!R6</f>
        <v>213.30310559006219</v>
      </c>
      <c r="BN6" s="1">
        <v>0</v>
      </c>
      <c r="BO6" s="1">
        <v>0</v>
      </c>
      <c r="BP6" s="1">
        <v>0</v>
      </c>
      <c r="BQ6" s="1">
        <v>0</v>
      </c>
      <c r="BR6" s="1">
        <v>1</v>
      </c>
      <c r="BS6" s="1">
        <v>0</v>
      </c>
      <c r="BT6" s="1">
        <v>0</v>
      </c>
      <c r="BU6" s="1">
        <v>0</v>
      </c>
      <c r="BV6" s="1">
        <v>0</v>
      </c>
      <c r="BW6" s="1">
        <v>0</v>
      </c>
      <c r="BX6" s="1">
        <v>0</v>
      </c>
      <c r="BY6" s="1">
        <v>0</v>
      </c>
      <c r="BZ6" s="1">
        <v>1</v>
      </c>
      <c r="CA6" s="1">
        <v>0</v>
      </c>
      <c r="CB6" s="1">
        <v>1</v>
      </c>
      <c r="CC6" s="1">
        <f t="shared" si="9"/>
        <v>5</v>
      </c>
      <c r="CD6" s="1">
        <v>31</v>
      </c>
      <c r="CE6" s="1">
        <v>20</v>
      </c>
      <c r="CF6" s="1">
        <v>0</v>
      </c>
      <c r="CG6" s="1">
        <v>0</v>
      </c>
      <c r="CH6" s="1">
        <v>0</v>
      </c>
      <c r="CI6" s="1">
        <v>0</v>
      </c>
      <c r="CJ6" s="1">
        <f t="shared" si="4"/>
        <v>0</v>
      </c>
      <c r="CK6" s="1">
        <f t="shared" si="4"/>
        <v>0</v>
      </c>
      <c r="CL6" s="1">
        <f t="shared" si="4"/>
        <v>0</v>
      </c>
      <c r="CM6" s="1">
        <f t="shared" si="4"/>
        <v>0</v>
      </c>
      <c r="CN6" s="1">
        <f t="shared" si="4"/>
        <v>0</v>
      </c>
      <c r="CO6" s="1">
        <f t="shared" si="4"/>
        <v>0</v>
      </c>
      <c r="CP6" s="1">
        <f t="shared" si="4"/>
        <v>0</v>
      </c>
      <c r="CQ6" s="1">
        <f t="shared" si="4"/>
        <v>0</v>
      </c>
      <c r="CR6" s="1">
        <f t="shared" si="4"/>
        <v>0</v>
      </c>
      <c r="CS6" s="1">
        <f t="shared" si="4"/>
        <v>0</v>
      </c>
      <c r="CT6" s="1">
        <f t="shared" si="4"/>
        <v>0</v>
      </c>
      <c r="CU6" s="1">
        <f t="shared" si="4"/>
        <v>0</v>
      </c>
      <c r="CV6" s="1">
        <f t="shared" si="4"/>
        <v>0</v>
      </c>
      <c r="CW6" s="1">
        <f t="shared" si="4"/>
        <v>0</v>
      </c>
      <c r="CX6" s="1">
        <f t="shared" si="5"/>
        <v>0</v>
      </c>
      <c r="CY6" s="1">
        <f t="shared" si="5"/>
        <v>0</v>
      </c>
      <c r="CZ6" s="1">
        <f t="shared" si="5"/>
        <v>0</v>
      </c>
      <c r="DA6" s="1">
        <f t="shared" si="5"/>
        <v>0</v>
      </c>
      <c r="DB6" s="1">
        <f t="shared" si="5"/>
        <v>0</v>
      </c>
      <c r="DC6" s="1">
        <f t="shared" si="5"/>
        <v>0</v>
      </c>
      <c r="DD6" s="1">
        <f t="shared" si="5"/>
        <v>0</v>
      </c>
      <c r="DE6" s="1">
        <f t="shared" si="5"/>
        <v>0</v>
      </c>
      <c r="DF6" s="1">
        <f t="shared" si="5"/>
        <v>0</v>
      </c>
      <c r="DG6" s="1">
        <f t="shared" si="5"/>
        <v>0</v>
      </c>
      <c r="DH6" s="1">
        <f t="shared" si="5"/>
        <v>0</v>
      </c>
      <c r="DI6" s="1">
        <f t="shared" si="5"/>
        <v>0</v>
      </c>
      <c r="DJ6" s="1">
        <f t="shared" si="5"/>
        <v>0</v>
      </c>
      <c r="DK6" s="1">
        <f t="shared" si="5"/>
        <v>0</v>
      </c>
      <c r="DL6" s="25"/>
      <c r="DM6" s="25"/>
      <c r="DN6" s="24"/>
      <c r="DO6" s="25"/>
      <c r="DP6" s="25"/>
      <c r="DQ6" s="25"/>
      <c r="DR6" s="25"/>
      <c r="DS6" s="25"/>
      <c r="DT6" s="25"/>
      <c r="DU6" s="25"/>
      <c r="DV6" s="25"/>
    </row>
    <row r="7" spans="1:126" x14ac:dyDescent="0.25">
      <c r="A7" s="261">
        <v>42156</v>
      </c>
      <c r="B7" s="262">
        <f t="shared" si="0"/>
        <v>2015</v>
      </c>
      <c r="C7" s="262">
        <f t="shared" si="1"/>
        <v>6</v>
      </c>
      <c r="D7" s="263">
        <v>34747933.340935998</v>
      </c>
      <c r="E7" s="263">
        <f>IFERROR(VLOOKUP($B7-1,CDM!$L$7:$T$18,2,FALSE)/12,0)+IFERROR(VLOOKUP($B7,CDM!$L$36:$T$46,2,FALSE)/24,0)+IFERROR(VLOOKUP($B7,CDM!$L$36:$T$46,2,FALSE)/2*$C7/78,0)</f>
        <v>139892.54807692306</v>
      </c>
      <c r="F7" s="263">
        <f t="shared" si="2"/>
        <v>34887825.889012918</v>
      </c>
      <c r="G7" s="264">
        <v>48149</v>
      </c>
      <c r="H7" s="263">
        <v>10143341.456731822</v>
      </c>
      <c r="I7" s="263">
        <f>IFERROR(VLOOKUP($B7-1,CDM!$L$7:$T$18,3,FALSE)/12,0)+IFERROR(VLOOKUP($B7,CDM!$L$36:$T$46,3,FALSE)/24,0)+IFERROR(VLOOKUP($B7,CDM!$L$36:$T$46,3,FALSE)/2*$C7/78,0)</f>
        <v>41276.251602564102</v>
      </c>
      <c r="J7" s="263">
        <f t="shared" si="6"/>
        <v>10184617.708334386</v>
      </c>
      <c r="K7" s="265">
        <v>4011</v>
      </c>
      <c r="L7" s="4">
        <v>24251564.592533693</v>
      </c>
      <c r="M7" s="266">
        <f>IFERROR(VLOOKUP($B7-1,CDM!$L$7:$T$18,4,FALSE)/12,0)+IFERROR(VLOOKUP($B7,CDM!$L$36:$T$46,4,FALSE)/24,0)+IFERROR(VLOOKUP($B7,CDM!$L$36:$T$46,4,FALSE)/2*$C7/78,0)</f>
        <v>57569.50881410257</v>
      </c>
      <c r="N7" s="263">
        <f t="shared" si="3"/>
        <v>24309134.101347797</v>
      </c>
      <c r="O7" s="4">
        <v>65801</v>
      </c>
      <c r="P7" s="265">
        <v>508</v>
      </c>
      <c r="Q7" s="265">
        <v>7222960.5398247084</v>
      </c>
      <c r="R7" s="265">
        <f>IFERROR(VLOOKUP($B7-1,CDM!$L$7:$T$18,5,FALSE)/12,0)+IFERROR(VLOOKUP($B7,CDM!$L$36:$T$46,5,FALSE)/24,0)+IFERROR(VLOOKUP($B7,CDM!$L$36:$T$46,5,FALSE)/2*$C7/78,0)</f>
        <v>386652.1161858975</v>
      </c>
      <c r="S7" s="265">
        <f t="shared" si="7"/>
        <v>7609612.6560106054</v>
      </c>
      <c r="T7" s="265">
        <v>18710</v>
      </c>
      <c r="U7" s="265">
        <v>12</v>
      </c>
      <c r="V7" s="265">
        <v>3515408.7356304238</v>
      </c>
      <c r="W7" s="265">
        <f>IFERROR(VLOOKUP($B7-1,CDM!$L$7:$T$18,6,FALSE)/12,0)+IFERROR(VLOOKUP($B7,CDM!$L$36:$T$46,6,FALSE)/24,0)+IFERROR(VLOOKUP($B7,CDM!$L$36:$T$46,6,FALSE)/2*$C7/78,0)</f>
        <v>0</v>
      </c>
      <c r="X7" s="265">
        <f t="shared" si="8"/>
        <v>3515408.7356304238</v>
      </c>
      <c r="Y7" s="265">
        <v>8632</v>
      </c>
      <c r="Z7" s="265">
        <v>1</v>
      </c>
      <c r="AA7" s="4">
        <v>568542.47892437957</v>
      </c>
      <c r="AB7" s="4">
        <v>2162</v>
      </c>
      <c r="AC7" s="265">
        <v>12647</v>
      </c>
      <c r="AD7" s="265">
        <v>2278.5809650963192</v>
      </c>
      <c r="AE7" s="265">
        <v>0</v>
      </c>
      <c r="AF7" s="265">
        <v>25</v>
      </c>
      <c r="AG7" s="4">
        <v>216654.93442622951</v>
      </c>
      <c r="AH7" s="4">
        <v>268</v>
      </c>
      <c r="AI7" s="28">
        <f>Economic!H9</f>
        <v>727609.6</v>
      </c>
      <c r="AJ7" s="28">
        <f>Economic!I9</f>
        <v>557474</v>
      </c>
      <c r="AK7" s="28">
        <f>Economic!J9</f>
        <v>49299.3</v>
      </c>
      <c r="AL7" s="28">
        <f>Economic!K9</f>
        <v>723726</v>
      </c>
      <c r="AM7" s="28">
        <f>Economic!L9</f>
        <v>555651</v>
      </c>
      <c r="AN7" s="28">
        <f>Economic!M9</f>
        <v>28915</v>
      </c>
      <c r="AO7" s="28">
        <f>Economic!D9</f>
        <v>6883.6</v>
      </c>
      <c r="AP7" s="28">
        <f>Economic!E9</f>
        <v>6930.1</v>
      </c>
      <c r="AQ7" s="28">
        <f>Economic!F9</f>
        <v>190.8</v>
      </c>
      <c r="AR7" s="28">
        <f>Economic!G9</f>
        <v>191.9</v>
      </c>
      <c r="AS7" s="28">
        <f>Economic!N9</f>
        <v>0</v>
      </c>
      <c r="AT7" s="28">
        <f>Economic!O9</f>
        <v>0</v>
      </c>
      <c r="AU7" s="28">
        <f>Economic!P9</f>
        <v>0</v>
      </c>
      <c r="AV7" s="28">
        <f>Economic!Q9</f>
        <v>0</v>
      </c>
      <c r="AW7" s="28">
        <f>Economic!R9</f>
        <v>0</v>
      </c>
      <c r="AX7" s="28">
        <f>Economic!S9</f>
        <v>5139</v>
      </c>
      <c r="AY7" s="7">
        <f>Weather!D7</f>
        <v>16.987083333333334</v>
      </c>
      <c r="AZ7" s="7">
        <f>Weather!E7</f>
        <v>93.137500000000045</v>
      </c>
      <c r="BA7" s="7">
        <f>Weather!F7</f>
        <v>2.7499999999999964</v>
      </c>
      <c r="BB7" s="7">
        <f>Weather!G7</f>
        <v>44.925000000000004</v>
      </c>
      <c r="BC7" s="7">
        <f>Weather!H7</f>
        <v>14.537499999999991</v>
      </c>
      <c r="BD7" s="7">
        <f>Weather!I7</f>
        <v>17.725000000000009</v>
      </c>
      <c r="BE7" s="7">
        <f>Weather!J7</f>
        <v>47.337499999999999</v>
      </c>
      <c r="BF7" s="7">
        <f>Weather!K7</f>
        <v>5.9875000000000078</v>
      </c>
      <c r="BG7" s="7">
        <f>Weather!L7</f>
        <v>95.599999999999966</v>
      </c>
      <c r="BH7" s="7">
        <f>Weather!M7</f>
        <v>0.6458333333333357</v>
      </c>
      <c r="BI7" s="7">
        <f>Weather!N7</f>
        <v>150.2583333333333</v>
      </c>
      <c r="BJ7" s="7">
        <f>Weather!O7</f>
        <v>0</v>
      </c>
      <c r="BK7" s="7">
        <f>Weather!P7</f>
        <v>209.61250000000001</v>
      </c>
      <c r="BL7" s="7">
        <f>Weather!Q7</f>
        <v>0</v>
      </c>
      <c r="BM7" s="7">
        <f>Weather!R7</f>
        <v>269.61250000000001</v>
      </c>
      <c r="BN7" s="1">
        <v>0</v>
      </c>
      <c r="BO7" s="1">
        <v>0</v>
      </c>
      <c r="BP7" s="1">
        <v>0</v>
      </c>
      <c r="BQ7" s="1">
        <v>0</v>
      </c>
      <c r="BR7" s="1">
        <v>0</v>
      </c>
      <c r="BS7" s="1">
        <v>1</v>
      </c>
      <c r="BT7" s="1">
        <v>0</v>
      </c>
      <c r="BU7" s="1">
        <v>0</v>
      </c>
      <c r="BV7" s="1">
        <v>0</v>
      </c>
      <c r="BW7" s="1">
        <v>0</v>
      </c>
      <c r="BX7" s="1">
        <v>0</v>
      </c>
      <c r="BY7" s="1">
        <v>0</v>
      </c>
      <c r="BZ7" s="1">
        <v>0</v>
      </c>
      <c r="CA7" s="1">
        <v>0</v>
      </c>
      <c r="CB7" s="1">
        <v>0</v>
      </c>
      <c r="CC7" s="1">
        <f t="shared" si="9"/>
        <v>6</v>
      </c>
      <c r="CD7" s="1">
        <v>30</v>
      </c>
      <c r="CE7" s="1">
        <v>22</v>
      </c>
      <c r="CF7" s="1">
        <v>0</v>
      </c>
      <c r="CG7" s="1">
        <v>0</v>
      </c>
      <c r="CH7" s="1">
        <v>0</v>
      </c>
      <c r="CI7" s="1">
        <v>0</v>
      </c>
      <c r="CJ7" s="1">
        <f t="shared" si="4"/>
        <v>0</v>
      </c>
      <c r="CK7" s="1">
        <f t="shared" si="4"/>
        <v>0</v>
      </c>
      <c r="CL7" s="1">
        <f t="shared" si="4"/>
        <v>0</v>
      </c>
      <c r="CM7" s="1">
        <f t="shared" si="4"/>
        <v>0</v>
      </c>
      <c r="CN7" s="1">
        <f t="shared" si="4"/>
        <v>0</v>
      </c>
      <c r="CO7" s="1">
        <f t="shared" si="4"/>
        <v>0</v>
      </c>
      <c r="CP7" s="1">
        <f t="shared" si="4"/>
        <v>0</v>
      </c>
      <c r="CQ7" s="1">
        <f t="shared" si="4"/>
        <v>0</v>
      </c>
      <c r="CR7" s="1">
        <f t="shared" si="4"/>
        <v>0</v>
      </c>
      <c r="CS7" s="1">
        <f t="shared" si="4"/>
        <v>0</v>
      </c>
      <c r="CT7" s="1">
        <f t="shared" si="4"/>
        <v>0</v>
      </c>
      <c r="CU7" s="1">
        <f t="shared" si="4"/>
        <v>0</v>
      </c>
      <c r="CV7" s="1">
        <f t="shared" si="4"/>
        <v>0</v>
      </c>
      <c r="CW7" s="1">
        <f t="shared" si="4"/>
        <v>0</v>
      </c>
      <c r="CX7" s="1">
        <f t="shared" si="5"/>
        <v>0</v>
      </c>
      <c r="CY7" s="1">
        <f t="shared" si="5"/>
        <v>0</v>
      </c>
      <c r="CZ7" s="1">
        <f t="shared" si="5"/>
        <v>0</v>
      </c>
      <c r="DA7" s="1">
        <f t="shared" si="5"/>
        <v>0</v>
      </c>
      <c r="DB7" s="1">
        <f t="shared" si="5"/>
        <v>0</v>
      </c>
      <c r="DC7" s="1">
        <f t="shared" si="5"/>
        <v>0</v>
      </c>
      <c r="DD7" s="1">
        <f t="shared" si="5"/>
        <v>0</v>
      </c>
      <c r="DE7" s="1">
        <f t="shared" si="5"/>
        <v>0</v>
      </c>
      <c r="DF7" s="1">
        <f t="shared" si="5"/>
        <v>0</v>
      </c>
      <c r="DG7" s="1">
        <f t="shared" si="5"/>
        <v>0</v>
      </c>
      <c r="DH7" s="1">
        <f t="shared" si="5"/>
        <v>0</v>
      </c>
      <c r="DI7" s="1">
        <f t="shared" si="5"/>
        <v>0</v>
      </c>
      <c r="DJ7" s="1">
        <f t="shared" si="5"/>
        <v>0</v>
      </c>
      <c r="DK7" s="1">
        <f t="shared" si="5"/>
        <v>0</v>
      </c>
      <c r="DL7" s="25"/>
      <c r="DM7" s="25"/>
      <c r="DN7" s="24"/>
      <c r="DO7" s="25"/>
      <c r="DP7" s="25"/>
      <c r="DQ7" s="25"/>
      <c r="DR7" s="25"/>
      <c r="DS7" s="25"/>
      <c r="DT7" s="25"/>
      <c r="DU7" s="25"/>
      <c r="DV7" s="25"/>
    </row>
    <row r="8" spans="1:126" x14ac:dyDescent="0.25">
      <c r="A8" s="261">
        <v>42186</v>
      </c>
      <c r="B8" s="262">
        <f t="shared" si="0"/>
        <v>2015</v>
      </c>
      <c r="C8" s="262">
        <f t="shared" si="1"/>
        <v>7</v>
      </c>
      <c r="D8" s="263">
        <v>40691037.418351941</v>
      </c>
      <c r="E8" s="263">
        <f>IFERROR(VLOOKUP($B8-1,CDM!$L$7:$T$18,2,FALSE)/12,0)+IFERROR(VLOOKUP($B8,CDM!$L$36:$T$46,2,FALSE)/24,0)+IFERROR(VLOOKUP($B8,CDM!$L$36:$T$46,2,FALSE)/2*$C8/78,0)</f>
        <v>151083.95192307694</v>
      </c>
      <c r="F8" s="263">
        <f t="shared" si="2"/>
        <v>40842121.370275021</v>
      </c>
      <c r="G8" s="264">
        <v>48825</v>
      </c>
      <c r="H8" s="263">
        <v>11271375.237420972</v>
      </c>
      <c r="I8" s="263">
        <f>IFERROR(VLOOKUP($B8-1,CDM!$L$7:$T$18,3,FALSE)/12,0)+IFERROR(VLOOKUP($B8,CDM!$L$36:$T$46,3,FALSE)/24,0)+IFERROR(VLOOKUP($B8,CDM!$L$36:$T$46,3,FALSE)/2*$C8/78,0)</f>
        <v>44578.351730769231</v>
      </c>
      <c r="J8" s="263">
        <f t="shared" si="6"/>
        <v>11315953.589151742</v>
      </c>
      <c r="K8" s="265">
        <v>4021</v>
      </c>
      <c r="L8" s="4">
        <v>27365984.298372012</v>
      </c>
      <c r="M8" s="266">
        <f>IFERROR(VLOOKUP($B8-1,CDM!$L$7:$T$18,4,FALSE)/12,0)+IFERROR(VLOOKUP($B8,CDM!$L$36:$T$46,4,FALSE)/24,0)+IFERROR(VLOOKUP($B8,CDM!$L$36:$T$46,4,FALSE)/2*$C8/78,0)</f>
        <v>62175.069519230776</v>
      </c>
      <c r="N8" s="263">
        <f t="shared" si="3"/>
        <v>27428159.367891241</v>
      </c>
      <c r="O8" s="4">
        <v>68949</v>
      </c>
      <c r="P8" s="265">
        <v>508</v>
      </c>
      <c r="Q8" s="265">
        <v>7524538.3260400956</v>
      </c>
      <c r="R8" s="265">
        <f>IFERROR(VLOOKUP($B8-1,CDM!$L$7:$T$18,5,FALSE)/12,0)+IFERROR(VLOOKUP($B8,CDM!$L$36:$T$46,5,FALSE)/24,0)+IFERROR(VLOOKUP($B8,CDM!$L$36:$T$46,5,FALSE)/2*$C8/78,0)</f>
        <v>417584.28548076923</v>
      </c>
      <c r="S8" s="265">
        <f t="shared" si="7"/>
        <v>7942122.611520865</v>
      </c>
      <c r="T8" s="265">
        <v>18198</v>
      </c>
      <c r="U8" s="265">
        <v>13</v>
      </c>
      <c r="V8" s="265">
        <v>3903331.7192142233</v>
      </c>
      <c r="W8" s="265">
        <f>IFERROR(VLOOKUP($B8-1,CDM!$L$7:$T$18,6,FALSE)/12,0)+IFERROR(VLOOKUP($B8,CDM!$L$36:$T$46,6,FALSE)/24,0)+IFERROR(VLOOKUP($B8,CDM!$L$36:$T$46,6,FALSE)/2*$C8/78,0)</f>
        <v>0</v>
      </c>
      <c r="X8" s="265">
        <f t="shared" si="8"/>
        <v>3903331.7192142233</v>
      </c>
      <c r="Y8" s="265">
        <v>8576</v>
      </c>
      <c r="Z8" s="265">
        <v>1</v>
      </c>
      <c r="AA8" s="4">
        <v>606458.64554047957</v>
      </c>
      <c r="AB8" s="4">
        <v>2176</v>
      </c>
      <c r="AC8" s="265">
        <v>12647</v>
      </c>
      <c r="AD8" s="265">
        <v>2304.2723631508679</v>
      </c>
      <c r="AE8" s="265">
        <v>0</v>
      </c>
      <c r="AF8" s="265">
        <v>25</v>
      </c>
      <c r="AG8" s="4">
        <v>208358</v>
      </c>
      <c r="AH8" s="4">
        <v>257</v>
      </c>
      <c r="AI8" s="28">
        <f>Economic!H10</f>
        <v>727609.6</v>
      </c>
      <c r="AJ8" s="28">
        <f>Economic!I10</f>
        <v>557474</v>
      </c>
      <c r="AK8" s="28">
        <f>Economic!J10</f>
        <v>49299.3</v>
      </c>
      <c r="AL8" s="28">
        <f>Economic!K10</f>
        <v>730341</v>
      </c>
      <c r="AM8" s="28">
        <f>Economic!L10</f>
        <v>558510</v>
      </c>
      <c r="AN8" s="28">
        <f>Economic!M10</f>
        <v>29147</v>
      </c>
      <c r="AO8" s="28">
        <f>Economic!D10</f>
        <v>6891.7</v>
      </c>
      <c r="AP8" s="28">
        <f>Economic!E10</f>
        <v>6986.1</v>
      </c>
      <c r="AQ8" s="28">
        <f>Economic!F10</f>
        <v>185.9</v>
      </c>
      <c r="AR8" s="28">
        <f>Economic!G10</f>
        <v>188.5</v>
      </c>
      <c r="AS8" s="28">
        <f>Economic!N10</f>
        <v>0</v>
      </c>
      <c r="AT8" s="28">
        <f>Economic!O10</f>
        <v>0</v>
      </c>
      <c r="AU8" s="28">
        <f>Economic!P10</f>
        <v>0</v>
      </c>
      <c r="AV8" s="28">
        <f>Economic!Q10</f>
        <v>0</v>
      </c>
      <c r="AW8" s="28">
        <f>Economic!R10</f>
        <v>0</v>
      </c>
      <c r="AX8" s="28">
        <f>Economic!S10</f>
        <v>6615</v>
      </c>
      <c r="AY8" s="7">
        <f>Weather!D8</f>
        <v>20.63024193548387</v>
      </c>
      <c r="AZ8" s="7">
        <f>Weather!E8</f>
        <v>25.987500000000004</v>
      </c>
      <c r="BA8" s="7">
        <f>Weather!F8</f>
        <v>45.524999999999991</v>
      </c>
      <c r="BB8" s="7">
        <f>Weather!G8</f>
        <v>6.0874999999999986</v>
      </c>
      <c r="BC8" s="7">
        <f>Weather!H8</f>
        <v>87.624999999999986</v>
      </c>
      <c r="BD8" s="7">
        <f>Weather!I8</f>
        <v>0</v>
      </c>
      <c r="BE8" s="7">
        <f>Weather!J8</f>
        <v>143.53749999999999</v>
      </c>
      <c r="BF8" s="7">
        <f>Weather!K8</f>
        <v>0</v>
      </c>
      <c r="BG8" s="7">
        <f>Weather!L8</f>
        <v>205.53749999999997</v>
      </c>
      <c r="BH8" s="7">
        <f>Weather!M8</f>
        <v>0</v>
      </c>
      <c r="BI8" s="7">
        <f>Weather!N8</f>
        <v>267.53749999999997</v>
      </c>
      <c r="BJ8" s="7">
        <f>Weather!O8</f>
        <v>0</v>
      </c>
      <c r="BK8" s="7">
        <f>Weather!P8</f>
        <v>329.53750000000002</v>
      </c>
      <c r="BL8" s="7">
        <f>Weather!Q8</f>
        <v>0</v>
      </c>
      <c r="BM8" s="7">
        <f>Weather!R8</f>
        <v>391.53750000000014</v>
      </c>
      <c r="BN8" s="1">
        <v>0</v>
      </c>
      <c r="BO8" s="1">
        <v>0</v>
      </c>
      <c r="BP8" s="1">
        <v>0</v>
      </c>
      <c r="BQ8" s="1">
        <v>0</v>
      </c>
      <c r="BR8" s="1">
        <v>0</v>
      </c>
      <c r="BS8" s="1">
        <v>0</v>
      </c>
      <c r="BT8" s="1">
        <v>1</v>
      </c>
      <c r="BU8" s="1">
        <v>0</v>
      </c>
      <c r="BV8" s="1">
        <v>0</v>
      </c>
      <c r="BW8" s="1">
        <v>0</v>
      </c>
      <c r="BX8" s="1">
        <v>0</v>
      </c>
      <c r="BY8" s="1">
        <v>0</v>
      </c>
      <c r="BZ8" s="1">
        <v>0</v>
      </c>
      <c r="CA8" s="1">
        <v>0</v>
      </c>
      <c r="CB8" s="1">
        <v>0</v>
      </c>
      <c r="CC8" s="1">
        <f t="shared" si="9"/>
        <v>7</v>
      </c>
      <c r="CD8" s="1">
        <v>31</v>
      </c>
      <c r="CE8" s="1">
        <v>22</v>
      </c>
      <c r="CF8" s="1">
        <v>0</v>
      </c>
      <c r="CG8" s="1">
        <v>0</v>
      </c>
      <c r="CH8" s="1">
        <v>0</v>
      </c>
      <c r="CI8" s="1">
        <v>0</v>
      </c>
      <c r="CJ8" s="1">
        <f t="shared" si="4"/>
        <v>0</v>
      </c>
      <c r="CK8" s="1">
        <f t="shared" si="4"/>
        <v>0</v>
      </c>
      <c r="CL8" s="1">
        <f t="shared" si="4"/>
        <v>0</v>
      </c>
      <c r="CM8" s="1">
        <f t="shared" ref="CM8:CW31" si="10">$CG8*BC8</f>
        <v>0</v>
      </c>
      <c r="CN8" s="1">
        <f t="shared" si="10"/>
        <v>0</v>
      </c>
      <c r="CO8" s="1">
        <f t="shared" si="10"/>
        <v>0</v>
      </c>
      <c r="CP8" s="1">
        <f t="shared" si="10"/>
        <v>0</v>
      </c>
      <c r="CQ8" s="1">
        <f t="shared" si="10"/>
        <v>0</v>
      </c>
      <c r="CR8" s="1">
        <f t="shared" si="10"/>
        <v>0</v>
      </c>
      <c r="CS8" s="1">
        <f t="shared" si="10"/>
        <v>0</v>
      </c>
      <c r="CT8" s="1">
        <f t="shared" si="10"/>
        <v>0</v>
      </c>
      <c r="CU8" s="1">
        <f t="shared" si="10"/>
        <v>0</v>
      </c>
      <c r="CV8" s="1">
        <f t="shared" si="10"/>
        <v>0</v>
      </c>
      <c r="CW8" s="1">
        <f t="shared" si="10"/>
        <v>0</v>
      </c>
      <c r="CX8" s="1">
        <f t="shared" si="5"/>
        <v>0</v>
      </c>
      <c r="CY8" s="1">
        <f t="shared" si="5"/>
        <v>0</v>
      </c>
      <c r="CZ8" s="1">
        <f t="shared" si="5"/>
        <v>0</v>
      </c>
      <c r="DA8" s="1">
        <f t="shared" ref="DA8:DK31" si="11">$CH8*BC8</f>
        <v>0</v>
      </c>
      <c r="DB8" s="1">
        <f t="shared" si="11"/>
        <v>0</v>
      </c>
      <c r="DC8" s="1">
        <f t="shared" si="11"/>
        <v>0</v>
      </c>
      <c r="DD8" s="1">
        <f t="shared" si="11"/>
        <v>0</v>
      </c>
      <c r="DE8" s="1">
        <f t="shared" si="11"/>
        <v>0</v>
      </c>
      <c r="DF8" s="1">
        <f t="shared" si="11"/>
        <v>0</v>
      </c>
      <c r="DG8" s="1">
        <f t="shared" si="11"/>
        <v>0</v>
      </c>
      <c r="DH8" s="1">
        <f t="shared" si="11"/>
        <v>0</v>
      </c>
      <c r="DI8" s="1">
        <f t="shared" si="11"/>
        <v>0</v>
      </c>
      <c r="DJ8" s="1">
        <f t="shared" si="11"/>
        <v>0</v>
      </c>
      <c r="DK8" s="1">
        <f t="shared" si="11"/>
        <v>0</v>
      </c>
      <c r="DL8" s="25"/>
      <c r="DM8" s="25"/>
      <c r="DN8" s="24"/>
      <c r="DO8" s="25"/>
      <c r="DP8" s="25"/>
      <c r="DQ8" s="25"/>
      <c r="DR8" s="25"/>
      <c r="DS8" s="25"/>
      <c r="DT8" s="25"/>
      <c r="DU8" s="25"/>
      <c r="DV8" s="25"/>
    </row>
    <row r="9" spans="1:126" x14ac:dyDescent="0.25">
      <c r="A9" s="261">
        <v>42217</v>
      </c>
      <c r="B9" s="262">
        <f t="shared" si="0"/>
        <v>2015</v>
      </c>
      <c r="C9" s="262">
        <f t="shared" si="1"/>
        <v>8</v>
      </c>
      <c r="D9" s="263">
        <v>45223433.122218989</v>
      </c>
      <c r="E9" s="263">
        <f>IFERROR(VLOOKUP($B9-1,CDM!$L$7:$T$18,2,FALSE)/12,0)+IFERROR(VLOOKUP($B9,CDM!$L$36:$T$46,2,FALSE)/24,0)+IFERROR(VLOOKUP($B9,CDM!$L$36:$T$46,2,FALSE)/2*$C9/78,0)</f>
        <v>162275.35576923075</v>
      </c>
      <c r="F9" s="263">
        <f t="shared" si="2"/>
        <v>45385708.477988221</v>
      </c>
      <c r="G9" s="264">
        <v>49372</v>
      </c>
      <c r="H9" s="263">
        <v>10983697.419811985</v>
      </c>
      <c r="I9" s="263">
        <f>IFERROR(VLOOKUP($B9-1,CDM!$L$7:$T$18,3,FALSE)/12,0)+IFERROR(VLOOKUP($B9,CDM!$L$36:$T$46,3,FALSE)/24,0)+IFERROR(VLOOKUP($B9,CDM!$L$36:$T$46,3,FALSE)/2*$C9/78,0)</f>
        <v>47880.45185897436</v>
      </c>
      <c r="J9" s="263">
        <f t="shared" si="6"/>
        <v>11031577.87167096</v>
      </c>
      <c r="K9" s="265">
        <v>4021</v>
      </c>
      <c r="L9" s="4">
        <v>26611117.538222358</v>
      </c>
      <c r="M9" s="266">
        <f>IFERROR(VLOOKUP($B9-1,CDM!$L$7:$T$18,4,FALSE)/12,0)+IFERROR(VLOOKUP($B9,CDM!$L$36:$T$46,4,FALSE)/24,0)+IFERROR(VLOOKUP($B9,CDM!$L$36:$T$46,4,FALSE)/2*$C9/78,0)</f>
        <v>66780.630224358989</v>
      </c>
      <c r="N9" s="263">
        <f t="shared" si="3"/>
        <v>26677898.168446716</v>
      </c>
      <c r="O9" s="4">
        <v>69183</v>
      </c>
      <c r="P9" s="265">
        <v>512</v>
      </c>
      <c r="Q9" s="265">
        <v>7573223.6327610556</v>
      </c>
      <c r="R9" s="265">
        <f>IFERROR(VLOOKUP($B9-1,CDM!$L$7:$T$18,5,FALSE)/12,0)+IFERROR(VLOOKUP($B9,CDM!$L$36:$T$46,5,FALSE)/24,0)+IFERROR(VLOOKUP($B9,CDM!$L$36:$T$46,5,FALSE)/2*$C9/78,0)</f>
        <v>448516.45477564109</v>
      </c>
      <c r="S9" s="265">
        <f t="shared" si="7"/>
        <v>8021740.0875366963</v>
      </c>
      <c r="T9" s="265">
        <v>17371</v>
      </c>
      <c r="U9" s="265">
        <v>13</v>
      </c>
      <c r="V9" s="265">
        <v>3934483.9152747728</v>
      </c>
      <c r="W9" s="265">
        <f>IFERROR(VLOOKUP($B9-1,CDM!$L$7:$T$18,6,FALSE)/12,0)+IFERROR(VLOOKUP($B9,CDM!$L$36:$T$46,6,FALSE)/24,0)+IFERROR(VLOOKUP($B9,CDM!$L$36:$T$46,6,FALSE)/2*$C9/78,0)</f>
        <v>0</v>
      </c>
      <c r="X9" s="265">
        <f t="shared" si="8"/>
        <v>3934483.9152747728</v>
      </c>
      <c r="Y9" s="265">
        <v>8360</v>
      </c>
      <c r="Z9" s="265">
        <v>1</v>
      </c>
      <c r="AA9" s="4">
        <v>623170.68789841386</v>
      </c>
      <c r="AB9" s="4">
        <v>2176</v>
      </c>
      <c r="AC9" s="265">
        <v>12670</v>
      </c>
      <c r="AD9" s="265">
        <v>2328.9910356666032</v>
      </c>
      <c r="AE9" s="265">
        <v>0</v>
      </c>
      <c r="AF9" s="265">
        <v>25</v>
      </c>
      <c r="AG9" s="4">
        <v>206997</v>
      </c>
      <c r="AH9" s="4">
        <v>259</v>
      </c>
      <c r="AI9" s="28">
        <f>Economic!H11</f>
        <v>727609.6</v>
      </c>
      <c r="AJ9" s="28">
        <f>Economic!I11</f>
        <v>557474</v>
      </c>
      <c r="AK9" s="28">
        <f>Economic!J11</f>
        <v>49299.3</v>
      </c>
      <c r="AL9" s="28">
        <f>Economic!K11</f>
        <v>730341</v>
      </c>
      <c r="AM9" s="28">
        <f>Economic!L11</f>
        <v>558510</v>
      </c>
      <c r="AN9" s="28">
        <f>Economic!M11</f>
        <v>29147</v>
      </c>
      <c r="AO9" s="28">
        <f>Economic!D11</f>
        <v>6896.8</v>
      </c>
      <c r="AP9" s="28">
        <f>Economic!E11</f>
        <v>7000.2</v>
      </c>
      <c r="AQ9" s="28">
        <f>Economic!F11</f>
        <v>183</v>
      </c>
      <c r="AR9" s="28">
        <f>Economic!G11</f>
        <v>185.8</v>
      </c>
      <c r="AS9" s="28">
        <f>Economic!N11</f>
        <v>0</v>
      </c>
      <c r="AT9" s="28">
        <f>Economic!O11</f>
        <v>0</v>
      </c>
      <c r="AU9" s="28">
        <f>Economic!P11</f>
        <v>0</v>
      </c>
      <c r="AV9" s="28">
        <f>Economic!Q11</f>
        <v>0</v>
      </c>
      <c r="AW9" s="28">
        <f>Economic!R11</f>
        <v>0</v>
      </c>
      <c r="AX9" s="28">
        <f>Economic!S11</f>
        <v>6615</v>
      </c>
      <c r="AY9" s="7">
        <f>Weather!D9</f>
        <v>19.41747311827957</v>
      </c>
      <c r="AZ9" s="7">
        <f>Weather!E9</f>
        <v>40.1875</v>
      </c>
      <c r="BA9" s="7">
        <f>Weather!F9</f>
        <v>22.12916666666667</v>
      </c>
      <c r="BB9" s="7">
        <f>Weather!G9</f>
        <v>9.4166666666666572</v>
      </c>
      <c r="BC9" s="7">
        <f>Weather!H9</f>
        <v>53.358333333333334</v>
      </c>
      <c r="BD9" s="7">
        <f>Weather!I9</f>
        <v>0.49166666666666714</v>
      </c>
      <c r="BE9" s="7">
        <f>Weather!J9</f>
        <v>106.43333333333335</v>
      </c>
      <c r="BF9" s="7">
        <f>Weather!K9</f>
        <v>0</v>
      </c>
      <c r="BG9" s="7">
        <f>Weather!L9</f>
        <v>167.94166666666666</v>
      </c>
      <c r="BH9" s="7">
        <f>Weather!M9</f>
        <v>0</v>
      </c>
      <c r="BI9" s="7">
        <f>Weather!N9</f>
        <v>229.94166666666666</v>
      </c>
      <c r="BJ9" s="7">
        <f>Weather!O9</f>
        <v>0</v>
      </c>
      <c r="BK9" s="7">
        <f>Weather!P9</f>
        <v>291.94166666666666</v>
      </c>
      <c r="BL9" s="7">
        <f>Weather!Q9</f>
        <v>0</v>
      </c>
      <c r="BM9" s="7">
        <f>Weather!R9</f>
        <v>353.94166666666678</v>
      </c>
      <c r="BN9" s="1">
        <v>0</v>
      </c>
      <c r="BO9" s="1">
        <v>0</v>
      </c>
      <c r="BP9" s="1">
        <v>0</v>
      </c>
      <c r="BQ9" s="1">
        <v>0</v>
      </c>
      <c r="BR9" s="1">
        <v>0</v>
      </c>
      <c r="BS9" s="1">
        <v>0</v>
      </c>
      <c r="BT9" s="1">
        <v>0</v>
      </c>
      <c r="BU9" s="1">
        <v>1</v>
      </c>
      <c r="BV9" s="1">
        <v>0</v>
      </c>
      <c r="BW9" s="1">
        <v>0</v>
      </c>
      <c r="BX9" s="1">
        <v>0</v>
      </c>
      <c r="BY9" s="1">
        <v>0</v>
      </c>
      <c r="BZ9" s="1">
        <v>0</v>
      </c>
      <c r="CA9" s="1">
        <v>0</v>
      </c>
      <c r="CB9" s="1">
        <v>0</v>
      </c>
      <c r="CC9" s="1">
        <f t="shared" si="9"/>
        <v>8</v>
      </c>
      <c r="CD9" s="1">
        <v>31</v>
      </c>
      <c r="CE9" s="1">
        <v>20</v>
      </c>
      <c r="CF9" s="1">
        <v>0</v>
      </c>
      <c r="CG9" s="1">
        <v>0</v>
      </c>
      <c r="CH9" s="1">
        <v>0</v>
      </c>
      <c r="CI9" s="1">
        <v>0</v>
      </c>
      <c r="CJ9" s="1">
        <f t="shared" ref="CJ9:CQ65" si="12">$CG9*AZ9</f>
        <v>0</v>
      </c>
      <c r="CK9" s="1">
        <f t="shared" si="12"/>
        <v>0</v>
      </c>
      <c r="CL9" s="1">
        <f t="shared" si="12"/>
        <v>0</v>
      </c>
      <c r="CM9" s="1">
        <f t="shared" si="10"/>
        <v>0</v>
      </c>
      <c r="CN9" s="1">
        <f t="shared" si="10"/>
        <v>0</v>
      </c>
      <c r="CO9" s="1">
        <f t="shared" si="10"/>
        <v>0</v>
      </c>
      <c r="CP9" s="1">
        <f t="shared" si="10"/>
        <v>0</v>
      </c>
      <c r="CQ9" s="1">
        <f t="shared" si="10"/>
        <v>0</v>
      </c>
      <c r="CR9" s="1">
        <f t="shared" si="10"/>
        <v>0</v>
      </c>
      <c r="CS9" s="1">
        <f t="shared" si="10"/>
        <v>0</v>
      </c>
      <c r="CT9" s="1">
        <f t="shared" si="10"/>
        <v>0</v>
      </c>
      <c r="CU9" s="1">
        <f t="shared" si="10"/>
        <v>0</v>
      </c>
      <c r="CV9" s="1">
        <f t="shared" si="10"/>
        <v>0</v>
      </c>
      <c r="CW9" s="1">
        <f t="shared" si="10"/>
        <v>0</v>
      </c>
      <c r="CX9" s="1">
        <f t="shared" ref="CX9:DE65" si="13">$CH9*AZ9</f>
        <v>0</v>
      </c>
      <c r="CY9" s="1">
        <f t="shared" si="13"/>
        <v>0</v>
      </c>
      <c r="CZ9" s="1">
        <f t="shared" si="13"/>
        <v>0</v>
      </c>
      <c r="DA9" s="1">
        <f t="shared" si="11"/>
        <v>0</v>
      </c>
      <c r="DB9" s="1">
        <f t="shared" si="11"/>
        <v>0</v>
      </c>
      <c r="DC9" s="1">
        <f t="shared" si="11"/>
        <v>0</v>
      </c>
      <c r="DD9" s="1">
        <f t="shared" si="11"/>
        <v>0</v>
      </c>
      <c r="DE9" s="1">
        <f t="shared" si="11"/>
        <v>0</v>
      </c>
      <c r="DF9" s="1">
        <f t="shared" si="11"/>
        <v>0</v>
      </c>
      <c r="DG9" s="1">
        <f t="shared" si="11"/>
        <v>0</v>
      </c>
      <c r="DH9" s="1">
        <f t="shared" si="11"/>
        <v>0</v>
      </c>
      <c r="DI9" s="1">
        <f t="shared" si="11"/>
        <v>0</v>
      </c>
      <c r="DJ9" s="1">
        <f t="shared" si="11"/>
        <v>0</v>
      </c>
      <c r="DK9" s="1">
        <f t="shared" si="11"/>
        <v>0</v>
      </c>
      <c r="DL9" s="25"/>
      <c r="DM9" s="25"/>
      <c r="DN9" s="24"/>
      <c r="DO9" s="25"/>
      <c r="DP9" s="25"/>
      <c r="DQ9" s="25"/>
      <c r="DR9" s="25"/>
      <c r="DS9" s="25"/>
      <c r="DT9" s="25"/>
      <c r="DU9" s="25"/>
      <c r="DV9" s="25"/>
    </row>
    <row r="10" spans="1:126" x14ac:dyDescent="0.25">
      <c r="A10" s="261">
        <v>42248</v>
      </c>
      <c r="B10" s="262">
        <f t="shared" si="0"/>
        <v>2015</v>
      </c>
      <c r="C10" s="262">
        <f t="shared" si="1"/>
        <v>9</v>
      </c>
      <c r="D10" s="263">
        <v>40459156.288654119</v>
      </c>
      <c r="E10" s="263">
        <f>IFERROR(VLOOKUP($B10-1,CDM!$L$7:$T$18,2,FALSE)/12,0)+IFERROR(VLOOKUP($B10,CDM!$L$36:$T$46,2,FALSE)/24,0)+IFERROR(VLOOKUP($B10,CDM!$L$36:$T$46,2,FALSE)/2*$C10/78,0)</f>
        <v>173466.75961538462</v>
      </c>
      <c r="F10" s="263">
        <f t="shared" si="2"/>
        <v>40632623.048269503</v>
      </c>
      <c r="G10" s="264">
        <v>49938</v>
      </c>
      <c r="H10" s="263">
        <v>10747166.189587737</v>
      </c>
      <c r="I10" s="263">
        <f>IFERROR(VLOOKUP($B10-1,CDM!$L$7:$T$18,3,FALSE)/12,0)+IFERROR(VLOOKUP($B10,CDM!$L$36:$T$46,3,FALSE)/24,0)+IFERROR(VLOOKUP($B10,CDM!$L$36:$T$46,3,FALSE)/2*$C10/78,0)</f>
        <v>51182.551987179482</v>
      </c>
      <c r="J10" s="263">
        <f t="shared" si="6"/>
        <v>10798348.741574915</v>
      </c>
      <c r="K10" s="265">
        <v>4033</v>
      </c>
      <c r="L10" s="4">
        <v>25297035.991907977</v>
      </c>
      <c r="M10" s="266">
        <f>IFERROR(VLOOKUP($B10-1,CDM!$L$7:$T$18,4,FALSE)/12,0)+IFERROR(VLOOKUP($B10,CDM!$L$36:$T$46,4,FALSE)/24,0)+IFERROR(VLOOKUP($B10,CDM!$L$36:$T$46,4,FALSE)/2*$C10/78,0)</f>
        <v>71386.190929487188</v>
      </c>
      <c r="N10" s="263">
        <f t="shared" si="3"/>
        <v>25368422.182837464</v>
      </c>
      <c r="O10" s="4">
        <v>70164</v>
      </c>
      <c r="P10" s="265">
        <v>513</v>
      </c>
      <c r="Q10" s="265">
        <v>7598843.0390862823</v>
      </c>
      <c r="R10" s="265">
        <f>IFERROR(VLOOKUP($B10-1,CDM!$L$7:$T$18,5,FALSE)/12,0)+IFERROR(VLOOKUP($B10,CDM!$L$36:$T$46,5,FALSE)/24,0)+IFERROR(VLOOKUP($B10,CDM!$L$36:$T$46,5,FALSE)/2*$C10/78,0)</f>
        <v>479448.62407051283</v>
      </c>
      <c r="S10" s="265">
        <f t="shared" si="7"/>
        <v>8078291.6631567953</v>
      </c>
      <c r="T10" s="265">
        <v>17314</v>
      </c>
      <c r="U10" s="265">
        <v>13</v>
      </c>
      <c r="V10" s="265">
        <v>3833490.6826414838</v>
      </c>
      <c r="W10" s="265">
        <f>IFERROR(VLOOKUP($B10-1,CDM!$L$7:$T$18,6,FALSE)/12,0)+IFERROR(VLOOKUP($B10,CDM!$L$36:$T$46,6,FALSE)/24,0)+IFERROR(VLOOKUP($B10,CDM!$L$36:$T$46,6,FALSE)/2*$C10/78,0)</f>
        <v>0</v>
      </c>
      <c r="X10" s="265">
        <f t="shared" si="8"/>
        <v>3833490.6826414838</v>
      </c>
      <c r="Y10" s="265">
        <v>9188</v>
      </c>
      <c r="Z10" s="265">
        <v>1</v>
      </c>
      <c r="AA10" s="4">
        <v>620596.04214160226</v>
      </c>
      <c r="AB10" s="4">
        <v>2180</v>
      </c>
      <c r="AC10" s="265">
        <v>12670</v>
      </c>
      <c r="AD10" s="265">
        <v>2278.5809650963192</v>
      </c>
      <c r="AE10" s="265">
        <v>0</v>
      </c>
      <c r="AF10" s="265">
        <v>25</v>
      </c>
      <c r="AG10" s="4">
        <v>209088</v>
      </c>
      <c r="AH10" s="4">
        <v>262</v>
      </c>
      <c r="AI10" s="28">
        <f>Economic!H12</f>
        <v>727609.6</v>
      </c>
      <c r="AJ10" s="28">
        <f>Economic!I12</f>
        <v>557474</v>
      </c>
      <c r="AK10" s="28">
        <f>Economic!J12</f>
        <v>49299.3</v>
      </c>
      <c r="AL10" s="28">
        <f>Economic!K12</f>
        <v>730341</v>
      </c>
      <c r="AM10" s="28">
        <f>Economic!L12</f>
        <v>558510</v>
      </c>
      <c r="AN10" s="28">
        <f>Economic!M12</f>
        <v>29147</v>
      </c>
      <c r="AO10" s="28">
        <f>Economic!D12</f>
        <v>6893.1</v>
      </c>
      <c r="AP10" s="28">
        <f>Economic!E12</f>
        <v>6953.7</v>
      </c>
      <c r="AQ10" s="28">
        <f>Economic!F12</f>
        <v>181.7</v>
      </c>
      <c r="AR10" s="28">
        <f>Economic!G12</f>
        <v>183</v>
      </c>
      <c r="AS10" s="28">
        <f>Economic!N12</f>
        <v>0</v>
      </c>
      <c r="AT10" s="28">
        <f>Economic!O12</f>
        <v>0</v>
      </c>
      <c r="AU10" s="28">
        <f>Economic!P12</f>
        <v>0</v>
      </c>
      <c r="AV10" s="28">
        <f>Economic!Q12</f>
        <v>0</v>
      </c>
      <c r="AW10" s="28">
        <f>Economic!R12</f>
        <v>0</v>
      </c>
      <c r="AX10" s="28">
        <f>Economic!S12</f>
        <v>6615</v>
      </c>
      <c r="AY10" s="7">
        <f>Weather!D10</f>
        <v>18.297420634920634</v>
      </c>
      <c r="AZ10" s="7">
        <f>Weather!E10</f>
        <v>78.99404761904762</v>
      </c>
      <c r="BA10" s="7">
        <f>Weather!F10</f>
        <v>27.916666666666675</v>
      </c>
      <c r="BB10" s="7">
        <f>Weather!G10</f>
        <v>42.631547619047623</v>
      </c>
      <c r="BC10" s="7">
        <f>Weather!H10</f>
        <v>51.55416666666666</v>
      </c>
      <c r="BD10" s="7">
        <f>Weather!I10</f>
        <v>18.695833333333333</v>
      </c>
      <c r="BE10" s="7">
        <f>Weather!J10</f>
        <v>87.618452380952391</v>
      </c>
      <c r="BF10" s="7">
        <f>Weather!K10</f>
        <v>6.0041666666666682</v>
      </c>
      <c r="BG10" s="7">
        <f>Weather!L10</f>
        <v>134.9267857142857</v>
      </c>
      <c r="BH10" s="7">
        <f>Weather!M10</f>
        <v>3.7500000000001421E-2</v>
      </c>
      <c r="BI10" s="7">
        <f>Weather!N10</f>
        <v>188.96011904761906</v>
      </c>
      <c r="BJ10" s="7">
        <f>Weather!O10</f>
        <v>0</v>
      </c>
      <c r="BK10" s="7">
        <f>Weather!P10</f>
        <v>248.92261904761907</v>
      </c>
      <c r="BL10" s="7">
        <f>Weather!Q10</f>
        <v>0</v>
      </c>
      <c r="BM10" s="7">
        <f>Weather!R10</f>
        <v>308.92261904761898</v>
      </c>
      <c r="BN10" s="1">
        <v>0</v>
      </c>
      <c r="BO10" s="1">
        <v>0</v>
      </c>
      <c r="BP10" s="1">
        <v>0</v>
      </c>
      <c r="BQ10" s="1">
        <v>0</v>
      </c>
      <c r="BR10" s="1">
        <v>0</v>
      </c>
      <c r="BS10" s="1">
        <v>0</v>
      </c>
      <c r="BT10" s="1">
        <v>0</v>
      </c>
      <c r="BU10" s="1">
        <v>0</v>
      </c>
      <c r="BV10" s="1">
        <v>1</v>
      </c>
      <c r="BW10" s="1">
        <v>0</v>
      </c>
      <c r="BX10" s="1">
        <v>0</v>
      </c>
      <c r="BY10" s="1">
        <v>0</v>
      </c>
      <c r="BZ10" s="1">
        <v>0</v>
      </c>
      <c r="CA10" s="1">
        <v>1</v>
      </c>
      <c r="CB10" s="1">
        <v>1</v>
      </c>
      <c r="CC10" s="1">
        <f t="shared" si="9"/>
        <v>9</v>
      </c>
      <c r="CD10" s="1">
        <v>30</v>
      </c>
      <c r="CE10" s="1">
        <v>21</v>
      </c>
      <c r="CF10" s="1">
        <v>0</v>
      </c>
      <c r="CG10" s="1">
        <v>0</v>
      </c>
      <c r="CH10" s="1">
        <v>0</v>
      </c>
      <c r="CI10" s="1">
        <v>0</v>
      </c>
      <c r="CJ10" s="1">
        <f t="shared" si="12"/>
        <v>0</v>
      </c>
      <c r="CK10" s="1">
        <f t="shared" si="12"/>
        <v>0</v>
      </c>
      <c r="CL10" s="1">
        <f t="shared" si="12"/>
        <v>0</v>
      </c>
      <c r="CM10" s="1">
        <f t="shared" si="10"/>
        <v>0</v>
      </c>
      <c r="CN10" s="1">
        <f t="shared" si="10"/>
        <v>0</v>
      </c>
      <c r="CO10" s="1">
        <f t="shared" si="10"/>
        <v>0</v>
      </c>
      <c r="CP10" s="1">
        <f t="shared" si="10"/>
        <v>0</v>
      </c>
      <c r="CQ10" s="1">
        <f t="shared" si="10"/>
        <v>0</v>
      </c>
      <c r="CR10" s="1">
        <f t="shared" si="10"/>
        <v>0</v>
      </c>
      <c r="CS10" s="1">
        <f t="shared" si="10"/>
        <v>0</v>
      </c>
      <c r="CT10" s="1">
        <f t="shared" si="10"/>
        <v>0</v>
      </c>
      <c r="CU10" s="1">
        <f t="shared" si="10"/>
        <v>0</v>
      </c>
      <c r="CV10" s="1">
        <f t="shared" si="10"/>
        <v>0</v>
      </c>
      <c r="CW10" s="1">
        <f t="shared" si="10"/>
        <v>0</v>
      </c>
      <c r="CX10" s="1">
        <f t="shared" si="13"/>
        <v>0</v>
      </c>
      <c r="CY10" s="1">
        <f t="shared" si="13"/>
        <v>0</v>
      </c>
      <c r="CZ10" s="1">
        <f t="shared" si="13"/>
        <v>0</v>
      </c>
      <c r="DA10" s="1">
        <f t="shared" si="11"/>
        <v>0</v>
      </c>
      <c r="DB10" s="1">
        <f t="shared" si="11"/>
        <v>0</v>
      </c>
      <c r="DC10" s="1">
        <f t="shared" si="11"/>
        <v>0</v>
      </c>
      <c r="DD10" s="1">
        <f t="shared" si="11"/>
        <v>0</v>
      </c>
      <c r="DE10" s="1">
        <f t="shared" si="11"/>
        <v>0</v>
      </c>
      <c r="DF10" s="1">
        <f t="shared" si="11"/>
        <v>0</v>
      </c>
      <c r="DG10" s="1">
        <f t="shared" si="11"/>
        <v>0</v>
      </c>
      <c r="DH10" s="1">
        <f t="shared" si="11"/>
        <v>0</v>
      </c>
      <c r="DI10" s="1">
        <f t="shared" si="11"/>
        <v>0</v>
      </c>
      <c r="DJ10" s="1">
        <f t="shared" si="11"/>
        <v>0</v>
      </c>
      <c r="DK10" s="1">
        <f t="shared" si="11"/>
        <v>0</v>
      </c>
      <c r="DL10" s="25"/>
      <c r="DM10" s="25"/>
      <c r="DN10" s="24"/>
      <c r="DO10" s="25"/>
      <c r="DP10" s="25"/>
      <c r="DQ10" s="25"/>
      <c r="DR10" s="25"/>
      <c r="DS10" s="25"/>
      <c r="DT10" s="25"/>
      <c r="DU10" s="25"/>
      <c r="DV10" s="25"/>
    </row>
    <row r="11" spans="1:126" x14ac:dyDescent="0.25">
      <c r="A11" s="261">
        <v>42278</v>
      </c>
      <c r="B11" s="262">
        <f t="shared" si="0"/>
        <v>2015</v>
      </c>
      <c r="C11" s="262">
        <f t="shared" si="1"/>
        <v>10</v>
      </c>
      <c r="D11" s="263">
        <v>32448440.676600091</v>
      </c>
      <c r="E11" s="263">
        <f>IFERROR(VLOOKUP($B11-1,CDM!$L$7:$T$18,2,FALSE)/12,0)+IFERROR(VLOOKUP($B11,CDM!$L$36:$T$46,2,FALSE)/24,0)+IFERROR(VLOOKUP($B11,CDM!$L$36:$T$46,2,FALSE)/2*$C11/78,0)</f>
        <v>184658.16346153847</v>
      </c>
      <c r="F11" s="263">
        <f t="shared" si="2"/>
        <v>32633098.840061631</v>
      </c>
      <c r="G11" s="264">
        <v>50485</v>
      </c>
      <c r="H11" s="263">
        <v>9951966.7651797645</v>
      </c>
      <c r="I11" s="263">
        <f>IFERROR(VLOOKUP($B11-1,CDM!$L$7:$T$18,3,FALSE)/12,0)+IFERROR(VLOOKUP($B11,CDM!$L$36:$T$46,3,FALSE)/24,0)+IFERROR(VLOOKUP($B11,CDM!$L$36:$T$46,3,FALSE)/2*$C11/78,0)</f>
        <v>54484.652115384619</v>
      </c>
      <c r="J11" s="263">
        <f t="shared" si="6"/>
        <v>10006451.417295149</v>
      </c>
      <c r="K11" s="265">
        <v>4052</v>
      </c>
      <c r="L11" s="4">
        <v>25608623.963184752</v>
      </c>
      <c r="M11" s="266">
        <f>IFERROR(VLOOKUP($B11-1,CDM!$L$7:$T$18,4,FALSE)/12,0)+IFERROR(VLOOKUP($B11,CDM!$L$36:$T$46,4,FALSE)/24,0)+IFERROR(VLOOKUP($B11,CDM!$L$36:$T$46,4,FALSE)/2*$C11/78,0)</f>
        <v>75991.751634615401</v>
      </c>
      <c r="N11" s="263">
        <f t="shared" si="3"/>
        <v>25684615.714819368</v>
      </c>
      <c r="O11" s="4">
        <v>66056</v>
      </c>
      <c r="P11" s="265">
        <v>516</v>
      </c>
      <c r="Q11" s="265">
        <v>6772716.0920320945</v>
      </c>
      <c r="R11" s="265">
        <f>IFERROR(VLOOKUP($B11-1,CDM!$L$7:$T$18,5,FALSE)/12,0)+IFERROR(VLOOKUP($B11,CDM!$L$36:$T$46,5,FALSE)/24,0)+IFERROR(VLOOKUP($B11,CDM!$L$36:$T$46,5,FALSE)/2*$C11/78,0)</f>
        <v>510380.79336538468</v>
      </c>
      <c r="S11" s="265">
        <f t="shared" si="7"/>
        <v>7283096.8853974789</v>
      </c>
      <c r="T11" s="265">
        <v>15670</v>
      </c>
      <c r="U11" s="265">
        <v>13</v>
      </c>
      <c r="V11" s="265">
        <v>3429806.3555595707</v>
      </c>
      <c r="W11" s="265">
        <f>IFERROR(VLOOKUP($B11-1,CDM!$L$7:$T$18,6,FALSE)/12,0)+IFERROR(VLOOKUP($B11,CDM!$L$36:$T$46,6,FALSE)/24,0)+IFERROR(VLOOKUP($B11,CDM!$L$36:$T$46,6,FALSE)/2*$C11/78,0)</f>
        <v>0</v>
      </c>
      <c r="X11" s="265">
        <f t="shared" si="8"/>
        <v>3429806.3555595707</v>
      </c>
      <c r="Y11" s="265">
        <v>8100</v>
      </c>
      <c r="Z11" s="265">
        <v>1</v>
      </c>
      <c r="AA11" s="4">
        <v>883716.36472062371</v>
      </c>
      <c r="AB11" s="4">
        <v>2205</v>
      </c>
      <c r="AC11" s="265">
        <v>12884</v>
      </c>
      <c r="AD11" s="265">
        <v>2239.3858477970625</v>
      </c>
      <c r="AE11" s="265">
        <v>0</v>
      </c>
      <c r="AF11" s="265">
        <v>25</v>
      </c>
      <c r="AG11" s="4">
        <v>210167</v>
      </c>
      <c r="AH11" s="4">
        <v>244</v>
      </c>
      <c r="AI11" s="28">
        <f>Economic!H13</f>
        <v>727609.6</v>
      </c>
      <c r="AJ11" s="28">
        <f>Economic!I13</f>
        <v>557474</v>
      </c>
      <c r="AK11" s="28">
        <f>Economic!J13</f>
        <v>49299.3</v>
      </c>
      <c r="AL11" s="28">
        <f>Economic!K13</f>
        <v>737784</v>
      </c>
      <c r="AM11" s="28">
        <f>Economic!L13</f>
        <v>564056</v>
      </c>
      <c r="AN11" s="28">
        <f>Economic!M13</f>
        <v>29355</v>
      </c>
      <c r="AO11" s="28">
        <f>Economic!D13</f>
        <v>6892.9</v>
      </c>
      <c r="AP11" s="28">
        <f>Economic!E13</f>
        <v>6932.8</v>
      </c>
      <c r="AQ11" s="28">
        <f>Economic!F13</f>
        <v>187.1</v>
      </c>
      <c r="AR11" s="28">
        <f>Economic!G13</f>
        <v>187.5</v>
      </c>
      <c r="AS11" s="28">
        <f>Economic!N13</f>
        <v>0</v>
      </c>
      <c r="AT11" s="28">
        <f>Economic!O13</f>
        <v>0</v>
      </c>
      <c r="AU11" s="28">
        <f>Economic!P13</f>
        <v>0</v>
      </c>
      <c r="AV11" s="28">
        <f>Economic!Q13</f>
        <v>0</v>
      </c>
      <c r="AW11" s="28">
        <f>Economic!R13</f>
        <v>0</v>
      </c>
      <c r="AX11" s="28">
        <f>Economic!S13</f>
        <v>7443</v>
      </c>
      <c r="AY11" s="7">
        <f>Weather!D11</f>
        <v>9.0649193548387093</v>
      </c>
      <c r="AZ11" s="7">
        <f>Weather!E11</f>
        <v>338.98750000000007</v>
      </c>
      <c r="BA11" s="7">
        <f>Weather!F11</f>
        <v>0</v>
      </c>
      <c r="BB11" s="7">
        <f>Weather!G11</f>
        <v>276.98750000000001</v>
      </c>
      <c r="BC11" s="7">
        <f>Weather!H11</f>
        <v>0</v>
      </c>
      <c r="BD11" s="7">
        <f>Weather!I11</f>
        <v>215.98749999999998</v>
      </c>
      <c r="BE11" s="7">
        <f>Weather!J11</f>
        <v>1</v>
      </c>
      <c r="BF11" s="7">
        <f>Weather!K11</f>
        <v>157.34583333333333</v>
      </c>
      <c r="BG11" s="7">
        <f>Weather!L11</f>
        <v>4.3583333333333325</v>
      </c>
      <c r="BH11" s="7">
        <f>Weather!M11</f>
        <v>104.88333333333331</v>
      </c>
      <c r="BI11" s="7">
        <f>Weather!N11</f>
        <v>13.895833333333337</v>
      </c>
      <c r="BJ11" s="7">
        <f>Weather!O11</f>
        <v>61.262500000000003</v>
      </c>
      <c r="BK11" s="7">
        <f>Weather!P11</f>
        <v>32.275000000000006</v>
      </c>
      <c r="BL11" s="7">
        <f>Weather!Q11</f>
        <v>33.92916666666666</v>
      </c>
      <c r="BM11" s="7">
        <f>Weather!R11</f>
        <v>66.941666666666677</v>
      </c>
      <c r="BN11" s="1">
        <v>0</v>
      </c>
      <c r="BO11" s="1">
        <v>0</v>
      </c>
      <c r="BP11" s="1">
        <v>0</v>
      </c>
      <c r="BQ11" s="1">
        <v>0</v>
      </c>
      <c r="BR11" s="1">
        <v>0</v>
      </c>
      <c r="BS11" s="1">
        <v>0</v>
      </c>
      <c r="BT11" s="1">
        <v>0</v>
      </c>
      <c r="BU11" s="1">
        <v>0</v>
      </c>
      <c r="BV11" s="1">
        <v>0</v>
      </c>
      <c r="BW11" s="1">
        <v>1</v>
      </c>
      <c r="BX11" s="1">
        <v>0</v>
      </c>
      <c r="BY11" s="1">
        <v>0</v>
      </c>
      <c r="BZ11" s="1">
        <v>0</v>
      </c>
      <c r="CA11" s="1">
        <v>1</v>
      </c>
      <c r="CB11" s="1">
        <v>1</v>
      </c>
      <c r="CC11" s="1">
        <f t="shared" si="9"/>
        <v>10</v>
      </c>
      <c r="CD11" s="1">
        <v>31</v>
      </c>
      <c r="CE11" s="1">
        <v>21</v>
      </c>
      <c r="CF11" s="1">
        <v>0</v>
      </c>
      <c r="CG11" s="1">
        <v>0</v>
      </c>
      <c r="CH11" s="1">
        <v>0</v>
      </c>
      <c r="CI11" s="1">
        <v>0</v>
      </c>
      <c r="CJ11" s="1">
        <f t="shared" si="12"/>
        <v>0</v>
      </c>
      <c r="CK11" s="1">
        <f t="shared" si="12"/>
        <v>0</v>
      </c>
      <c r="CL11" s="1">
        <f t="shared" si="12"/>
        <v>0</v>
      </c>
      <c r="CM11" s="1">
        <f t="shared" si="10"/>
        <v>0</v>
      </c>
      <c r="CN11" s="1">
        <f t="shared" si="10"/>
        <v>0</v>
      </c>
      <c r="CO11" s="1">
        <f t="shared" si="10"/>
        <v>0</v>
      </c>
      <c r="CP11" s="1">
        <f t="shared" si="10"/>
        <v>0</v>
      </c>
      <c r="CQ11" s="1">
        <f t="shared" si="10"/>
        <v>0</v>
      </c>
      <c r="CR11" s="1">
        <f t="shared" si="10"/>
        <v>0</v>
      </c>
      <c r="CS11" s="1">
        <f t="shared" si="10"/>
        <v>0</v>
      </c>
      <c r="CT11" s="1">
        <f t="shared" si="10"/>
        <v>0</v>
      </c>
      <c r="CU11" s="1">
        <f t="shared" si="10"/>
        <v>0</v>
      </c>
      <c r="CV11" s="1">
        <f t="shared" si="10"/>
        <v>0</v>
      </c>
      <c r="CW11" s="1">
        <f t="shared" si="10"/>
        <v>0</v>
      </c>
      <c r="CX11" s="1">
        <f t="shared" si="13"/>
        <v>0</v>
      </c>
      <c r="CY11" s="1">
        <f t="shared" si="13"/>
        <v>0</v>
      </c>
      <c r="CZ11" s="1">
        <f t="shared" si="13"/>
        <v>0</v>
      </c>
      <c r="DA11" s="1">
        <f t="shared" si="11"/>
        <v>0</v>
      </c>
      <c r="DB11" s="1">
        <f t="shared" si="11"/>
        <v>0</v>
      </c>
      <c r="DC11" s="1">
        <f t="shared" si="11"/>
        <v>0</v>
      </c>
      <c r="DD11" s="1">
        <f t="shared" si="11"/>
        <v>0</v>
      </c>
      <c r="DE11" s="1">
        <f t="shared" si="11"/>
        <v>0</v>
      </c>
      <c r="DF11" s="1">
        <f t="shared" si="11"/>
        <v>0</v>
      </c>
      <c r="DG11" s="1">
        <f t="shared" si="11"/>
        <v>0</v>
      </c>
      <c r="DH11" s="1">
        <f t="shared" si="11"/>
        <v>0</v>
      </c>
      <c r="DI11" s="1">
        <f t="shared" si="11"/>
        <v>0</v>
      </c>
      <c r="DJ11" s="1">
        <f t="shared" si="11"/>
        <v>0</v>
      </c>
      <c r="DK11" s="1">
        <f t="shared" si="11"/>
        <v>0</v>
      </c>
      <c r="DL11" s="25"/>
      <c r="DM11" s="25"/>
      <c r="DN11" s="24"/>
      <c r="DO11" s="25"/>
      <c r="DP11" s="25"/>
      <c r="DQ11" s="25"/>
      <c r="DR11" s="25"/>
      <c r="DS11" s="25"/>
      <c r="DT11" s="25"/>
      <c r="DU11" s="25"/>
      <c r="DV11" s="25"/>
    </row>
    <row r="12" spans="1:126" x14ac:dyDescent="0.25">
      <c r="A12" s="261">
        <v>42309</v>
      </c>
      <c r="B12" s="262">
        <f t="shared" si="0"/>
        <v>2015</v>
      </c>
      <c r="C12" s="262">
        <f t="shared" si="1"/>
        <v>11</v>
      </c>
      <c r="D12" s="263">
        <v>35832898.961962841</v>
      </c>
      <c r="E12" s="263">
        <f>IFERROR(VLOOKUP($B12-1,CDM!$L$7:$T$18,2,FALSE)/12,0)+IFERROR(VLOOKUP($B12,CDM!$L$36:$T$46,2,FALSE)/24,0)+IFERROR(VLOOKUP($B12,CDM!$L$36:$T$46,2,FALSE)/2*$C12/78,0)</f>
        <v>195849.56730769231</v>
      </c>
      <c r="F12" s="263">
        <f t="shared" si="2"/>
        <v>36028748.529270537</v>
      </c>
      <c r="G12" s="264">
        <v>50997</v>
      </c>
      <c r="H12" s="263">
        <v>10589887.518140785</v>
      </c>
      <c r="I12" s="263">
        <f>IFERROR(VLOOKUP($B12-1,CDM!$L$7:$T$18,3,FALSE)/12,0)+IFERROR(VLOOKUP($B12,CDM!$L$36:$T$46,3,FALSE)/24,0)+IFERROR(VLOOKUP($B12,CDM!$L$36:$T$46,3,FALSE)/2*$C12/78,0)</f>
        <v>57786.752243589748</v>
      </c>
      <c r="J12" s="263">
        <f t="shared" si="6"/>
        <v>10647674.270384375</v>
      </c>
      <c r="K12" s="265">
        <v>4065</v>
      </c>
      <c r="L12" s="4">
        <v>27017081.803365063</v>
      </c>
      <c r="M12" s="266">
        <f>IFERROR(VLOOKUP($B12-1,CDM!$L$7:$T$18,4,FALSE)/12,0)+IFERROR(VLOOKUP($B12,CDM!$L$36:$T$46,4,FALSE)/24,0)+IFERROR(VLOOKUP($B12,CDM!$L$36:$T$46,4,FALSE)/2*$C12/78,0)</f>
        <v>80597.312339743599</v>
      </c>
      <c r="N12" s="263">
        <f t="shared" si="3"/>
        <v>27097679.115704805</v>
      </c>
      <c r="O12" s="4">
        <v>67615</v>
      </c>
      <c r="P12" s="265">
        <v>513</v>
      </c>
      <c r="Q12" s="265">
        <v>6520800.63230542</v>
      </c>
      <c r="R12" s="265">
        <f>IFERROR(VLOOKUP($B12-1,CDM!$L$7:$T$18,5,FALSE)/12,0)+IFERROR(VLOOKUP($B12,CDM!$L$36:$T$46,5,FALSE)/24,0)+IFERROR(VLOOKUP($B12,CDM!$L$36:$T$46,5,FALSE)/2*$C12/78,0)</f>
        <v>541312.96266025642</v>
      </c>
      <c r="S12" s="265">
        <f t="shared" si="7"/>
        <v>7062113.5949656768</v>
      </c>
      <c r="T12" s="265">
        <v>15370</v>
      </c>
      <c r="U12" s="265">
        <v>13</v>
      </c>
      <c r="V12" s="265">
        <v>3420382.304454477</v>
      </c>
      <c r="W12" s="265">
        <f>IFERROR(VLOOKUP($B12-1,CDM!$L$7:$T$18,6,FALSE)/12,0)+IFERROR(VLOOKUP($B12,CDM!$L$36:$T$46,6,FALSE)/24,0)+IFERROR(VLOOKUP($B12,CDM!$L$36:$T$46,6,FALSE)/2*$C12/78,0)</f>
        <v>0</v>
      </c>
      <c r="X12" s="265">
        <f t="shared" si="8"/>
        <v>3420382.304454477</v>
      </c>
      <c r="Y12" s="265">
        <v>8314</v>
      </c>
      <c r="Z12" s="265">
        <v>1</v>
      </c>
      <c r="AA12" s="4">
        <v>944430.90620128845</v>
      </c>
      <c r="AB12" s="4">
        <v>2223</v>
      </c>
      <c r="AC12" s="265">
        <v>12884</v>
      </c>
      <c r="AD12" s="265">
        <v>2134.3887087545299</v>
      </c>
      <c r="AE12" s="265">
        <v>0</v>
      </c>
      <c r="AF12" s="265">
        <v>25</v>
      </c>
      <c r="AG12" s="4">
        <v>208593</v>
      </c>
      <c r="AH12" s="4">
        <v>244</v>
      </c>
      <c r="AI12" s="28">
        <f>Economic!H14</f>
        <v>727609.6</v>
      </c>
      <c r="AJ12" s="28">
        <f>Economic!I14</f>
        <v>557474</v>
      </c>
      <c r="AK12" s="28">
        <f>Economic!J14</f>
        <v>49299.3</v>
      </c>
      <c r="AL12" s="28">
        <f>Economic!K14</f>
        <v>737784</v>
      </c>
      <c r="AM12" s="28">
        <f>Economic!L14</f>
        <v>564056</v>
      </c>
      <c r="AN12" s="28">
        <f>Economic!M14</f>
        <v>29355</v>
      </c>
      <c r="AO12" s="28">
        <f>Economic!D14</f>
        <v>6886.2</v>
      </c>
      <c r="AP12" s="28">
        <f>Economic!E14</f>
        <v>6898.2</v>
      </c>
      <c r="AQ12" s="28">
        <f>Economic!F14</f>
        <v>192.5</v>
      </c>
      <c r="AR12" s="28">
        <f>Economic!G14</f>
        <v>192.1</v>
      </c>
      <c r="AS12" s="28">
        <f>Economic!N14</f>
        <v>0</v>
      </c>
      <c r="AT12" s="28">
        <f>Economic!O14</f>
        <v>0</v>
      </c>
      <c r="AU12" s="28">
        <f>Economic!P14</f>
        <v>0</v>
      </c>
      <c r="AV12" s="28">
        <f>Economic!Q14</f>
        <v>0</v>
      </c>
      <c r="AW12" s="28">
        <f>Economic!R14</f>
        <v>0</v>
      </c>
      <c r="AX12" s="28">
        <f>Economic!S14</f>
        <v>7443</v>
      </c>
      <c r="AY12" s="7">
        <f>Weather!D12</f>
        <v>5.6076388888888893</v>
      </c>
      <c r="AZ12" s="7">
        <f>Weather!E12</f>
        <v>431.77083333333331</v>
      </c>
      <c r="BA12" s="7">
        <f>Weather!F12</f>
        <v>0</v>
      </c>
      <c r="BB12" s="7">
        <f>Weather!G12</f>
        <v>371.77083333333326</v>
      </c>
      <c r="BC12" s="7">
        <f>Weather!H12</f>
        <v>0</v>
      </c>
      <c r="BD12" s="7">
        <f>Weather!I12</f>
        <v>311.77083333333331</v>
      </c>
      <c r="BE12" s="7">
        <f>Weather!J12</f>
        <v>0</v>
      </c>
      <c r="BF12" s="7">
        <f>Weather!K12</f>
        <v>252.04166666666663</v>
      </c>
      <c r="BG12" s="7">
        <f>Weather!L12</f>
        <v>0.27083333333333393</v>
      </c>
      <c r="BH12" s="7">
        <f>Weather!M12</f>
        <v>195.30833333333331</v>
      </c>
      <c r="BI12" s="7">
        <f>Weather!N12</f>
        <v>3.5374999999999979</v>
      </c>
      <c r="BJ12" s="7">
        <f>Weather!O12</f>
        <v>143.67916666666665</v>
      </c>
      <c r="BK12" s="7">
        <f>Weather!P12</f>
        <v>11.908333333333333</v>
      </c>
      <c r="BL12" s="7">
        <f>Weather!Q12</f>
        <v>99.970833333333317</v>
      </c>
      <c r="BM12" s="7">
        <f>Weather!R12</f>
        <v>28.199999999999996</v>
      </c>
      <c r="BN12" s="1">
        <v>0</v>
      </c>
      <c r="BO12" s="1">
        <v>0</v>
      </c>
      <c r="BP12" s="1">
        <v>0</v>
      </c>
      <c r="BQ12" s="1">
        <v>0</v>
      </c>
      <c r="BR12" s="1">
        <v>0</v>
      </c>
      <c r="BS12" s="1">
        <v>0</v>
      </c>
      <c r="BT12" s="1">
        <v>0</v>
      </c>
      <c r="BU12" s="1">
        <v>0</v>
      </c>
      <c r="BV12" s="1">
        <v>0</v>
      </c>
      <c r="BW12" s="1">
        <v>0</v>
      </c>
      <c r="BX12" s="1">
        <v>1</v>
      </c>
      <c r="BY12" s="1">
        <v>0</v>
      </c>
      <c r="BZ12" s="1">
        <v>0</v>
      </c>
      <c r="CA12" s="1">
        <v>1</v>
      </c>
      <c r="CB12" s="1">
        <v>1</v>
      </c>
      <c r="CC12" s="1">
        <f t="shared" si="9"/>
        <v>11</v>
      </c>
      <c r="CD12" s="1">
        <v>30</v>
      </c>
      <c r="CE12" s="1">
        <v>21</v>
      </c>
      <c r="CF12" s="1">
        <v>0</v>
      </c>
      <c r="CG12" s="1">
        <v>0</v>
      </c>
      <c r="CH12" s="1">
        <v>0</v>
      </c>
      <c r="CI12" s="1">
        <v>0</v>
      </c>
      <c r="CJ12" s="1">
        <f t="shared" si="12"/>
        <v>0</v>
      </c>
      <c r="CK12" s="1">
        <f t="shared" si="12"/>
        <v>0</v>
      </c>
      <c r="CL12" s="1">
        <f t="shared" si="12"/>
        <v>0</v>
      </c>
      <c r="CM12" s="1">
        <f t="shared" si="10"/>
        <v>0</v>
      </c>
      <c r="CN12" s="1">
        <f t="shared" si="10"/>
        <v>0</v>
      </c>
      <c r="CO12" s="1">
        <f t="shared" si="10"/>
        <v>0</v>
      </c>
      <c r="CP12" s="1">
        <f t="shared" si="10"/>
        <v>0</v>
      </c>
      <c r="CQ12" s="1">
        <f t="shared" si="10"/>
        <v>0</v>
      </c>
      <c r="CR12" s="1">
        <f t="shared" si="10"/>
        <v>0</v>
      </c>
      <c r="CS12" s="1">
        <f t="shared" si="10"/>
        <v>0</v>
      </c>
      <c r="CT12" s="1">
        <f t="shared" si="10"/>
        <v>0</v>
      </c>
      <c r="CU12" s="1">
        <f t="shared" si="10"/>
        <v>0</v>
      </c>
      <c r="CV12" s="1">
        <f t="shared" si="10"/>
        <v>0</v>
      </c>
      <c r="CW12" s="1">
        <f t="shared" si="10"/>
        <v>0</v>
      </c>
      <c r="CX12" s="1">
        <f t="shared" si="13"/>
        <v>0</v>
      </c>
      <c r="CY12" s="1">
        <f t="shared" si="13"/>
        <v>0</v>
      </c>
      <c r="CZ12" s="1">
        <f t="shared" si="13"/>
        <v>0</v>
      </c>
      <c r="DA12" s="1">
        <f t="shared" si="11"/>
        <v>0</v>
      </c>
      <c r="DB12" s="1">
        <f t="shared" si="11"/>
        <v>0</v>
      </c>
      <c r="DC12" s="1">
        <f t="shared" si="11"/>
        <v>0</v>
      </c>
      <c r="DD12" s="1">
        <f t="shared" si="11"/>
        <v>0</v>
      </c>
      <c r="DE12" s="1">
        <f t="shared" si="11"/>
        <v>0</v>
      </c>
      <c r="DF12" s="1">
        <f t="shared" si="11"/>
        <v>0</v>
      </c>
      <c r="DG12" s="1">
        <f t="shared" si="11"/>
        <v>0</v>
      </c>
      <c r="DH12" s="1">
        <f t="shared" si="11"/>
        <v>0</v>
      </c>
      <c r="DI12" s="1">
        <f t="shared" si="11"/>
        <v>0</v>
      </c>
      <c r="DJ12" s="1">
        <f t="shared" si="11"/>
        <v>0</v>
      </c>
      <c r="DK12" s="1">
        <f t="shared" si="11"/>
        <v>0</v>
      </c>
      <c r="DL12" s="25"/>
      <c r="DM12" s="25"/>
      <c r="DN12" s="24"/>
      <c r="DO12" s="25"/>
      <c r="DP12" s="25"/>
      <c r="DQ12" s="25"/>
      <c r="DR12" s="25"/>
      <c r="DS12" s="25"/>
      <c r="DT12" s="25"/>
      <c r="DU12" s="25"/>
      <c r="DV12" s="25"/>
    </row>
    <row r="13" spans="1:126" x14ac:dyDescent="0.25">
      <c r="A13" s="261">
        <v>42339</v>
      </c>
      <c r="B13" s="262">
        <f t="shared" si="0"/>
        <v>2015</v>
      </c>
      <c r="C13" s="262">
        <f t="shared" si="1"/>
        <v>12</v>
      </c>
      <c r="D13" s="263">
        <v>39899646.775450043</v>
      </c>
      <c r="E13" s="263">
        <f>IFERROR(VLOOKUP($B13-1,CDM!$L$7:$T$18,2,FALSE)/12,0)+IFERROR(VLOOKUP($B13,CDM!$L$36:$T$46,2,FALSE)/24,0)+IFERROR(VLOOKUP($B13,CDM!$L$36:$T$46,2,FALSE)/2*$C13/78,0)</f>
        <v>207040.97115384616</v>
      </c>
      <c r="F13" s="263">
        <f t="shared" si="2"/>
        <v>40106687.746603891</v>
      </c>
      <c r="G13" s="264">
        <v>51467</v>
      </c>
      <c r="H13" s="263">
        <v>11119415.598300742</v>
      </c>
      <c r="I13" s="263">
        <f>IFERROR(VLOOKUP($B13-1,CDM!$L$7:$T$18,3,FALSE)/12,0)+IFERROR(VLOOKUP($B13,CDM!$L$36:$T$46,3,FALSE)/24,0)+IFERROR(VLOOKUP($B13,CDM!$L$36:$T$46,3,FALSE)/2*$C13/78,0)</f>
        <v>61088.85237179487</v>
      </c>
      <c r="J13" s="263">
        <f t="shared" si="6"/>
        <v>11180504.450672537</v>
      </c>
      <c r="K13" s="265">
        <v>4074</v>
      </c>
      <c r="L13" s="4">
        <v>28870990.368448723</v>
      </c>
      <c r="M13" s="266">
        <f>IFERROR(VLOOKUP($B13-1,CDM!$L$7:$T$18,4,FALSE)/12,0)+IFERROR(VLOOKUP($B13,CDM!$L$36:$T$46,4,FALSE)/24,0)+IFERROR(VLOOKUP($B13,CDM!$L$36:$T$46,4,FALSE)/2*$C13/78,0)</f>
        <v>85202.873044871798</v>
      </c>
      <c r="N13" s="263">
        <f t="shared" si="3"/>
        <v>28956193.241493594</v>
      </c>
      <c r="O13" s="4">
        <v>69486</v>
      </c>
      <c r="P13" s="265">
        <v>512</v>
      </c>
      <c r="Q13" s="265">
        <v>5861685.8259207951</v>
      </c>
      <c r="R13" s="265">
        <f>IFERROR(VLOOKUP($B13-1,CDM!$L$7:$T$18,5,FALSE)/12,0)+IFERROR(VLOOKUP($B13,CDM!$L$36:$T$46,5,FALSE)/24,0)+IFERROR(VLOOKUP($B13,CDM!$L$36:$T$46,5,FALSE)/2*$C13/78,0)</f>
        <v>572245.13195512828</v>
      </c>
      <c r="S13" s="265">
        <f t="shared" si="7"/>
        <v>6433930.9578759233</v>
      </c>
      <c r="T13" s="265">
        <v>13737</v>
      </c>
      <c r="U13" s="265">
        <v>13</v>
      </c>
      <c r="V13" s="265">
        <v>2994161.9424792021</v>
      </c>
      <c r="W13" s="265">
        <f>IFERROR(VLOOKUP($B13-1,CDM!$L$7:$T$18,6,FALSE)/12,0)+IFERROR(VLOOKUP($B13,CDM!$L$36:$T$46,6,FALSE)/24,0)+IFERROR(VLOOKUP($B13,CDM!$L$36:$T$46,6,FALSE)/2*$C13/78,0)</f>
        <v>0</v>
      </c>
      <c r="X13" s="265">
        <f t="shared" si="8"/>
        <v>2994161.9424792021</v>
      </c>
      <c r="Y13" s="265">
        <v>6784</v>
      </c>
      <c r="Z13" s="265">
        <v>1</v>
      </c>
      <c r="AA13" s="4">
        <v>1026564.3720836263</v>
      </c>
      <c r="AB13" s="4">
        <v>2223</v>
      </c>
      <c r="AC13" s="265">
        <v>12884</v>
      </c>
      <c r="AD13" s="265">
        <v>2217.7570093457939</v>
      </c>
      <c r="AE13" s="265">
        <v>100</v>
      </c>
      <c r="AF13" s="265">
        <v>25</v>
      </c>
      <c r="AG13" s="4">
        <v>208007</v>
      </c>
      <c r="AH13" s="4">
        <v>245</v>
      </c>
      <c r="AI13" s="28">
        <f>Economic!H15</f>
        <v>727609.6</v>
      </c>
      <c r="AJ13" s="28">
        <f>Economic!I15</f>
        <v>557474</v>
      </c>
      <c r="AK13" s="28">
        <f>Economic!J15</f>
        <v>49299.3</v>
      </c>
      <c r="AL13" s="28">
        <f>Economic!K15</f>
        <v>737784</v>
      </c>
      <c r="AM13" s="28">
        <f>Economic!L15</f>
        <v>564056</v>
      </c>
      <c r="AN13" s="28">
        <f>Economic!M15</f>
        <v>29355</v>
      </c>
      <c r="AO13" s="28">
        <f>Economic!D15</f>
        <v>6895.6</v>
      </c>
      <c r="AP13" s="28">
        <f>Economic!E15</f>
        <v>6902.3</v>
      </c>
      <c r="AQ13" s="28">
        <f>Economic!F15</f>
        <v>199.4</v>
      </c>
      <c r="AR13" s="28">
        <f>Economic!G15</f>
        <v>199.5</v>
      </c>
      <c r="AS13" s="28">
        <f>Economic!N15</f>
        <v>0</v>
      </c>
      <c r="AT13" s="28">
        <f>Economic!O15</f>
        <v>0</v>
      </c>
      <c r="AU13" s="28">
        <f>Economic!P15</f>
        <v>0</v>
      </c>
      <c r="AV13" s="28">
        <f>Economic!Q15</f>
        <v>0</v>
      </c>
      <c r="AW13" s="28">
        <f>Economic!R15</f>
        <v>0</v>
      </c>
      <c r="AX13" s="28">
        <f>Economic!S15</f>
        <v>7443</v>
      </c>
      <c r="AY13" s="7">
        <f>Weather!D13</f>
        <v>3.8830352968676944</v>
      </c>
      <c r="AZ13" s="7">
        <f>Weather!E13</f>
        <v>499.62590579710155</v>
      </c>
      <c r="BA13" s="7">
        <f>Weather!F13</f>
        <v>0</v>
      </c>
      <c r="BB13" s="7">
        <f>Weather!G13</f>
        <v>437.62590579710155</v>
      </c>
      <c r="BC13" s="7">
        <f>Weather!H13</f>
        <v>0</v>
      </c>
      <c r="BD13" s="7">
        <f>Weather!I13</f>
        <v>375.6259057971015</v>
      </c>
      <c r="BE13" s="7">
        <f>Weather!J13</f>
        <v>0</v>
      </c>
      <c r="BF13" s="7">
        <f>Weather!K13</f>
        <v>313.62590579710144</v>
      </c>
      <c r="BG13" s="7">
        <f>Weather!L13</f>
        <v>0</v>
      </c>
      <c r="BH13" s="7">
        <f>Weather!M13</f>
        <v>251.62590579710138</v>
      </c>
      <c r="BI13" s="7">
        <f>Weather!N13</f>
        <v>0</v>
      </c>
      <c r="BJ13" s="7">
        <f>Weather!O13</f>
        <v>190.49257246376811</v>
      </c>
      <c r="BK13" s="7">
        <f>Weather!P13</f>
        <v>0.86666666666666714</v>
      </c>
      <c r="BL13" s="7">
        <f>Weather!Q13</f>
        <v>134.45072463768119</v>
      </c>
      <c r="BM13" s="7">
        <f>Weather!R13</f>
        <v>6.8248188405797094</v>
      </c>
      <c r="BN13" s="1">
        <v>0</v>
      </c>
      <c r="BO13" s="1">
        <v>0</v>
      </c>
      <c r="BP13" s="1">
        <v>0</v>
      </c>
      <c r="BQ13" s="1">
        <v>0</v>
      </c>
      <c r="BR13" s="1">
        <v>0</v>
      </c>
      <c r="BS13" s="1">
        <v>0</v>
      </c>
      <c r="BT13" s="1">
        <v>0</v>
      </c>
      <c r="BU13" s="1">
        <v>0</v>
      </c>
      <c r="BV13" s="1">
        <v>0</v>
      </c>
      <c r="BW13" s="1">
        <v>0</v>
      </c>
      <c r="BX13" s="1">
        <v>0</v>
      </c>
      <c r="BY13" s="1">
        <v>1</v>
      </c>
      <c r="BZ13" s="1">
        <v>0</v>
      </c>
      <c r="CA13" s="1">
        <v>0</v>
      </c>
      <c r="CB13" s="1">
        <v>0</v>
      </c>
      <c r="CC13" s="1">
        <f t="shared" si="9"/>
        <v>12</v>
      </c>
      <c r="CD13" s="1">
        <v>31</v>
      </c>
      <c r="CE13" s="1">
        <v>21</v>
      </c>
      <c r="CF13" s="1">
        <v>0</v>
      </c>
      <c r="CG13" s="1">
        <v>0</v>
      </c>
      <c r="CH13" s="1">
        <v>0</v>
      </c>
      <c r="CI13" s="1">
        <v>0</v>
      </c>
      <c r="CJ13" s="1">
        <f t="shared" si="12"/>
        <v>0</v>
      </c>
      <c r="CK13" s="1">
        <f t="shared" si="12"/>
        <v>0</v>
      </c>
      <c r="CL13" s="1">
        <f t="shared" si="12"/>
        <v>0</v>
      </c>
      <c r="CM13" s="1">
        <f t="shared" si="10"/>
        <v>0</v>
      </c>
      <c r="CN13" s="1">
        <f t="shared" si="10"/>
        <v>0</v>
      </c>
      <c r="CO13" s="1">
        <f t="shared" si="10"/>
        <v>0</v>
      </c>
      <c r="CP13" s="1">
        <f t="shared" si="10"/>
        <v>0</v>
      </c>
      <c r="CQ13" s="1">
        <f t="shared" si="10"/>
        <v>0</v>
      </c>
      <c r="CR13" s="1">
        <f t="shared" si="10"/>
        <v>0</v>
      </c>
      <c r="CS13" s="1">
        <f t="shared" si="10"/>
        <v>0</v>
      </c>
      <c r="CT13" s="1">
        <f t="shared" si="10"/>
        <v>0</v>
      </c>
      <c r="CU13" s="1">
        <f t="shared" si="10"/>
        <v>0</v>
      </c>
      <c r="CV13" s="1">
        <f t="shared" si="10"/>
        <v>0</v>
      </c>
      <c r="CW13" s="1">
        <f t="shared" si="10"/>
        <v>0</v>
      </c>
      <c r="CX13" s="1">
        <f t="shared" si="13"/>
        <v>0</v>
      </c>
      <c r="CY13" s="1">
        <f t="shared" si="13"/>
        <v>0</v>
      </c>
      <c r="CZ13" s="1">
        <f t="shared" si="13"/>
        <v>0</v>
      </c>
      <c r="DA13" s="1">
        <f t="shared" si="11"/>
        <v>0</v>
      </c>
      <c r="DB13" s="1">
        <f t="shared" si="11"/>
        <v>0</v>
      </c>
      <c r="DC13" s="1">
        <f t="shared" si="11"/>
        <v>0</v>
      </c>
      <c r="DD13" s="1">
        <f t="shared" si="11"/>
        <v>0</v>
      </c>
      <c r="DE13" s="1">
        <f t="shared" si="11"/>
        <v>0</v>
      </c>
      <c r="DF13" s="1">
        <f t="shared" si="11"/>
        <v>0</v>
      </c>
      <c r="DG13" s="1">
        <f t="shared" si="11"/>
        <v>0</v>
      </c>
      <c r="DH13" s="1">
        <f t="shared" si="11"/>
        <v>0</v>
      </c>
      <c r="DI13" s="1">
        <f t="shared" si="11"/>
        <v>0</v>
      </c>
      <c r="DJ13" s="1">
        <f t="shared" si="11"/>
        <v>0</v>
      </c>
      <c r="DK13" s="1">
        <f t="shared" si="11"/>
        <v>0</v>
      </c>
      <c r="DL13" s="25"/>
      <c r="DM13" s="25"/>
      <c r="DN13" s="24"/>
      <c r="DO13" s="25"/>
      <c r="DP13" s="25"/>
      <c r="DQ13" s="25"/>
      <c r="DR13" s="25"/>
      <c r="DS13" s="25"/>
      <c r="DT13" s="25"/>
      <c r="DU13" s="25"/>
      <c r="DV13" s="25"/>
    </row>
    <row r="14" spans="1:126" x14ac:dyDescent="0.25">
      <c r="A14" s="261">
        <v>42370</v>
      </c>
      <c r="B14" s="262">
        <f t="shared" si="0"/>
        <v>2016</v>
      </c>
      <c r="C14" s="262">
        <f t="shared" si="1"/>
        <v>1</v>
      </c>
      <c r="D14" s="263">
        <v>44386362.312679194</v>
      </c>
      <c r="E14" s="263">
        <f>IFERROR(VLOOKUP($B14-1,CDM!$L$7:$T$18,2,FALSE)/12,0)+IFERROR(VLOOKUP($B14,CDM!$L$36:$T$46,2,FALSE)/24,0)+IFERROR(VLOOKUP($B14,CDM!$L$36:$T$46,2,FALSE)/2*$C14/78,0)</f>
        <v>452394.28365384619</v>
      </c>
      <c r="F14" s="263">
        <f t="shared" si="2"/>
        <v>44838756.596333042</v>
      </c>
      <c r="G14" s="264">
        <v>46218</v>
      </c>
      <c r="H14" s="263">
        <v>12455288.334168252</v>
      </c>
      <c r="I14" s="263">
        <f>IFERROR(VLOOKUP($B14-1,CDM!$L$7:$T$18,3,FALSE)/12,0)+IFERROR(VLOOKUP($B14,CDM!$L$36:$T$46,3,FALSE)/24,0)+IFERROR(VLOOKUP($B14,CDM!$L$36:$T$46,3,FALSE)/2*$C14/78,0)</f>
        <v>125963.04902243589</v>
      </c>
      <c r="J14" s="263">
        <f t="shared" si="6"/>
        <v>12581251.383190688</v>
      </c>
      <c r="K14" s="265">
        <v>4082</v>
      </c>
      <c r="L14" s="4">
        <v>32291321.907704063</v>
      </c>
      <c r="M14" s="266">
        <f>IFERROR(VLOOKUP($B14-1,CDM!$L$7:$T$18,4,FALSE)/12,0)+IFERROR(VLOOKUP($B14,CDM!$L$36:$T$46,4,FALSE)/24,0)+IFERROR(VLOOKUP($B14,CDM!$L$36:$T$46,4,FALSE)/2*$C14/78,0)</f>
        <v>133358.48435897438</v>
      </c>
      <c r="N14" s="263">
        <f t="shared" si="3"/>
        <v>32424680.392063037</v>
      </c>
      <c r="O14" s="4">
        <v>74516</v>
      </c>
      <c r="P14" s="265">
        <v>514</v>
      </c>
      <c r="Q14" s="265">
        <v>6656224.6018330352</v>
      </c>
      <c r="R14" s="265">
        <f>IFERROR(VLOOKUP($B14-1,CDM!$L$7:$T$18,5,FALSE)/12,0)+IFERROR(VLOOKUP($B14,CDM!$L$36:$T$46,5,FALSE)/24,0)+IFERROR(VLOOKUP($B14,CDM!$L$36:$T$46,5,FALSE)/2*$C14/78,0)</f>
        <v>648883.22943910258</v>
      </c>
      <c r="S14" s="265">
        <f t="shared" si="7"/>
        <v>7305107.8312721383</v>
      </c>
      <c r="T14" s="265">
        <v>15906</v>
      </c>
      <c r="U14" s="265">
        <v>13</v>
      </c>
      <c r="V14" s="265">
        <v>3215727.4106118553</v>
      </c>
      <c r="W14" s="265">
        <f>IFERROR(VLOOKUP($B14-1,CDM!$L$7:$T$18,6,FALSE)/12,0)+IFERROR(VLOOKUP($B14,CDM!$L$36:$T$46,6,FALSE)/24,0)+IFERROR(VLOOKUP($B14,CDM!$L$36:$T$46,6,FALSE)/2*$C14/78,0)</f>
        <v>0</v>
      </c>
      <c r="X14" s="265">
        <f t="shared" si="8"/>
        <v>3215727.4106118553</v>
      </c>
      <c r="Y14" s="265">
        <v>7182</v>
      </c>
      <c r="Z14" s="265">
        <v>1</v>
      </c>
      <c r="AA14" s="4">
        <v>1016805.2922737511</v>
      </c>
      <c r="AB14" s="4">
        <v>2223</v>
      </c>
      <c r="AC14" s="265">
        <v>12884</v>
      </c>
      <c r="AD14" s="265">
        <v>2179.9923707800876</v>
      </c>
      <c r="AE14" s="265">
        <v>0</v>
      </c>
      <c r="AF14" s="265">
        <v>23</v>
      </c>
      <c r="AG14" s="4">
        <v>208430</v>
      </c>
      <c r="AH14" s="4">
        <v>246</v>
      </c>
      <c r="AI14" s="28">
        <f>Economic!H16</f>
        <v>743976.2</v>
      </c>
      <c r="AJ14" s="28">
        <f>Economic!I16</f>
        <v>571846.40000000002</v>
      </c>
      <c r="AK14" s="28">
        <f>Economic!J16</f>
        <v>51922</v>
      </c>
      <c r="AL14" s="28">
        <f>Economic!K16</f>
        <v>743287</v>
      </c>
      <c r="AM14" s="28">
        <f>Economic!L16</f>
        <v>568664</v>
      </c>
      <c r="AN14" s="28">
        <f>Economic!M16</f>
        <v>29546</v>
      </c>
      <c r="AO14" s="28">
        <f>Economic!D16</f>
        <v>6908.4</v>
      </c>
      <c r="AP14" s="28">
        <f>Economic!E16</f>
        <v>6871.2</v>
      </c>
      <c r="AQ14" s="28">
        <f>Economic!F16</f>
        <v>204.2</v>
      </c>
      <c r="AR14" s="28">
        <f>Economic!G16</f>
        <v>203.8</v>
      </c>
      <c r="AS14" s="28">
        <f>Economic!N16</f>
        <v>57.299999999999272</v>
      </c>
      <c r="AT14" s="28">
        <f>Economic!O16</f>
        <v>61.5</v>
      </c>
      <c r="AU14" s="28">
        <f>Economic!P16</f>
        <v>2.2999999999999829</v>
      </c>
      <c r="AV14" s="28">
        <f>Economic!Q16</f>
        <v>2.2000000000000171</v>
      </c>
      <c r="AW14" s="28">
        <f>Economic!R16</f>
        <v>16366.599999999977</v>
      </c>
      <c r="AX14" s="28">
        <f>Economic!S16</f>
        <v>5503</v>
      </c>
      <c r="AY14" s="7">
        <f>Weather!D14</f>
        <v>-3.8025537634408595</v>
      </c>
      <c r="AZ14" s="7">
        <f>Weather!E14</f>
        <v>737.87916666666683</v>
      </c>
      <c r="BA14" s="7">
        <f>Weather!F14</f>
        <v>0</v>
      </c>
      <c r="BB14" s="7">
        <f>Weather!G14</f>
        <v>675.87916666666683</v>
      </c>
      <c r="BC14" s="7">
        <f>Weather!H14</f>
        <v>0</v>
      </c>
      <c r="BD14" s="7">
        <f>Weather!I14</f>
        <v>613.87916666666683</v>
      </c>
      <c r="BE14" s="7">
        <f>Weather!J14</f>
        <v>0</v>
      </c>
      <c r="BF14" s="7">
        <f>Weather!K14</f>
        <v>551.87916666666672</v>
      </c>
      <c r="BG14" s="7">
        <f>Weather!L14</f>
        <v>0</v>
      </c>
      <c r="BH14" s="7">
        <f>Weather!M14</f>
        <v>489.87916666666672</v>
      </c>
      <c r="BI14" s="7">
        <f>Weather!N14</f>
        <v>0</v>
      </c>
      <c r="BJ14" s="7">
        <f>Weather!O14</f>
        <v>427.87916666666672</v>
      </c>
      <c r="BK14" s="7">
        <f>Weather!P14</f>
        <v>0</v>
      </c>
      <c r="BL14" s="7">
        <f>Weather!Q14</f>
        <v>365.87916666666672</v>
      </c>
      <c r="BM14" s="7">
        <f>Weather!R14</f>
        <v>0</v>
      </c>
      <c r="BN14" s="1">
        <v>1</v>
      </c>
      <c r="BO14" s="1">
        <v>0</v>
      </c>
      <c r="BP14" s="1">
        <v>0</v>
      </c>
      <c r="BQ14" s="1">
        <v>0</v>
      </c>
      <c r="BR14" s="1">
        <v>0</v>
      </c>
      <c r="BS14" s="1">
        <v>0</v>
      </c>
      <c r="BT14" s="1">
        <v>0</v>
      </c>
      <c r="BU14" s="1">
        <v>0</v>
      </c>
      <c r="BV14" s="1">
        <v>0</v>
      </c>
      <c r="BW14" s="1">
        <v>0</v>
      </c>
      <c r="BX14" s="1">
        <v>0</v>
      </c>
      <c r="BY14" s="1">
        <v>0</v>
      </c>
      <c r="BZ14" s="1">
        <v>0</v>
      </c>
      <c r="CA14" s="1">
        <v>0</v>
      </c>
      <c r="CB14" s="1">
        <v>0</v>
      </c>
      <c r="CC14" s="1">
        <f t="shared" si="9"/>
        <v>13</v>
      </c>
      <c r="CD14" s="1">
        <v>31</v>
      </c>
      <c r="CE14" s="1">
        <v>20</v>
      </c>
      <c r="CF14" s="1">
        <v>0</v>
      </c>
      <c r="CG14" s="1">
        <v>0</v>
      </c>
      <c r="CH14" s="1">
        <v>0</v>
      </c>
      <c r="CI14" s="1">
        <v>0</v>
      </c>
      <c r="CJ14" s="1">
        <f t="shared" si="12"/>
        <v>0</v>
      </c>
      <c r="CK14" s="1">
        <f t="shared" si="12"/>
        <v>0</v>
      </c>
      <c r="CL14" s="1">
        <f t="shared" si="12"/>
        <v>0</v>
      </c>
      <c r="CM14" s="1">
        <f t="shared" si="10"/>
        <v>0</v>
      </c>
      <c r="CN14" s="1">
        <f t="shared" si="10"/>
        <v>0</v>
      </c>
      <c r="CO14" s="1">
        <f t="shared" si="10"/>
        <v>0</v>
      </c>
      <c r="CP14" s="1">
        <f t="shared" si="10"/>
        <v>0</v>
      </c>
      <c r="CQ14" s="1">
        <f t="shared" si="10"/>
        <v>0</v>
      </c>
      <c r="CR14" s="1">
        <f t="shared" si="10"/>
        <v>0</v>
      </c>
      <c r="CS14" s="1">
        <f t="shared" si="10"/>
        <v>0</v>
      </c>
      <c r="CT14" s="1">
        <f t="shared" si="10"/>
        <v>0</v>
      </c>
      <c r="CU14" s="1">
        <f t="shared" si="10"/>
        <v>0</v>
      </c>
      <c r="CV14" s="1">
        <f t="shared" si="10"/>
        <v>0</v>
      </c>
      <c r="CW14" s="1">
        <f t="shared" si="10"/>
        <v>0</v>
      </c>
      <c r="CX14" s="1">
        <f t="shared" si="13"/>
        <v>0</v>
      </c>
      <c r="CY14" s="1">
        <f t="shared" si="13"/>
        <v>0</v>
      </c>
      <c r="CZ14" s="1">
        <f t="shared" si="13"/>
        <v>0</v>
      </c>
      <c r="DA14" s="1">
        <f t="shared" si="11"/>
        <v>0</v>
      </c>
      <c r="DB14" s="1">
        <f t="shared" si="11"/>
        <v>0</v>
      </c>
      <c r="DC14" s="1">
        <f t="shared" si="11"/>
        <v>0</v>
      </c>
      <c r="DD14" s="1">
        <f t="shared" si="11"/>
        <v>0</v>
      </c>
      <c r="DE14" s="1">
        <f t="shared" si="11"/>
        <v>0</v>
      </c>
      <c r="DF14" s="1">
        <f t="shared" si="11"/>
        <v>0</v>
      </c>
      <c r="DG14" s="1">
        <f t="shared" si="11"/>
        <v>0</v>
      </c>
      <c r="DH14" s="1">
        <f t="shared" si="11"/>
        <v>0</v>
      </c>
      <c r="DI14" s="1">
        <f t="shared" si="11"/>
        <v>0</v>
      </c>
      <c r="DJ14" s="1">
        <f t="shared" si="11"/>
        <v>0</v>
      </c>
      <c r="DK14" s="1">
        <f t="shared" si="11"/>
        <v>0</v>
      </c>
      <c r="DL14" s="25"/>
      <c r="DM14" s="25"/>
      <c r="DN14" s="24"/>
      <c r="DO14" s="25"/>
      <c r="DP14" s="25"/>
      <c r="DQ14" s="25"/>
      <c r="DR14" s="25"/>
      <c r="DS14" s="25"/>
      <c r="DT14" s="25"/>
      <c r="DU14" s="25"/>
      <c r="DV14" s="25"/>
    </row>
    <row r="15" spans="1:126" x14ac:dyDescent="0.25">
      <c r="A15" s="261">
        <v>42401</v>
      </c>
      <c r="B15" s="262">
        <f t="shared" si="0"/>
        <v>2016</v>
      </c>
      <c r="C15" s="262">
        <f t="shared" si="1"/>
        <v>2</v>
      </c>
      <c r="D15" s="263">
        <v>43734320.256438553</v>
      </c>
      <c r="E15" s="263">
        <f>IFERROR(VLOOKUP($B15-1,CDM!$L$7:$T$18,2,FALSE)/12,0)+IFERROR(VLOOKUP($B15,CDM!$L$36:$T$46,2,FALSE)/24,0)+IFERROR(VLOOKUP($B15,CDM!$L$36:$T$46,2,FALSE)/2*$C15/78,0)</f>
        <v>493315.08814102563</v>
      </c>
      <c r="F15" s="263">
        <f t="shared" si="2"/>
        <v>44227635.344579577</v>
      </c>
      <c r="G15" s="264">
        <v>46626</v>
      </c>
      <c r="H15" s="263">
        <v>11452894.789756672</v>
      </c>
      <c r="I15" s="263">
        <f>IFERROR(VLOOKUP($B15-1,CDM!$L$7:$T$18,3,FALSE)/12,0)+IFERROR(VLOOKUP($B15,CDM!$L$36:$T$46,3,FALSE)/24,0)+IFERROR(VLOOKUP($B15,CDM!$L$36:$T$46,3,FALSE)/2*$C15/78,0)</f>
        <v>137034.48200320514</v>
      </c>
      <c r="J15" s="263">
        <f t="shared" si="6"/>
        <v>11589929.271759877</v>
      </c>
      <c r="K15" s="265">
        <v>4129</v>
      </c>
      <c r="L15" s="4">
        <v>28739257.995051395</v>
      </c>
      <c r="M15" s="266">
        <f>IFERROR(VLOOKUP($B15-1,CDM!$L$7:$T$18,4,FALSE)/12,0)+IFERROR(VLOOKUP($B15,CDM!$L$36:$T$46,4,FALSE)/24,0)+IFERROR(VLOOKUP($B15,CDM!$L$36:$T$46,4,FALSE)/2*$C15/78,0)</f>
        <v>143156.64371794873</v>
      </c>
      <c r="N15" s="263">
        <f t="shared" si="3"/>
        <v>28882414.638769343</v>
      </c>
      <c r="O15" s="4">
        <v>73841</v>
      </c>
      <c r="P15" s="265">
        <v>513</v>
      </c>
      <c r="Q15" s="265">
        <v>6433452.6449275995</v>
      </c>
      <c r="R15" s="265">
        <f>IFERROR(VLOOKUP($B15-1,CDM!$L$7:$T$18,5,FALSE)/12,0)+IFERROR(VLOOKUP($B15,CDM!$L$36:$T$46,5,FALSE)/24,0)+IFERROR(VLOOKUP($B15,CDM!$L$36:$T$46,5,FALSE)/2*$C15/78,0)</f>
        <v>681785.23325320508</v>
      </c>
      <c r="S15" s="265">
        <f t="shared" si="7"/>
        <v>7115237.8781808047</v>
      </c>
      <c r="T15" s="265">
        <v>15204</v>
      </c>
      <c r="U15" s="265">
        <v>13</v>
      </c>
      <c r="V15" s="265">
        <v>3430298.1465842407</v>
      </c>
      <c r="W15" s="265">
        <f>IFERROR(VLOOKUP($B15-1,CDM!$L$7:$T$18,6,FALSE)/12,0)+IFERROR(VLOOKUP($B15,CDM!$L$36:$T$46,6,FALSE)/24,0)+IFERROR(VLOOKUP($B15,CDM!$L$36:$T$46,6,FALSE)/2*$C15/78,0)</f>
        <v>0</v>
      </c>
      <c r="X15" s="265">
        <f t="shared" si="8"/>
        <v>3430298.1465842407</v>
      </c>
      <c r="Y15" s="265">
        <v>8379</v>
      </c>
      <c r="Z15" s="265">
        <v>1</v>
      </c>
      <c r="AA15" s="4">
        <v>871555.61494234425</v>
      </c>
      <c r="AB15" s="4">
        <v>2223</v>
      </c>
      <c r="AC15" s="265">
        <v>12885</v>
      </c>
      <c r="AD15" s="265">
        <v>2088.7850467289718</v>
      </c>
      <c r="AE15" s="265">
        <v>0</v>
      </c>
      <c r="AF15" s="265">
        <v>23</v>
      </c>
      <c r="AG15" s="4">
        <v>209113</v>
      </c>
      <c r="AH15" s="4">
        <v>246</v>
      </c>
      <c r="AI15" s="28">
        <f>Economic!H17</f>
        <v>743976.2</v>
      </c>
      <c r="AJ15" s="28">
        <f>Economic!I17</f>
        <v>571846.40000000002</v>
      </c>
      <c r="AK15" s="28">
        <f>Economic!J17</f>
        <v>51922</v>
      </c>
      <c r="AL15" s="28">
        <f>Economic!K17</f>
        <v>743287</v>
      </c>
      <c r="AM15" s="28">
        <f>Economic!L17</f>
        <v>568664</v>
      </c>
      <c r="AN15" s="28">
        <f>Economic!M17</f>
        <v>29546</v>
      </c>
      <c r="AO15" s="28">
        <f>Economic!D17</f>
        <v>6922.3</v>
      </c>
      <c r="AP15" s="28">
        <f>Economic!E17</f>
        <v>6850.4</v>
      </c>
      <c r="AQ15" s="28">
        <f>Economic!F17</f>
        <v>205.6</v>
      </c>
      <c r="AR15" s="28">
        <f>Economic!G17</f>
        <v>204.2</v>
      </c>
      <c r="AS15" s="28">
        <f>Economic!N17</f>
        <v>63.100000000000364</v>
      </c>
      <c r="AT15" s="28">
        <f>Economic!O17</f>
        <v>67.699999999999818</v>
      </c>
      <c r="AU15" s="28">
        <f>Economic!P17</f>
        <v>5.4000000000000057</v>
      </c>
      <c r="AV15" s="28">
        <f>Economic!Q17</f>
        <v>5.3999999999999773</v>
      </c>
      <c r="AW15" s="28">
        <f>Economic!R17</f>
        <v>16366.599999999977</v>
      </c>
      <c r="AX15" s="28">
        <f>Economic!S17</f>
        <v>5503</v>
      </c>
      <c r="AY15" s="7">
        <f>Weather!D15</f>
        <v>-2.8175287356321834</v>
      </c>
      <c r="AZ15" s="7">
        <f>Weather!E15</f>
        <v>661.70833333333326</v>
      </c>
      <c r="BA15" s="7">
        <f>Weather!F15</f>
        <v>0</v>
      </c>
      <c r="BB15" s="7">
        <f>Weather!G15</f>
        <v>603.70833333333337</v>
      </c>
      <c r="BC15" s="7">
        <f>Weather!H15</f>
        <v>0</v>
      </c>
      <c r="BD15" s="7">
        <f>Weather!I15</f>
        <v>545.70833333333337</v>
      </c>
      <c r="BE15" s="7">
        <f>Weather!J15</f>
        <v>0</v>
      </c>
      <c r="BF15" s="7">
        <f>Weather!K15</f>
        <v>487.70833333333337</v>
      </c>
      <c r="BG15" s="7">
        <f>Weather!L15</f>
        <v>0</v>
      </c>
      <c r="BH15" s="7">
        <f>Weather!M15</f>
        <v>429.70833333333337</v>
      </c>
      <c r="BI15" s="7">
        <f>Weather!N15</f>
        <v>0</v>
      </c>
      <c r="BJ15" s="7">
        <f>Weather!O15</f>
        <v>371.70833333333337</v>
      </c>
      <c r="BK15" s="7">
        <f>Weather!P15</f>
        <v>0</v>
      </c>
      <c r="BL15" s="7">
        <f>Weather!Q15</f>
        <v>313.70833333333326</v>
      </c>
      <c r="BM15" s="7">
        <f>Weather!R15</f>
        <v>0</v>
      </c>
      <c r="BN15" s="1">
        <v>0</v>
      </c>
      <c r="BO15" s="1">
        <v>1</v>
      </c>
      <c r="BP15" s="1">
        <v>0</v>
      </c>
      <c r="BQ15" s="1">
        <v>0</v>
      </c>
      <c r="BR15" s="1">
        <v>0</v>
      </c>
      <c r="BS15" s="1">
        <v>0</v>
      </c>
      <c r="BT15" s="1">
        <v>0</v>
      </c>
      <c r="BU15" s="1">
        <v>0</v>
      </c>
      <c r="BV15" s="1">
        <v>0</v>
      </c>
      <c r="BW15" s="1">
        <v>0</v>
      </c>
      <c r="BX15" s="1">
        <v>0</v>
      </c>
      <c r="BY15" s="1">
        <v>0</v>
      </c>
      <c r="BZ15" s="1">
        <v>0</v>
      </c>
      <c r="CA15" s="1">
        <v>0</v>
      </c>
      <c r="CB15" s="1">
        <v>0</v>
      </c>
      <c r="CC15" s="1">
        <f t="shared" si="9"/>
        <v>14</v>
      </c>
      <c r="CD15" s="1">
        <v>29</v>
      </c>
      <c r="CE15" s="1">
        <v>20</v>
      </c>
      <c r="CF15" s="1">
        <v>0</v>
      </c>
      <c r="CG15" s="1">
        <v>0</v>
      </c>
      <c r="CH15" s="1">
        <v>0</v>
      </c>
      <c r="CI15" s="1">
        <v>0</v>
      </c>
      <c r="CJ15" s="1">
        <f t="shared" si="12"/>
        <v>0</v>
      </c>
      <c r="CK15" s="1">
        <f t="shared" si="12"/>
        <v>0</v>
      </c>
      <c r="CL15" s="1">
        <f t="shared" si="12"/>
        <v>0</v>
      </c>
      <c r="CM15" s="1">
        <f t="shared" si="10"/>
        <v>0</v>
      </c>
      <c r="CN15" s="1">
        <f t="shared" si="10"/>
        <v>0</v>
      </c>
      <c r="CO15" s="1">
        <f t="shared" si="10"/>
        <v>0</v>
      </c>
      <c r="CP15" s="1">
        <f t="shared" si="10"/>
        <v>0</v>
      </c>
      <c r="CQ15" s="1">
        <f t="shared" si="10"/>
        <v>0</v>
      </c>
      <c r="CR15" s="1">
        <f t="shared" si="10"/>
        <v>0</v>
      </c>
      <c r="CS15" s="1">
        <f t="shared" si="10"/>
        <v>0</v>
      </c>
      <c r="CT15" s="1">
        <f t="shared" si="10"/>
        <v>0</v>
      </c>
      <c r="CU15" s="1">
        <f t="shared" si="10"/>
        <v>0</v>
      </c>
      <c r="CV15" s="1">
        <f t="shared" si="10"/>
        <v>0</v>
      </c>
      <c r="CW15" s="1">
        <f t="shared" si="10"/>
        <v>0</v>
      </c>
      <c r="CX15" s="1">
        <f t="shared" si="13"/>
        <v>0</v>
      </c>
      <c r="CY15" s="1">
        <f t="shared" si="13"/>
        <v>0</v>
      </c>
      <c r="CZ15" s="1">
        <f t="shared" si="13"/>
        <v>0</v>
      </c>
      <c r="DA15" s="1">
        <f t="shared" si="11"/>
        <v>0</v>
      </c>
      <c r="DB15" s="1">
        <f t="shared" si="11"/>
        <v>0</v>
      </c>
      <c r="DC15" s="1">
        <f t="shared" si="11"/>
        <v>0</v>
      </c>
      <c r="DD15" s="1">
        <f t="shared" si="11"/>
        <v>0</v>
      </c>
      <c r="DE15" s="1">
        <f t="shared" si="11"/>
        <v>0</v>
      </c>
      <c r="DF15" s="1">
        <f t="shared" si="11"/>
        <v>0</v>
      </c>
      <c r="DG15" s="1">
        <f t="shared" si="11"/>
        <v>0</v>
      </c>
      <c r="DH15" s="1">
        <f t="shared" si="11"/>
        <v>0</v>
      </c>
      <c r="DI15" s="1">
        <f t="shared" si="11"/>
        <v>0</v>
      </c>
      <c r="DJ15" s="1">
        <f t="shared" si="11"/>
        <v>0</v>
      </c>
      <c r="DK15" s="1">
        <f t="shared" si="11"/>
        <v>0</v>
      </c>
      <c r="DL15" s="25"/>
      <c r="DM15" s="25"/>
      <c r="DN15" s="24"/>
      <c r="DO15" s="25"/>
      <c r="DP15" s="25"/>
      <c r="DQ15" s="25"/>
      <c r="DR15" s="25"/>
      <c r="DS15" s="25"/>
      <c r="DT15" s="25"/>
      <c r="DU15" s="25"/>
      <c r="DV15" s="25"/>
    </row>
    <row r="16" spans="1:126" x14ac:dyDescent="0.25">
      <c r="A16" s="261">
        <v>42430</v>
      </c>
      <c r="B16" s="262">
        <f t="shared" si="0"/>
        <v>2016</v>
      </c>
      <c r="C16" s="262">
        <f t="shared" si="1"/>
        <v>3</v>
      </c>
      <c r="D16" s="263">
        <v>37798147.748684831</v>
      </c>
      <c r="E16" s="263">
        <f>IFERROR(VLOOKUP($B16-1,CDM!$L$7:$T$18,2,FALSE)/12,0)+IFERROR(VLOOKUP($B16,CDM!$L$36:$T$46,2,FALSE)/24,0)+IFERROR(VLOOKUP($B16,CDM!$L$36:$T$46,2,FALSE)/2*$C16/78,0)</f>
        <v>534235.89262820513</v>
      </c>
      <c r="F16" s="263">
        <f t="shared" si="2"/>
        <v>38332383.641313039</v>
      </c>
      <c r="G16" s="264">
        <v>46976</v>
      </c>
      <c r="H16" s="263">
        <v>11531136.627395095</v>
      </c>
      <c r="I16" s="263">
        <f>IFERROR(VLOOKUP($B16-1,CDM!$L$7:$T$18,3,FALSE)/12,0)+IFERROR(VLOOKUP($B16,CDM!$L$36:$T$46,3,FALSE)/24,0)+IFERROR(VLOOKUP($B16,CDM!$L$36:$T$46,3,FALSE)/2*$C16/78,0)</f>
        <v>148105.91498397436</v>
      </c>
      <c r="J16" s="263">
        <f t="shared" si="6"/>
        <v>11679242.54237907</v>
      </c>
      <c r="K16" s="265">
        <v>4147</v>
      </c>
      <c r="L16" s="4">
        <v>30918084.507295061</v>
      </c>
      <c r="M16" s="266">
        <f>IFERROR(VLOOKUP($B16-1,CDM!$L$7:$T$18,4,FALSE)/12,0)+IFERROR(VLOOKUP($B16,CDM!$L$36:$T$46,4,FALSE)/24,0)+IFERROR(VLOOKUP($B16,CDM!$L$36:$T$46,4,FALSE)/2*$C16/78,0)</f>
        <v>152954.8030769231</v>
      </c>
      <c r="N16" s="263">
        <f t="shared" si="3"/>
        <v>31071039.310371984</v>
      </c>
      <c r="O16" s="4">
        <v>71764</v>
      </c>
      <c r="P16" s="265">
        <v>515</v>
      </c>
      <c r="Q16" s="265">
        <v>6536789.6001154371</v>
      </c>
      <c r="R16" s="265">
        <f>IFERROR(VLOOKUP($B16-1,CDM!$L$7:$T$18,5,FALSE)/12,0)+IFERROR(VLOOKUP($B16,CDM!$L$36:$T$46,5,FALSE)/24,0)+IFERROR(VLOOKUP($B16,CDM!$L$36:$T$46,5,FALSE)/2*$C16/78,0)</f>
        <v>714687.23706730758</v>
      </c>
      <c r="S16" s="265">
        <f t="shared" si="7"/>
        <v>7251476.8371827444</v>
      </c>
      <c r="T16" s="265">
        <v>15707</v>
      </c>
      <c r="U16" s="265">
        <v>13</v>
      </c>
      <c r="V16" s="265">
        <v>3622320.7069886015</v>
      </c>
      <c r="W16" s="265">
        <f>IFERROR(VLOOKUP($B16-1,CDM!$L$7:$T$18,6,FALSE)/12,0)+IFERROR(VLOOKUP($B16,CDM!$L$36:$T$46,6,FALSE)/24,0)+IFERROR(VLOOKUP($B16,CDM!$L$36:$T$46,6,FALSE)/2*$C16/78,0)</f>
        <v>0</v>
      </c>
      <c r="X16" s="265">
        <f t="shared" si="8"/>
        <v>3622320.7069886015</v>
      </c>
      <c r="Y16" s="265">
        <v>7514</v>
      </c>
      <c r="Z16" s="265">
        <v>1</v>
      </c>
      <c r="AA16" s="4">
        <v>845643.79407631233</v>
      </c>
      <c r="AB16" s="4">
        <v>2223</v>
      </c>
      <c r="AC16" s="265">
        <v>12890</v>
      </c>
      <c r="AD16" s="265">
        <v>2130.555025748617</v>
      </c>
      <c r="AE16" s="265">
        <v>0</v>
      </c>
      <c r="AF16" s="265">
        <v>23</v>
      </c>
      <c r="AG16" s="4">
        <v>208700</v>
      </c>
      <c r="AH16" s="4">
        <v>246</v>
      </c>
      <c r="AI16" s="28">
        <f>Economic!H18</f>
        <v>743976.2</v>
      </c>
      <c r="AJ16" s="28">
        <f>Economic!I18</f>
        <v>571846.40000000002</v>
      </c>
      <c r="AK16" s="28">
        <f>Economic!J18</f>
        <v>51922</v>
      </c>
      <c r="AL16" s="28">
        <f>Economic!K18</f>
        <v>743287</v>
      </c>
      <c r="AM16" s="28">
        <f>Economic!L18</f>
        <v>568664</v>
      </c>
      <c r="AN16" s="28">
        <f>Economic!M18</f>
        <v>29546</v>
      </c>
      <c r="AO16" s="28">
        <f>Economic!D18</f>
        <v>6930.2</v>
      </c>
      <c r="AP16" s="28">
        <f>Economic!E18</f>
        <v>6827.3</v>
      </c>
      <c r="AQ16" s="28">
        <f>Economic!F18</f>
        <v>206.5</v>
      </c>
      <c r="AR16" s="28">
        <f>Economic!G18</f>
        <v>204.2</v>
      </c>
      <c r="AS16" s="28">
        <f>Economic!N18</f>
        <v>60.199999999999818</v>
      </c>
      <c r="AT16" s="28">
        <f>Economic!O18</f>
        <v>65.5</v>
      </c>
      <c r="AU16" s="28">
        <f>Economic!P18</f>
        <v>8.0999999999999943</v>
      </c>
      <c r="AV16" s="28">
        <f>Economic!Q18</f>
        <v>8.1999999999999886</v>
      </c>
      <c r="AW16" s="28">
        <f>Economic!R18</f>
        <v>16366.599999999977</v>
      </c>
      <c r="AX16" s="28">
        <f>Economic!S18</f>
        <v>5503</v>
      </c>
      <c r="AY16" s="7">
        <f>Weather!D16</f>
        <v>1.3845371669004212</v>
      </c>
      <c r="AZ16" s="7">
        <f>Weather!E16</f>
        <v>577.07934782608709</v>
      </c>
      <c r="BA16" s="7">
        <f>Weather!F16</f>
        <v>0</v>
      </c>
      <c r="BB16" s="7">
        <f>Weather!G16</f>
        <v>515.07934782608686</v>
      </c>
      <c r="BC16" s="7">
        <f>Weather!H16</f>
        <v>0</v>
      </c>
      <c r="BD16" s="7">
        <f>Weather!I16</f>
        <v>453.07934782608692</v>
      </c>
      <c r="BE16" s="7">
        <f>Weather!J16</f>
        <v>0</v>
      </c>
      <c r="BF16" s="7">
        <f>Weather!K16</f>
        <v>391.07934782608697</v>
      </c>
      <c r="BG16" s="7">
        <f>Weather!L16</f>
        <v>0</v>
      </c>
      <c r="BH16" s="7">
        <f>Weather!M16</f>
        <v>329.07934782608692</v>
      </c>
      <c r="BI16" s="7">
        <f>Weather!N16</f>
        <v>0</v>
      </c>
      <c r="BJ16" s="7">
        <f>Weather!O16</f>
        <v>267.07934782608692</v>
      </c>
      <c r="BK16" s="7">
        <f>Weather!P16</f>
        <v>0</v>
      </c>
      <c r="BL16" s="7">
        <f>Weather!Q16</f>
        <v>207.6751811594203</v>
      </c>
      <c r="BM16" s="7">
        <f>Weather!R16</f>
        <v>2.595833333333335</v>
      </c>
      <c r="BN16" s="1">
        <v>0</v>
      </c>
      <c r="BO16" s="1">
        <v>0</v>
      </c>
      <c r="BP16" s="1">
        <v>1</v>
      </c>
      <c r="BQ16" s="1">
        <v>0</v>
      </c>
      <c r="BR16" s="1">
        <v>0</v>
      </c>
      <c r="BS16" s="1">
        <v>0</v>
      </c>
      <c r="BT16" s="1">
        <v>0</v>
      </c>
      <c r="BU16" s="1">
        <v>0</v>
      </c>
      <c r="BV16" s="1">
        <v>0</v>
      </c>
      <c r="BW16" s="1">
        <v>0</v>
      </c>
      <c r="BX16" s="1">
        <v>0</v>
      </c>
      <c r="BY16" s="1">
        <v>0</v>
      </c>
      <c r="BZ16" s="1">
        <v>1</v>
      </c>
      <c r="CA16" s="1">
        <v>0</v>
      </c>
      <c r="CB16" s="1">
        <v>1</v>
      </c>
      <c r="CC16" s="1">
        <f t="shared" si="9"/>
        <v>15</v>
      </c>
      <c r="CD16" s="1">
        <v>31</v>
      </c>
      <c r="CE16" s="1">
        <v>21</v>
      </c>
      <c r="CF16" s="1">
        <v>0</v>
      </c>
      <c r="CG16" s="1">
        <v>0</v>
      </c>
      <c r="CH16" s="1">
        <v>0</v>
      </c>
      <c r="CI16" s="1">
        <v>0</v>
      </c>
      <c r="CJ16" s="1">
        <f t="shared" si="12"/>
        <v>0</v>
      </c>
      <c r="CK16" s="1">
        <f t="shared" si="12"/>
        <v>0</v>
      </c>
      <c r="CL16" s="1">
        <f t="shared" si="12"/>
        <v>0</v>
      </c>
      <c r="CM16" s="1">
        <f t="shared" si="10"/>
        <v>0</v>
      </c>
      <c r="CN16" s="1">
        <f t="shared" si="10"/>
        <v>0</v>
      </c>
      <c r="CO16" s="1">
        <f t="shared" si="10"/>
        <v>0</v>
      </c>
      <c r="CP16" s="1">
        <f t="shared" si="10"/>
        <v>0</v>
      </c>
      <c r="CQ16" s="1">
        <f t="shared" si="10"/>
        <v>0</v>
      </c>
      <c r="CR16" s="1">
        <f t="shared" si="10"/>
        <v>0</v>
      </c>
      <c r="CS16" s="1">
        <f t="shared" si="10"/>
        <v>0</v>
      </c>
      <c r="CT16" s="1">
        <f t="shared" si="10"/>
        <v>0</v>
      </c>
      <c r="CU16" s="1">
        <f t="shared" si="10"/>
        <v>0</v>
      </c>
      <c r="CV16" s="1">
        <f t="shared" si="10"/>
        <v>0</v>
      </c>
      <c r="CW16" s="1">
        <f t="shared" si="10"/>
        <v>0</v>
      </c>
      <c r="CX16" s="1">
        <f t="shared" si="13"/>
        <v>0</v>
      </c>
      <c r="CY16" s="1">
        <f t="shared" si="13"/>
        <v>0</v>
      </c>
      <c r="CZ16" s="1">
        <f t="shared" si="13"/>
        <v>0</v>
      </c>
      <c r="DA16" s="1">
        <f t="shared" si="11"/>
        <v>0</v>
      </c>
      <c r="DB16" s="1">
        <f t="shared" si="11"/>
        <v>0</v>
      </c>
      <c r="DC16" s="1">
        <f t="shared" si="11"/>
        <v>0</v>
      </c>
      <c r="DD16" s="1">
        <f t="shared" si="11"/>
        <v>0</v>
      </c>
      <c r="DE16" s="1">
        <f t="shared" si="11"/>
        <v>0</v>
      </c>
      <c r="DF16" s="1">
        <f t="shared" si="11"/>
        <v>0</v>
      </c>
      <c r="DG16" s="1">
        <f t="shared" si="11"/>
        <v>0</v>
      </c>
      <c r="DH16" s="1">
        <f t="shared" si="11"/>
        <v>0</v>
      </c>
      <c r="DI16" s="1">
        <f t="shared" si="11"/>
        <v>0</v>
      </c>
      <c r="DJ16" s="1">
        <f t="shared" si="11"/>
        <v>0</v>
      </c>
      <c r="DK16" s="1">
        <f t="shared" si="11"/>
        <v>0</v>
      </c>
      <c r="DL16" s="25"/>
      <c r="DM16" s="25"/>
      <c r="DN16" s="24"/>
      <c r="DO16" s="25"/>
      <c r="DP16" s="25"/>
      <c r="DQ16" s="25"/>
      <c r="DR16" s="25"/>
      <c r="DS16" s="25"/>
      <c r="DT16" s="25"/>
      <c r="DU16" s="25"/>
      <c r="DV16" s="25"/>
    </row>
    <row r="17" spans="1:126" x14ac:dyDescent="0.25">
      <c r="A17" s="261">
        <v>42461</v>
      </c>
      <c r="B17" s="262">
        <f t="shared" si="0"/>
        <v>2016</v>
      </c>
      <c r="C17" s="262">
        <f t="shared" si="1"/>
        <v>4</v>
      </c>
      <c r="D17" s="263">
        <v>35948964.146231629</v>
      </c>
      <c r="E17" s="263">
        <f>IFERROR(VLOOKUP($B17-1,CDM!$L$7:$T$18,2,FALSE)/12,0)+IFERROR(VLOOKUP($B17,CDM!$L$36:$T$46,2,FALSE)/24,0)+IFERROR(VLOOKUP($B17,CDM!$L$36:$T$46,2,FALSE)/2*$C17/78,0)</f>
        <v>575156.69711538462</v>
      </c>
      <c r="F17" s="263">
        <f t="shared" si="2"/>
        <v>36524120.843347013</v>
      </c>
      <c r="G17" s="264">
        <v>47525</v>
      </c>
      <c r="H17" s="263">
        <v>10252243.769619863</v>
      </c>
      <c r="I17" s="263">
        <f>IFERROR(VLOOKUP($B17-1,CDM!$L$7:$T$18,3,FALSE)/12,0)+IFERROR(VLOOKUP($B17,CDM!$L$36:$T$46,3,FALSE)/24,0)+IFERROR(VLOOKUP($B17,CDM!$L$36:$T$46,3,FALSE)/2*$C17/78,0)</f>
        <v>159177.34796474359</v>
      </c>
      <c r="J17" s="263">
        <f t="shared" si="6"/>
        <v>10411421.117584607</v>
      </c>
      <c r="K17" s="265">
        <v>4159</v>
      </c>
      <c r="L17" s="4">
        <v>25531039.226069208</v>
      </c>
      <c r="M17" s="266">
        <f>IFERROR(VLOOKUP($B17-1,CDM!$L$7:$T$18,4,FALSE)/12,0)+IFERROR(VLOOKUP($B17,CDM!$L$36:$T$46,4,FALSE)/24,0)+IFERROR(VLOOKUP($B17,CDM!$L$36:$T$46,4,FALSE)/2*$C17/78,0)</f>
        <v>162752.96243589744</v>
      </c>
      <c r="N17" s="263">
        <f t="shared" si="3"/>
        <v>25693792.188505106</v>
      </c>
      <c r="O17" s="4">
        <v>68235</v>
      </c>
      <c r="P17" s="265">
        <v>516</v>
      </c>
      <c r="Q17" s="265">
        <v>6415995.1674028551</v>
      </c>
      <c r="R17" s="265">
        <f>IFERROR(VLOOKUP($B17-1,CDM!$L$7:$T$18,5,FALSE)/12,0)+IFERROR(VLOOKUP($B17,CDM!$L$36:$T$46,5,FALSE)/24,0)+IFERROR(VLOOKUP($B17,CDM!$L$36:$T$46,5,FALSE)/2*$C17/78,0)</f>
        <v>747589.24088141019</v>
      </c>
      <c r="S17" s="265">
        <f t="shared" si="7"/>
        <v>7163584.4082842655</v>
      </c>
      <c r="T17" s="265">
        <v>16024</v>
      </c>
      <c r="U17" s="265">
        <v>13</v>
      </c>
      <c r="V17" s="265">
        <v>3453242.8504224992</v>
      </c>
      <c r="W17" s="265">
        <f>IFERROR(VLOOKUP($B17-1,CDM!$L$7:$T$18,6,FALSE)/12,0)+IFERROR(VLOOKUP($B17,CDM!$L$36:$T$46,6,FALSE)/24,0)+IFERROR(VLOOKUP($B17,CDM!$L$36:$T$46,6,FALSE)/2*$C17/78,0)</f>
        <v>0</v>
      </c>
      <c r="X17" s="265">
        <f t="shared" si="8"/>
        <v>3453242.8504224992</v>
      </c>
      <c r="Y17" s="265">
        <v>8155</v>
      </c>
      <c r="Z17" s="265">
        <v>1</v>
      </c>
      <c r="AA17" s="4">
        <v>719750.09015509486</v>
      </c>
      <c r="AB17" s="4">
        <v>2224</v>
      </c>
      <c r="AC17" s="265">
        <v>12890</v>
      </c>
      <c r="AD17" s="265">
        <v>2134.3887087545299</v>
      </c>
      <c r="AE17" s="265">
        <v>0</v>
      </c>
      <c r="AF17" s="265">
        <v>23</v>
      </c>
      <c r="AG17" s="4">
        <v>212650.8524590164</v>
      </c>
      <c r="AH17" s="4">
        <v>246</v>
      </c>
      <c r="AI17" s="28">
        <f>Economic!H19</f>
        <v>743976.2</v>
      </c>
      <c r="AJ17" s="28">
        <f>Economic!I19</f>
        <v>571846.40000000002</v>
      </c>
      <c r="AK17" s="28">
        <f>Economic!J19</f>
        <v>51922</v>
      </c>
      <c r="AL17" s="28">
        <f>Economic!K19</f>
        <v>740632</v>
      </c>
      <c r="AM17" s="28">
        <f>Economic!L19</f>
        <v>569815</v>
      </c>
      <c r="AN17" s="28">
        <f>Economic!M19</f>
        <v>29474</v>
      </c>
      <c r="AO17" s="28">
        <f>Economic!D19</f>
        <v>6931.9</v>
      </c>
      <c r="AP17" s="28">
        <f>Economic!E19</f>
        <v>6843.7</v>
      </c>
      <c r="AQ17" s="28">
        <f>Economic!F19</f>
        <v>205.8</v>
      </c>
      <c r="AR17" s="28">
        <f>Economic!G19</f>
        <v>204</v>
      </c>
      <c r="AS17" s="28">
        <f>Economic!N19</f>
        <v>55.099999999999454</v>
      </c>
      <c r="AT17" s="28">
        <f>Economic!O19</f>
        <v>57.300000000000182</v>
      </c>
      <c r="AU17" s="28">
        <f>Economic!P19</f>
        <v>10.300000000000011</v>
      </c>
      <c r="AV17" s="28">
        <f>Economic!Q19</f>
        <v>10.800000000000011</v>
      </c>
      <c r="AW17" s="28">
        <f>Economic!R19</f>
        <v>16366.599999999977</v>
      </c>
      <c r="AX17" s="28">
        <f>Economic!S19</f>
        <v>-2655</v>
      </c>
      <c r="AY17" s="7">
        <f>Weather!D17</f>
        <v>4.4672222222222224</v>
      </c>
      <c r="AZ17" s="7">
        <f>Weather!E17</f>
        <v>465.98333333333341</v>
      </c>
      <c r="BA17" s="7">
        <f>Weather!F17</f>
        <v>0</v>
      </c>
      <c r="BB17" s="7">
        <f>Weather!G17</f>
        <v>405.98333333333341</v>
      </c>
      <c r="BC17" s="7">
        <f>Weather!H17</f>
        <v>0</v>
      </c>
      <c r="BD17" s="7">
        <f>Weather!I17</f>
        <v>345.98333333333335</v>
      </c>
      <c r="BE17" s="7">
        <f>Weather!J17</f>
        <v>0</v>
      </c>
      <c r="BF17" s="7">
        <f>Weather!K17</f>
        <v>286.81666666666661</v>
      </c>
      <c r="BG17" s="7">
        <f>Weather!L17</f>
        <v>0.83333333333333393</v>
      </c>
      <c r="BH17" s="7">
        <f>Weather!M17</f>
        <v>229.20416666666662</v>
      </c>
      <c r="BI17" s="7">
        <f>Weather!N17</f>
        <v>3.2208333333333368</v>
      </c>
      <c r="BJ17" s="7">
        <f>Weather!O17</f>
        <v>175.33749999999998</v>
      </c>
      <c r="BK17" s="7">
        <f>Weather!P17</f>
        <v>9.3541666666666732</v>
      </c>
      <c r="BL17" s="7">
        <f>Weather!Q17</f>
        <v>127.94999999999997</v>
      </c>
      <c r="BM17" s="7">
        <f>Weather!R17</f>
        <v>21.966666666666676</v>
      </c>
      <c r="BN17" s="1">
        <v>0</v>
      </c>
      <c r="BO17" s="1">
        <v>0</v>
      </c>
      <c r="BP17" s="1">
        <v>0</v>
      </c>
      <c r="BQ17" s="1">
        <v>1</v>
      </c>
      <c r="BR17" s="1">
        <v>0</v>
      </c>
      <c r="BS17" s="1">
        <v>0</v>
      </c>
      <c r="BT17" s="1">
        <v>0</v>
      </c>
      <c r="BU17" s="1">
        <v>0</v>
      </c>
      <c r="BV17" s="1">
        <v>0</v>
      </c>
      <c r="BW17" s="1">
        <v>0</v>
      </c>
      <c r="BX17" s="1">
        <v>0</v>
      </c>
      <c r="BY17" s="1">
        <v>0</v>
      </c>
      <c r="BZ17" s="1">
        <v>1</v>
      </c>
      <c r="CA17" s="1">
        <v>0</v>
      </c>
      <c r="CB17" s="1">
        <v>1</v>
      </c>
      <c r="CC17" s="1">
        <f t="shared" si="9"/>
        <v>16</v>
      </c>
      <c r="CD17" s="1">
        <v>30</v>
      </c>
      <c r="CE17" s="1">
        <v>21</v>
      </c>
      <c r="CF17" s="1">
        <v>0</v>
      </c>
      <c r="CG17" s="1">
        <v>0</v>
      </c>
      <c r="CH17" s="1">
        <v>0</v>
      </c>
      <c r="CI17" s="1">
        <v>0</v>
      </c>
      <c r="CJ17" s="1">
        <f t="shared" si="12"/>
        <v>0</v>
      </c>
      <c r="CK17" s="1">
        <f t="shared" si="12"/>
        <v>0</v>
      </c>
      <c r="CL17" s="1">
        <f t="shared" si="12"/>
        <v>0</v>
      </c>
      <c r="CM17" s="1">
        <f t="shared" si="10"/>
        <v>0</v>
      </c>
      <c r="CN17" s="1">
        <f t="shared" si="10"/>
        <v>0</v>
      </c>
      <c r="CO17" s="1">
        <f t="shared" si="10"/>
        <v>0</v>
      </c>
      <c r="CP17" s="1">
        <f t="shared" si="10"/>
        <v>0</v>
      </c>
      <c r="CQ17" s="1">
        <f t="shared" si="10"/>
        <v>0</v>
      </c>
      <c r="CR17" s="1">
        <f t="shared" si="10"/>
        <v>0</v>
      </c>
      <c r="CS17" s="1">
        <f t="shared" si="10"/>
        <v>0</v>
      </c>
      <c r="CT17" s="1">
        <f t="shared" si="10"/>
        <v>0</v>
      </c>
      <c r="CU17" s="1">
        <f t="shared" si="10"/>
        <v>0</v>
      </c>
      <c r="CV17" s="1">
        <f t="shared" si="10"/>
        <v>0</v>
      </c>
      <c r="CW17" s="1">
        <f t="shared" si="10"/>
        <v>0</v>
      </c>
      <c r="CX17" s="1">
        <f t="shared" si="13"/>
        <v>0</v>
      </c>
      <c r="CY17" s="1">
        <f t="shared" si="13"/>
        <v>0</v>
      </c>
      <c r="CZ17" s="1">
        <f t="shared" si="13"/>
        <v>0</v>
      </c>
      <c r="DA17" s="1">
        <f t="shared" si="11"/>
        <v>0</v>
      </c>
      <c r="DB17" s="1">
        <f t="shared" si="11"/>
        <v>0</v>
      </c>
      <c r="DC17" s="1">
        <f t="shared" si="11"/>
        <v>0</v>
      </c>
      <c r="DD17" s="1">
        <f t="shared" si="11"/>
        <v>0</v>
      </c>
      <c r="DE17" s="1">
        <f t="shared" si="11"/>
        <v>0</v>
      </c>
      <c r="DF17" s="1">
        <f t="shared" si="11"/>
        <v>0</v>
      </c>
      <c r="DG17" s="1">
        <f t="shared" si="11"/>
        <v>0</v>
      </c>
      <c r="DH17" s="1">
        <f t="shared" si="11"/>
        <v>0</v>
      </c>
      <c r="DI17" s="1">
        <f t="shared" si="11"/>
        <v>0</v>
      </c>
      <c r="DJ17" s="1">
        <f t="shared" si="11"/>
        <v>0</v>
      </c>
      <c r="DK17" s="1">
        <f t="shared" si="11"/>
        <v>0</v>
      </c>
      <c r="DL17" s="25"/>
      <c r="DM17" s="25"/>
      <c r="DN17" s="24"/>
      <c r="DO17" s="25"/>
      <c r="DP17" s="25"/>
      <c r="DQ17" s="25"/>
      <c r="DR17" s="25"/>
      <c r="DS17" s="25"/>
      <c r="DT17" s="25"/>
      <c r="DU17" s="25"/>
      <c r="DV17" s="25"/>
    </row>
    <row r="18" spans="1:126" x14ac:dyDescent="0.25">
      <c r="A18" s="261">
        <v>42491</v>
      </c>
      <c r="B18" s="262">
        <f t="shared" si="0"/>
        <v>2016</v>
      </c>
      <c r="C18" s="262">
        <f t="shared" si="1"/>
        <v>5</v>
      </c>
      <c r="D18" s="263">
        <v>31337302.647169124</v>
      </c>
      <c r="E18" s="263">
        <f>IFERROR(VLOOKUP($B18-1,CDM!$L$7:$T$18,2,FALSE)/12,0)+IFERROR(VLOOKUP($B18,CDM!$L$36:$T$46,2,FALSE)/24,0)+IFERROR(VLOOKUP($B18,CDM!$L$36:$T$46,2,FALSE)/2*$C18/78,0)</f>
        <v>616077.50160256412</v>
      </c>
      <c r="F18" s="263">
        <f t="shared" si="2"/>
        <v>31953380.148771688</v>
      </c>
      <c r="G18" s="264">
        <v>47973</v>
      </c>
      <c r="H18" s="263">
        <v>10058228.077991202</v>
      </c>
      <c r="I18" s="263">
        <f>IFERROR(VLOOKUP($B18-1,CDM!$L$7:$T$18,3,FALSE)/12,0)+IFERROR(VLOOKUP($B18,CDM!$L$36:$T$46,3,FALSE)/24,0)+IFERROR(VLOOKUP($B18,CDM!$L$36:$T$46,3,FALSE)/2*$C18/78,0)</f>
        <v>170248.78094551282</v>
      </c>
      <c r="J18" s="263">
        <f t="shared" si="6"/>
        <v>10228476.858936716</v>
      </c>
      <c r="K18" s="265">
        <v>4156</v>
      </c>
      <c r="L18" s="4">
        <v>25391074.392379064</v>
      </c>
      <c r="M18" s="266">
        <f>IFERROR(VLOOKUP($B18-1,CDM!$L$7:$T$18,4,FALSE)/12,0)+IFERROR(VLOOKUP($B18,CDM!$L$36:$T$46,4,FALSE)/24,0)+IFERROR(VLOOKUP($B18,CDM!$L$36:$T$46,4,FALSE)/2*$C18/78,0)</f>
        <v>172551.12179487181</v>
      </c>
      <c r="N18" s="263">
        <f t="shared" si="3"/>
        <v>25563625.514173936</v>
      </c>
      <c r="O18" s="4">
        <v>69383</v>
      </c>
      <c r="P18" s="265">
        <v>514</v>
      </c>
      <c r="Q18" s="265">
        <v>6807170.9312204076</v>
      </c>
      <c r="R18" s="265">
        <f>IFERROR(VLOOKUP($B18-1,CDM!$L$7:$T$18,5,FALSE)/12,0)+IFERROR(VLOOKUP($B18,CDM!$L$36:$T$46,5,FALSE)/24,0)+IFERROR(VLOOKUP($B18,CDM!$L$36:$T$46,5,FALSE)/2*$C18/78,0)</f>
        <v>780491.24469551281</v>
      </c>
      <c r="S18" s="265">
        <f t="shared" si="7"/>
        <v>7587662.1759159202</v>
      </c>
      <c r="T18" s="265">
        <v>18081</v>
      </c>
      <c r="U18" s="265">
        <v>13</v>
      </c>
      <c r="V18" s="265">
        <v>3397618.0244841203</v>
      </c>
      <c r="W18" s="265">
        <f>IFERROR(VLOOKUP($B18-1,CDM!$L$7:$T$18,6,FALSE)/12,0)+IFERROR(VLOOKUP($B18,CDM!$L$36:$T$46,6,FALSE)/24,0)+IFERROR(VLOOKUP($B18,CDM!$L$36:$T$46,6,FALSE)/2*$C18/78,0)</f>
        <v>0</v>
      </c>
      <c r="X18" s="265">
        <f t="shared" si="8"/>
        <v>3397618.0244841203</v>
      </c>
      <c r="Y18" s="265">
        <v>8864</v>
      </c>
      <c r="Z18" s="265">
        <v>1</v>
      </c>
      <c r="AA18" s="4">
        <v>657682.37862824975</v>
      </c>
      <c r="AB18" s="4">
        <v>2224</v>
      </c>
      <c r="AC18" s="265">
        <v>12892</v>
      </c>
      <c r="AD18" s="265">
        <v>2155.2736982643528</v>
      </c>
      <c r="AE18" s="265">
        <v>0</v>
      </c>
      <c r="AF18" s="265">
        <v>23</v>
      </c>
      <c r="AG18" s="4">
        <v>205791.1475409836</v>
      </c>
      <c r="AH18" s="4">
        <v>246</v>
      </c>
      <c r="AI18" s="28">
        <f>Economic!H20</f>
        <v>743976.2</v>
      </c>
      <c r="AJ18" s="28">
        <f>Economic!I20</f>
        <v>571846.40000000002</v>
      </c>
      <c r="AK18" s="28">
        <f>Economic!J20</f>
        <v>51922</v>
      </c>
      <c r="AL18" s="28">
        <f>Economic!K20</f>
        <v>740632</v>
      </c>
      <c r="AM18" s="28">
        <f>Economic!L20</f>
        <v>569815</v>
      </c>
      <c r="AN18" s="28">
        <f>Economic!M20</f>
        <v>29474</v>
      </c>
      <c r="AO18" s="28">
        <f>Economic!D20</f>
        <v>6944.7</v>
      </c>
      <c r="AP18" s="28">
        <f>Economic!E20</f>
        <v>6913.7</v>
      </c>
      <c r="AQ18" s="28">
        <f>Economic!F20</f>
        <v>206.1</v>
      </c>
      <c r="AR18" s="28">
        <f>Economic!G20</f>
        <v>206.1</v>
      </c>
      <c r="AS18" s="28">
        <f>Economic!N20</f>
        <v>61.399999999999636</v>
      </c>
      <c r="AT18" s="28">
        <f>Economic!O20</f>
        <v>65.599999999999454</v>
      </c>
      <c r="AU18" s="28">
        <f>Economic!P20</f>
        <v>12.799999999999983</v>
      </c>
      <c r="AV18" s="28">
        <f>Economic!Q20</f>
        <v>13.5</v>
      </c>
      <c r="AW18" s="28">
        <f>Economic!R20</f>
        <v>16366.599999999977</v>
      </c>
      <c r="AX18" s="28">
        <f>Economic!S20</f>
        <v>-2655</v>
      </c>
      <c r="AY18" s="7">
        <f>Weather!D18</f>
        <v>13.718055555555555</v>
      </c>
      <c r="AZ18" s="7">
        <f>Weather!E18</f>
        <v>203.72361111111115</v>
      </c>
      <c r="BA18" s="7">
        <f>Weather!F18</f>
        <v>8.9833333333333307</v>
      </c>
      <c r="BB18" s="7">
        <f>Weather!G18</f>
        <v>154.58611111111114</v>
      </c>
      <c r="BC18" s="7">
        <f>Weather!H18</f>
        <v>21.845833333333335</v>
      </c>
      <c r="BD18" s="7">
        <f>Weather!I18</f>
        <v>111.69444444444443</v>
      </c>
      <c r="BE18" s="7">
        <f>Weather!J18</f>
        <v>40.95416666666668</v>
      </c>
      <c r="BF18" s="7">
        <f>Weather!K18</f>
        <v>75.344444444444463</v>
      </c>
      <c r="BG18" s="7">
        <f>Weather!L18</f>
        <v>66.604166666666671</v>
      </c>
      <c r="BH18" s="7">
        <f>Weather!M18</f>
        <v>45.036111111111126</v>
      </c>
      <c r="BI18" s="7">
        <f>Weather!N18</f>
        <v>98.295833333333348</v>
      </c>
      <c r="BJ18" s="7">
        <f>Weather!O18</f>
        <v>18.829166666666676</v>
      </c>
      <c r="BK18" s="7">
        <f>Weather!P18</f>
        <v>134.0888888888889</v>
      </c>
      <c r="BL18" s="7">
        <f>Weather!Q18</f>
        <v>4.2083333333333348</v>
      </c>
      <c r="BM18" s="7">
        <f>Weather!R18</f>
        <v>181.46805555555554</v>
      </c>
      <c r="BN18" s="1">
        <v>0</v>
      </c>
      <c r="BO18" s="1">
        <v>0</v>
      </c>
      <c r="BP18" s="1">
        <v>0</v>
      </c>
      <c r="BQ18" s="1">
        <v>0</v>
      </c>
      <c r="BR18" s="1">
        <v>1</v>
      </c>
      <c r="BS18" s="1">
        <v>0</v>
      </c>
      <c r="BT18" s="1">
        <v>0</v>
      </c>
      <c r="BU18" s="1">
        <v>0</v>
      </c>
      <c r="BV18" s="1">
        <v>0</v>
      </c>
      <c r="BW18" s="1">
        <v>0</v>
      </c>
      <c r="BX18" s="1">
        <v>0</v>
      </c>
      <c r="BY18" s="1">
        <v>0</v>
      </c>
      <c r="BZ18" s="1">
        <v>1</v>
      </c>
      <c r="CA18" s="1">
        <v>0</v>
      </c>
      <c r="CB18" s="1">
        <v>1</v>
      </c>
      <c r="CC18" s="1">
        <f t="shared" si="9"/>
        <v>17</v>
      </c>
      <c r="CD18" s="1">
        <v>31</v>
      </c>
      <c r="CE18" s="1">
        <v>21</v>
      </c>
      <c r="CF18" s="1">
        <v>0</v>
      </c>
      <c r="CG18" s="1">
        <v>0</v>
      </c>
      <c r="CH18" s="1">
        <v>0</v>
      </c>
      <c r="CI18" s="1">
        <v>0</v>
      </c>
      <c r="CJ18" s="1">
        <f t="shared" si="12"/>
        <v>0</v>
      </c>
      <c r="CK18" s="1">
        <f t="shared" si="12"/>
        <v>0</v>
      </c>
      <c r="CL18" s="1">
        <f t="shared" si="12"/>
        <v>0</v>
      </c>
      <c r="CM18" s="1">
        <f t="shared" si="10"/>
        <v>0</v>
      </c>
      <c r="CN18" s="1">
        <f t="shared" si="10"/>
        <v>0</v>
      </c>
      <c r="CO18" s="1">
        <f t="shared" si="10"/>
        <v>0</v>
      </c>
      <c r="CP18" s="1">
        <f t="shared" si="10"/>
        <v>0</v>
      </c>
      <c r="CQ18" s="1">
        <f t="shared" si="10"/>
        <v>0</v>
      </c>
      <c r="CR18" s="1">
        <f t="shared" si="10"/>
        <v>0</v>
      </c>
      <c r="CS18" s="1">
        <f t="shared" si="10"/>
        <v>0</v>
      </c>
      <c r="CT18" s="1">
        <f t="shared" si="10"/>
        <v>0</v>
      </c>
      <c r="CU18" s="1">
        <f t="shared" si="10"/>
        <v>0</v>
      </c>
      <c r="CV18" s="1">
        <f t="shared" si="10"/>
        <v>0</v>
      </c>
      <c r="CW18" s="1">
        <f t="shared" si="10"/>
        <v>0</v>
      </c>
      <c r="CX18" s="1">
        <f t="shared" si="13"/>
        <v>0</v>
      </c>
      <c r="CY18" s="1">
        <f t="shared" si="13"/>
        <v>0</v>
      </c>
      <c r="CZ18" s="1">
        <f t="shared" si="13"/>
        <v>0</v>
      </c>
      <c r="DA18" s="1">
        <f t="shared" si="11"/>
        <v>0</v>
      </c>
      <c r="DB18" s="1">
        <f t="shared" si="11"/>
        <v>0</v>
      </c>
      <c r="DC18" s="1">
        <f t="shared" si="11"/>
        <v>0</v>
      </c>
      <c r="DD18" s="1">
        <f t="shared" si="11"/>
        <v>0</v>
      </c>
      <c r="DE18" s="1">
        <f t="shared" si="11"/>
        <v>0</v>
      </c>
      <c r="DF18" s="1">
        <f t="shared" si="11"/>
        <v>0</v>
      </c>
      <c r="DG18" s="1">
        <f t="shared" si="11"/>
        <v>0</v>
      </c>
      <c r="DH18" s="1">
        <f t="shared" si="11"/>
        <v>0</v>
      </c>
      <c r="DI18" s="1">
        <f t="shared" si="11"/>
        <v>0</v>
      </c>
      <c r="DJ18" s="1">
        <f t="shared" si="11"/>
        <v>0</v>
      </c>
      <c r="DK18" s="1">
        <f t="shared" si="11"/>
        <v>0</v>
      </c>
      <c r="DL18" s="25"/>
      <c r="DM18" s="25"/>
      <c r="DN18" s="24"/>
      <c r="DO18" s="25"/>
      <c r="DP18" s="25"/>
      <c r="DQ18" s="25"/>
      <c r="DR18" s="25"/>
      <c r="DS18" s="25"/>
      <c r="DT18" s="25"/>
      <c r="DU18" s="25"/>
      <c r="DV18" s="25"/>
    </row>
    <row r="19" spans="1:126" x14ac:dyDescent="0.25">
      <c r="A19" s="261">
        <v>42522</v>
      </c>
      <c r="B19" s="262">
        <f t="shared" si="0"/>
        <v>2016</v>
      </c>
      <c r="C19" s="262">
        <f t="shared" si="1"/>
        <v>6</v>
      </c>
      <c r="D19" s="263">
        <v>38119342.773256138</v>
      </c>
      <c r="E19" s="263">
        <f>IFERROR(VLOOKUP($B19-1,CDM!$L$7:$T$18,2,FALSE)/12,0)+IFERROR(VLOOKUP($B19,CDM!$L$36:$T$46,2,FALSE)/24,0)+IFERROR(VLOOKUP($B19,CDM!$L$36:$T$46,2,FALSE)/2*$C19/78,0)</f>
        <v>656998.30608974362</v>
      </c>
      <c r="F19" s="263">
        <f t="shared" si="2"/>
        <v>38776341.079345882</v>
      </c>
      <c r="G19" s="264">
        <v>48836</v>
      </c>
      <c r="H19" s="263">
        <v>10283887.55973768</v>
      </c>
      <c r="I19" s="263">
        <f>IFERROR(VLOOKUP($B19-1,CDM!$L$7:$T$18,3,FALSE)/12,0)+IFERROR(VLOOKUP($B19,CDM!$L$36:$T$46,3,FALSE)/24,0)+IFERROR(VLOOKUP($B19,CDM!$L$36:$T$46,3,FALSE)/2*$C19/78,0)</f>
        <v>181320.21392628207</v>
      </c>
      <c r="J19" s="263">
        <f t="shared" si="6"/>
        <v>10465207.773663962</v>
      </c>
      <c r="K19" s="265">
        <v>4153</v>
      </c>
      <c r="L19" s="4">
        <v>24806117.093112268</v>
      </c>
      <c r="M19" s="266">
        <f>IFERROR(VLOOKUP($B19-1,CDM!$L$7:$T$18,4,FALSE)/12,0)+IFERROR(VLOOKUP($B19,CDM!$L$36:$T$46,4,FALSE)/24,0)+IFERROR(VLOOKUP($B19,CDM!$L$36:$T$46,4,FALSE)/2*$C19/78,0)</f>
        <v>182349.28115384618</v>
      </c>
      <c r="N19" s="263">
        <f t="shared" si="3"/>
        <v>24988466.374266114</v>
      </c>
      <c r="O19" s="4">
        <v>67307</v>
      </c>
      <c r="P19" s="265">
        <v>518</v>
      </c>
      <c r="Q19" s="265">
        <v>7453408.6729988549</v>
      </c>
      <c r="R19" s="265">
        <f>IFERROR(VLOOKUP($B19-1,CDM!$L$7:$T$18,5,FALSE)/12,0)+IFERROR(VLOOKUP($B19,CDM!$L$36:$T$46,5,FALSE)/24,0)+IFERROR(VLOOKUP($B19,CDM!$L$36:$T$46,5,FALSE)/2*$C19/78,0)</f>
        <v>813393.24850961531</v>
      </c>
      <c r="S19" s="265">
        <f t="shared" si="7"/>
        <v>8266801.9215084706</v>
      </c>
      <c r="T19" s="265">
        <v>18433</v>
      </c>
      <c r="U19" s="265">
        <v>13</v>
      </c>
      <c r="V19" s="265">
        <v>3372600.7862359551</v>
      </c>
      <c r="W19" s="265">
        <f>IFERROR(VLOOKUP($B19-1,CDM!$L$7:$T$18,6,FALSE)/12,0)+IFERROR(VLOOKUP($B19,CDM!$L$36:$T$46,6,FALSE)/24,0)+IFERROR(VLOOKUP($B19,CDM!$L$36:$T$46,6,FALSE)/2*$C19/78,0)</f>
        <v>0</v>
      </c>
      <c r="X19" s="265">
        <f t="shared" si="8"/>
        <v>3372600.7862359551</v>
      </c>
      <c r="Y19" s="265">
        <v>8276</v>
      </c>
      <c r="Z19" s="265">
        <v>1</v>
      </c>
      <c r="AA19" s="4">
        <v>584124.3214772701</v>
      </c>
      <c r="AB19" s="4">
        <v>2232</v>
      </c>
      <c r="AC19" s="265">
        <v>12963</v>
      </c>
      <c r="AD19" s="265">
        <v>2134.3887087545299</v>
      </c>
      <c r="AE19" s="265">
        <v>0</v>
      </c>
      <c r="AF19" s="265">
        <v>23</v>
      </c>
      <c r="AG19" s="4">
        <v>208073</v>
      </c>
      <c r="AH19" s="4">
        <v>246</v>
      </c>
      <c r="AI19" s="28">
        <f>Economic!H21</f>
        <v>743976.2</v>
      </c>
      <c r="AJ19" s="28">
        <f>Economic!I21</f>
        <v>571846.40000000002</v>
      </c>
      <c r="AK19" s="28">
        <f>Economic!J21</f>
        <v>51922</v>
      </c>
      <c r="AL19" s="28">
        <f>Economic!K21</f>
        <v>740632</v>
      </c>
      <c r="AM19" s="28">
        <f>Economic!L21</f>
        <v>569815</v>
      </c>
      <c r="AN19" s="28">
        <f>Economic!M21</f>
        <v>29474</v>
      </c>
      <c r="AO19" s="28">
        <f>Economic!D21</f>
        <v>6955.5</v>
      </c>
      <c r="AP19" s="28">
        <f>Economic!E21</f>
        <v>7000.2</v>
      </c>
      <c r="AQ19" s="28">
        <f>Economic!F21</f>
        <v>204.7</v>
      </c>
      <c r="AR19" s="28">
        <f>Economic!G21</f>
        <v>206.7</v>
      </c>
      <c r="AS19" s="28">
        <f>Economic!N21</f>
        <v>71.899999999999636</v>
      </c>
      <c r="AT19" s="28">
        <f>Economic!O21</f>
        <v>70.099999999999454</v>
      </c>
      <c r="AU19" s="28">
        <f>Economic!P21</f>
        <v>13.899999999999977</v>
      </c>
      <c r="AV19" s="28">
        <f>Economic!Q21</f>
        <v>14.799999999999983</v>
      </c>
      <c r="AW19" s="28">
        <f>Economic!R21</f>
        <v>16366.599999999977</v>
      </c>
      <c r="AX19" s="28">
        <f>Economic!S21</f>
        <v>-2655</v>
      </c>
      <c r="AY19" s="7">
        <f>Weather!D19</f>
        <v>18.773472222222221</v>
      </c>
      <c r="AZ19" s="7">
        <f>Weather!E19</f>
        <v>56.883333333333326</v>
      </c>
      <c r="BA19" s="7">
        <f>Weather!F19</f>
        <v>20.087500000000002</v>
      </c>
      <c r="BB19" s="7">
        <f>Weather!G19</f>
        <v>30.204166666666669</v>
      </c>
      <c r="BC19" s="7">
        <f>Weather!H19</f>
        <v>53.40833333333336</v>
      </c>
      <c r="BD19" s="7">
        <f>Weather!I19</f>
        <v>14.133333333333335</v>
      </c>
      <c r="BE19" s="7">
        <f>Weather!J19</f>
        <v>97.33750000000002</v>
      </c>
      <c r="BF19" s="7">
        <f>Weather!K19</f>
        <v>3.9749999999999996</v>
      </c>
      <c r="BG19" s="7">
        <f>Weather!L19</f>
        <v>147.17916666666667</v>
      </c>
      <c r="BH19" s="7">
        <f>Weather!M19</f>
        <v>0.65000000000000036</v>
      </c>
      <c r="BI19" s="7">
        <f>Weather!N19</f>
        <v>203.85416666666669</v>
      </c>
      <c r="BJ19" s="7">
        <f>Weather!O19</f>
        <v>0</v>
      </c>
      <c r="BK19" s="7">
        <f>Weather!P19</f>
        <v>263.20416666666671</v>
      </c>
      <c r="BL19" s="7">
        <f>Weather!Q19</f>
        <v>0</v>
      </c>
      <c r="BM19" s="7">
        <f>Weather!R19</f>
        <v>323.20416666666671</v>
      </c>
      <c r="BN19" s="1">
        <v>0</v>
      </c>
      <c r="BO19" s="1">
        <v>0</v>
      </c>
      <c r="BP19" s="1">
        <v>0</v>
      </c>
      <c r="BQ19" s="1">
        <v>0</v>
      </c>
      <c r="BR19" s="1">
        <v>0</v>
      </c>
      <c r="BS19" s="1">
        <v>1</v>
      </c>
      <c r="BT19" s="1">
        <v>0</v>
      </c>
      <c r="BU19" s="1">
        <v>0</v>
      </c>
      <c r="BV19" s="1">
        <v>0</v>
      </c>
      <c r="BW19" s="1">
        <v>0</v>
      </c>
      <c r="BX19" s="1">
        <v>0</v>
      </c>
      <c r="BY19" s="1">
        <v>0</v>
      </c>
      <c r="BZ19" s="1">
        <v>0</v>
      </c>
      <c r="CA19" s="1">
        <v>0</v>
      </c>
      <c r="CB19" s="1">
        <v>0</v>
      </c>
      <c r="CC19" s="1">
        <f t="shared" si="9"/>
        <v>18</v>
      </c>
      <c r="CD19" s="1">
        <v>30</v>
      </c>
      <c r="CE19" s="1">
        <v>22</v>
      </c>
      <c r="CF19" s="1">
        <v>0</v>
      </c>
      <c r="CG19" s="1">
        <v>0</v>
      </c>
      <c r="CH19" s="1">
        <v>0</v>
      </c>
      <c r="CI19" s="1">
        <v>0</v>
      </c>
      <c r="CJ19" s="1">
        <f t="shared" si="12"/>
        <v>0</v>
      </c>
      <c r="CK19" s="1">
        <f t="shared" si="12"/>
        <v>0</v>
      </c>
      <c r="CL19" s="1">
        <f t="shared" si="12"/>
        <v>0</v>
      </c>
      <c r="CM19" s="1">
        <f t="shared" si="10"/>
        <v>0</v>
      </c>
      <c r="CN19" s="1">
        <f t="shared" si="10"/>
        <v>0</v>
      </c>
      <c r="CO19" s="1">
        <f t="shared" si="10"/>
        <v>0</v>
      </c>
      <c r="CP19" s="1">
        <f t="shared" si="10"/>
        <v>0</v>
      </c>
      <c r="CQ19" s="1">
        <f t="shared" si="10"/>
        <v>0</v>
      </c>
      <c r="CR19" s="1">
        <f t="shared" si="10"/>
        <v>0</v>
      </c>
      <c r="CS19" s="1">
        <f t="shared" si="10"/>
        <v>0</v>
      </c>
      <c r="CT19" s="1">
        <f t="shared" si="10"/>
        <v>0</v>
      </c>
      <c r="CU19" s="1">
        <f t="shared" si="10"/>
        <v>0</v>
      </c>
      <c r="CV19" s="1">
        <f t="shared" si="10"/>
        <v>0</v>
      </c>
      <c r="CW19" s="1">
        <f t="shared" si="10"/>
        <v>0</v>
      </c>
      <c r="CX19" s="1">
        <f t="shared" si="13"/>
        <v>0</v>
      </c>
      <c r="CY19" s="1">
        <f t="shared" si="13"/>
        <v>0</v>
      </c>
      <c r="CZ19" s="1">
        <f t="shared" si="13"/>
        <v>0</v>
      </c>
      <c r="DA19" s="1">
        <f t="shared" si="11"/>
        <v>0</v>
      </c>
      <c r="DB19" s="1">
        <f t="shared" si="11"/>
        <v>0</v>
      </c>
      <c r="DC19" s="1">
        <f t="shared" si="11"/>
        <v>0</v>
      </c>
      <c r="DD19" s="1">
        <f t="shared" si="11"/>
        <v>0</v>
      </c>
      <c r="DE19" s="1">
        <f t="shared" si="11"/>
        <v>0</v>
      </c>
      <c r="DF19" s="1">
        <f t="shared" si="11"/>
        <v>0</v>
      </c>
      <c r="DG19" s="1">
        <f t="shared" si="11"/>
        <v>0</v>
      </c>
      <c r="DH19" s="1">
        <f t="shared" si="11"/>
        <v>0</v>
      </c>
      <c r="DI19" s="1">
        <f t="shared" si="11"/>
        <v>0</v>
      </c>
      <c r="DJ19" s="1">
        <f t="shared" si="11"/>
        <v>0</v>
      </c>
      <c r="DK19" s="1">
        <f t="shared" si="11"/>
        <v>0</v>
      </c>
      <c r="DL19" s="25"/>
      <c r="DM19" s="25"/>
      <c r="DN19" s="24"/>
      <c r="DO19" s="25"/>
      <c r="DP19" s="25"/>
      <c r="DQ19" s="25"/>
      <c r="DR19" s="25"/>
      <c r="DS19" s="25"/>
      <c r="DT19" s="25"/>
      <c r="DU19" s="25"/>
      <c r="DV19" s="25"/>
    </row>
    <row r="20" spans="1:126" x14ac:dyDescent="0.25">
      <c r="A20" s="261">
        <v>42552</v>
      </c>
      <c r="B20" s="262">
        <f t="shared" si="0"/>
        <v>2016</v>
      </c>
      <c r="C20" s="262">
        <f t="shared" si="1"/>
        <v>7</v>
      </c>
      <c r="D20" s="263">
        <v>46520646.45482669</v>
      </c>
      <c r="E20" s="263">
        <f>IFERROR(VLOOKUP($B20-1,CDM!$L$7:$T$18,2,FALSE)/12,0)+IFERROR(VLOOKUP($B20,CDM!$L$36:$T$46,2,FALSE)/24,0)+IFERROR(VLOOKUP($B20,CDM!$L$36:$T$46,2,FALSE)/2*$C20/78,0)</f>
        <v>697919.11057692312</v>
      </c>
      <c r="F20" s="263">
        <f t="shared" si="2"/>
        <v>47218565.56540361</v>
      </c>
      <c r="G20" s="264">
        <v>49384</v>
      </c>
      <c r="H20" s="263">
        <v>11667033.214412689</v>
      </c>
      <c r="I20" s="263">
        <f>IFERROR(VLOOKUP($B20-1,CDM!$L$7:$T$18,3,FALSE)/12,0)+IFERROR(VLOOKUP($B20,CDM!$L$36:$T$46,3,FALSE)/24,0)+IFERROR(VLOOKUP($B20,CDM!$L$36:$T$46,3,FALSE)/2*$C20/78,0)</f>
        <v>192391.64690705127</v>
      </c>
      <c r="J20" s="263">
        <f t="shared" si="6"/>
        <v>11859424.861319741</v>
      </c>
      <c r="K20" s="265">
        <v>4177</v>
      </c>
      <c r="L20" s="4">
        <v>29985766.329370011</v>
      </c>
      <c r="M20" s="266">
        <f>IFERROR(VLOOKUP($B20-1,CDM!$L$7:$T$18,4,FALSE)/12,0)+IFERROR(VLOOKUP($B20,CDM!$L$36:$T$46,4,FALSE)/24,0)+IFERROR(VLOOKUP($B20,CDM!$L$36:$T$46,4,FALSE)/2*$C20/78,0)</f>
        <v>192147.44051282053</v>
      </c>
      <c r="N20" s="263">
        <f t="shared" si="3"/>
        <v>30177913.769882832</v>
      </c>
      <c r="O20" s="4">
        <v>73780</v>
      </c>
      <c r="P20" s="265">
        <v>518</v>
      </c>
      <c r="Q20" s="265">
        <v>8411365.1539013814</v>
      </c>
      <c r="R20" s="265">
        <f>IFERROR(VLOOKUP($B20-1,CDM!$L$7:$T$18,5,FALSE)/12,0)+IFERROR(VLOOKUP($B20,CDM!$L$36:$T$46,5,FALSE)/24,0)+IFERROR(VLOOKUP($B20,CDM!$L$36:$T$46,5,FALSE)/2*$C20/78,0)</f>
        <v>846295.25232371781</v>
      </c>
      <c r="S20" s="265">
        <f t="shared" si="7"/>
        <v>9257660.4062251002</v>
      </c>
      <c r="T20" s="265">
        <v>19281</v>
      </c>
      <c r="U20" s="265">
        <v>13</v>
      </c>
      <c r="V20" s="265">
        <v>3721310.9432763467</v>
      </c>
      <c r="W20" s="265">
        <f>IFERROR(VLOOKUP($B20-1,CDM!$L$7:$T$18,6,FALSE)/12,0)+IFERROR(VLOOKUP($B20,CDM!$L$36:$T$46,6,FALSE)/24,0)+IFERROR(VLOOKUP($B20,CDM!$L$36:$T$46,6,FALSE)/2*$C20/78,0)</f>
        <v>0</v>
      </c>
      <c r="X20" s="265">
        <f t="shared" si="8"/>
        <v>3721310.9432763467</v>
      </c>
      <c r="Y20" s="265">
        <v>9310</v>
      </c>
      <c r="Z20" s="265">
        <v>1</v>
      </c>
      <c r="AA20" s="4">
        <v>608473.33626748074</v>
      </c>
      <c r="AB20" s="4">
        <v>2232</v>
      </c>
      <c r="AC20" s="265">
        <v>12993</v>
      </c>
      <c r="AD20" s="265">
        <v>2155.2736982643523</v>
      </c>
      <c r="AE20" s="265">
        <v>0</v>
      </c>
      <c r="AF20" s="265">
        <v>23</v>
      </c>
      <c r="AG20" s="4">
        <v>207379</v>
      </c>
      <c r="AH20" s="4">
        <v>246</v>
      </c>
      <c r="AI20" s="28">
        <f>Economic!H22</f>
        <v>743976.2</v>
      </c>
      <c r="AJ20" s="28">
        <f>Economic!I22</f>
        <v>571846.40000000002</v>
      </c>
      <c r="AK20" s="28">
        <f>Economic!J22</f>
        <v>51922</v>
      </c>
      <c r="AL20" s="28">
        <f>Economic!K22</f>
        <v>746606</v>
      </c>
      <c r="AM20" s="28">
        <f>Economic!L22</f>
        <v>574136</v>
      </c>
      <c r="AN20" s="28">
        <f>Economic!M22</f>
        <v>30035</v>
      </c>
      <c r="AO20" s="28">
        <f>Economic!D22</f>
        <v>6956.3</v>
      </c>
      <c r="AP20" s="28">
        <f>Economic!E22</f>
        <v>7049.5</v>
      </c>
      <c r="AQ20" s="28">
        <f>Economic!F22</f>
        <v>206.5</v>
      </c>
      <c r="AR20" s="28">
        <f>Economic!G22</f>
        <v>209.2</v>
      </c>
      <c r="AS20" s="28">
        <f>Economic!N22</f>
        <v>64.600000000000364</v>
      </c>
      <c r="AT20" s="28">
        <f>Economic!O22</f>
        <v>63.399999999999636</v>
      </c>
      <c r="AU20" s="28">
        <f>Economic!P22</f>
        <v>20.599999999999994</v>
      </c>
      <c r="AV20" s="28">
        <f>Economic!Q22</f>
        <v>20.699999999999989</v>
      </c>
      <c r="AW20" s="28">
        <f>Economic!R22</f>
        <v>16366.599999999977</v>
      </c>
      <c r="AX20" s="28">
        <f>Economic!S22</f>
        <v>5974</v>
      </c>
      <c r="AY20" s="7">
        <f>Weather!D20</f>
        <v>22.104166666666661</v>
      </c>
      <c r="AZ20" s="7">
        <f>Weather!E20</f>
        <v>8.75416666666667</v>
      </c>
      <c r="BA20" s="7">
        <f>Weather!F20</f>
        <v>73.983333333333334</v>
      </c>
      <c r="BB20" s="7">
        <f>Weather!G20</f>
        <v>1.6583333333333314</v>
      </c>
      <c r="BC20" s="7">
        <f>Weather!H20</f>
        <v>128.88749999999999</v>
      </c>
      <c r="BD20" s="7">
        <f>Weather!I20</f>
        <v>0</v>
      </c>
      <c r="BE20" s="7">
        <f>Weather!J20</f>
        <v>189.22916666666666</v>
      </c>
      <c r="BF20" s="7">
        <f>Weather!K20</f>
        <v>0</v>
      </c>
      <c r="BG20" s="7">
        <f>Weather!L20</f>
        <v>251.2291666666666</v>
      </c>
      <c r="BH20" s="7">
        <f>Weather!M20</f>
        <v>0</v>
      </c>
      <c r="BI20" s="7">
        <f>Weather!N20</f>
        <v>313.22916666666657</v>
      </c>
      <c r="BJ20" s="7">
        <f>Weather!O20</f>
        <v>0</v>
      </c>
      <c r="BK20" s="7">
        <f>Weather!P20</f>
        <v>375.22916666666669</v>
      </c>
      <c r="BL20" s="7">
        <f>Weather!Q20</f>
        <v>0</v>
      </c>
      <c r="BM20" s="7">
        <f>Weather!R20</f>
        <v>437.22916666666669</v>
      </c>
      <c r="BN20" s="1">
        <v>0</v>
      </c>
      <c r="BO20" s="1">
        <v>0</v>
      </c>
      <c r="BP20" s="1">
        <v>0</v>
      </c>
      <c r="BQ20" s="1">
        <v>0</v>
      </c>
      <c r="BR20" s="1">
        <v>0</v>
      </c>
      <c r="BS20" s="1">
        <v>0</v>
      </c>
      <c r="BT20" s="1">
        <v>1</v>
      </c>
      <c r="BU20" s="1">
        <v>0</v>
      </c>
      <c r="BV20" s="1">
        <v>0</v>
      </c>
      <c r="BW20" s="1">
        <v>0</v>
      </c>
      <c r="BX20" s="1">
        <v>0</v>
      </c>
      <c r="BY20" s="1">
        <v>0</v>
      </c>
      <c r="BZ20" s="1">
        <v>0</v>
      </c>
      <c r="CA20" s="1">
        <v>0</v>
      </c>
      <c r="CB20" s="1">
        <v>0</v>
      </c>
      <c r="CC20" s="1">
        <f t="shared" si="9"/>
        <v>19</v>
      </c>
      <c r="CD20" s="1">
        <v>31</v>
      </c>
      <c r="CE20" s="1">
        <v>20</v>
      </c>
      <c r="CF20" s="1">
        <v>0</v>
      </c>
      <c r="CG20" s="1">
        <v>0</v>
      </c>
      <c r="CH20" s="1">
        <v>0</v>
      </c>
      <c r="CI20" s="1">
        <v>0</v>
      </c>
      <c r="CJ20" s="1">
        <f t="shared" si="12"/>
        <v>0</v>
      </c>
      <c r="CK20" s="1">
        <f t="shared" si="12"/>
        <v>0</v>
      </c>
      <c r="CL20" s="1">
        <f t="shared" si="12"/>
        <v>0</v>
      </c>
      <c r="CM20" s="1">
        <f t="shared" si="10"/>
        <v>0</v>
      </c>
      <c r="CN20" s="1">
        <f t="shared" si="10"/>
        <v>0</v>
      </c>
      <c r="CO20" s="1">
        <f t="shared" si="10"/>
        <v>0</v>
      </c>
      <c r="CP20" s="1">
        <f t="shared" si="10"/>
        <v>0</v>
      </c>
      <c r="CQ20" s="1">
        <f t="shared" si="10"/>
        <v>0</v>
      </c>
      <c r="CR20" s="1">
        <f t="shared" si="10"/>
        <v>0</v>
      </c>
      <c r="CS20" s="1">
        <f t="shared" si="10"/>
        <v>0</v>
      </c>
      <c r="CT20" s="1">
        <f t="shared" si="10"/>
        <v>0</v>
      </c>
      <c r="CU20" s="1">
        <f t="shared" si="10"/>
        <v>0</v>
      </c>
      <c r="CV20" s="1">
        <f t="shared" si="10"/>
        <v>0</v>
      </c>
      <c r="CW20" s="1">
        <f t="shared" si="10"/>
        <v>0</v>
      </c>
      <c r="CX20" s="1">
        <f t="shared" si="13"/>
        <v>0</v>
      </c>
      <c r="CY20" s="1">
        <f t="shared" si="13"/>
        <v>0</v>
      </c>
      <c r="CZ20" s="1">
        <f t="shared" si="13"/>
        <v>0</v>
      </c>
      <c r="DA20" s="1">
        <f t="shared" si="11"/>
        <v>0</v>
      </c>
      <c r="DB20" s="1">
        <f t="shared" si="11"/>
        <v>0</v>
      </c>
      <c r="DC20" s="1">
        <f t="shared" si="11"/>
        <v>0</v>
      </c>
      <c r="DD20" s="1">
        <f t="shared" si="11"/>
        <v>0</v>
      </c>
      <c r="DE20" s="1">
        <f t="shared" si="11"/>
        <v>0</v>
      </c>
      <c r="DF20" s="1">
        <f t="shared" si="11"/>
        <v>0</v>
      </c>
      <c r="DG20" s="1">
        <f t="shared" si="11"/>
        <v>0</v>
      </c>
      <c r="DH20" s="1">
        <f t="shared" si="11"/>
        <v>0</v>
      </c>
      <c r="DI20" s="1">
        <f t="shared" si="11"/>
        <v>0</v>
      </c>
      <c r="DJ20" s="1">
        <f t="shared" si="11"/>
        <v>0</v>
      </c>
      <c r="DK20" s="1">
        <f t="shared" si="11"/>
        <v>0</v>
      </c>
      <c r="DL20" s="25"/>
      <c r="DM20" s="25"/>
      <c r="DN20" s="24"/>
      <c r="DO20" s="25"/>
      <c r="DP20" s="25"/>
      <c r="DQ20" s="25"/>
      <c r="DR20" s="25"/>
      <c r="DS20" s="25"/>
      <c r="DT20" s="25"/>
      <c r="DU20" s="25"/>
      <c r="DV20" s="25"/>
    </row>
    <row r="21" spans="1:126" x14ac:dyDescent="0.25">
      <c r="A21" s="261">
        <v>42583</v>
      </c>
      <c r="B21" s="262">
        <f t="shared" si="0"/>
        <v>2016</v>
      </c>
      <c r="C21" s="262">
        <f t="shared" si="1"/>
        <v>8</v>
      </c>
      <c r="D21" s="263">
        <v>51457074.698908903</v>
      </c>
      <c r="E21" s="263">
        <f>IFERROR(VLOOKUP($B21-1,CDM!$L$7:$T$18,2,FALSE)/12,0)+IFERROR(VLOOKUP($B21,CDM!$L$36:$T$46,2,FALSE)/24,0)+IFERROR(VLOOKUP($B21,CDM!$L$36:$T$46,2,FALSE)/2*$C21/78,0)</f>
        <v>738839.9150641025</v>
      </c>
      <c r="F21" s="263">
        <f t="shared" si="2"/>
        <v>52195914.613973007</v>
      </c>
      <c r="G21" s="264">
        <v>50200</v>
      </c>
      <c r="H21" s="263">
        <v>12103469.592723427</v>
      </c>
      <c r="I21" s="263">
        <f>IFERROR(VLOOKUP($B21-1,CDM!$L$7:$T$18,3,FALSE)/12,0)+IFERROR(VLOOKUP($B21,CDM!$L$36:$T$46,3,FALSE)/24,0)+IFERROR(VLOOKUP($B21,CDM!$L$36:$T$46,3,FALSE)/2*$C21/78,0)</f>
        <v>203463.07988782052</v>
      </c>
      <c r="J21" s="263">
        <f t="shared" si="6"/>
        <v>12306932.672611248</v>
      </c>
      <c r="K21" s="265">
        <v>4165</v>
      </c>
      <c r="L21" s="4">
        <v>29901858.329643179</v>
      </c>
      <c r="M21" s="266">
        <f>IFERROR(VLOOKUP($B21-1,CDM!$L$7:$T$18,4,FALSE)/12,0)+IFERROR(VLOOKUP($B21,CDM!$L$36:$T$46,4,FALSE)/24,0)+IFERROR(VLOOKUP($B21,CDM!$L$36:$T$46,4,FALSE)/2*$C21/78,0)</f>
        <v>201945.59987179487</v>
      </c>
      <c r="N21" s="263">
        <f t="shared" si="3"/>
        <v>30103803.929514974</v>
      </c>
      <c r="O21" s="4">
        <v>73658</v>
      </c>
      <c r="P21" s="265">
        <v>520</v>
      </c>
      <c r="Q21" s="265">
        <v>8702300.5564617217</v>
      </c>
      <c r="R21" s="265">
        <f>IFERROR(VLOOKUP($B21-1,CDM!$L$7:$T$18,5,FALSE)/12,0)+IFERROR(VLOOKUP($B21,CDM!$L$36:$T$46,5,FALSE)/24,0)+IFERROR(VLOOKUP($B21,CDM!$L$36:$T$46,5,FALSE)/2*$C21/78,0)</f>
        <v>879197.25613782043</v>
      </c>
      <c r="S21" s="265">
        <f t="shared" si="7"/>
        <v>9581497.8125995416</v>
      </c>
      <c r="T21" s="265">
        <v>19324</v>
      </c>
      <c r="U21" s="265">
        <v>13</v>
      </c>
      <c r="V21" s="265">
        <v>3656370.200016906</v>
      </c>
      <c r="W21" s="265">
        <f>IFERROR(VLOOKUP($B21-1,CDM!$L$7:$T$18,6,FALSE)/12,0)+IFERROR(VLOOKUP($B21,CDM!$L$36:$T$46,6,FALSE)/24,0)+IFERROR(VLOOKUP($B21,CDM!$L$36:$T$46,6,FALSE)/2*$C21/78,0)</f>
        <v>0</v>
      </c>
      <c r="X21" s="265">
        <f t="shared" si="8"/>
        <v>3656370.200016906</v>
      </c>
      <c r="Y21" s="265">
        <v>9105</v>
      </c>
      <c r="Z21" s="265">
        <v>1</v>
      </c>
      <c r="AA21" s="4">
        <v>639096.39729097299</v>
      </c>
      <c r="AB21" s="4">
        <v>2238</v>
      </c>
      <c r="AC21" s="265">
        <v>12993</v>
      </c>
      <c r="AD21" s="265">
        <v>2179.9923707800881</v>
      </c>
      <c r="AE21" s="265">
        <v>0</v>
      </c>
      <c r="AF21" s="265">
        <v>23</v>
      </c>
      <c r="AG21" s="4">
        <v>207738</v>
      </c>
      <c r="AH21" s="4">
        <v>247</v>
      </c>
      <c r="AI21" s="28">
        <f>Economic!H23</f>
        <v>743976.2</v>
      </c>
      <c r="AJ21" s="28">
        <f>Economic!I23</f>
        <v>571846.40000000002</v>
      </c>
      <c r="AK21" s="28">
        <f>Economic!J23</f>
        <v>51922</v>
      </c>
      <c r="AL21" s="28">
        <f>Economic!K23</f>
        <v>746606</v>
      </c>
      <c r="AM21" s="28">
        <f>Economic!L23</f>
        <v>574136</v>
      </c>
      <c r="AN21" s="28">
        <f>Economic!M23</f>
        <v>30035</v>
      </c>
      <c r="AO21" s="28">
        <f>Economic!D23</f>
        <v>6953.5</v>
      </c>
      <c r="AP21" s="28">
        <f>Economic!E23</f>
        <v>7045.6</v>
      </c>
      <c r="AQ21" s="28">
        <f>Economic!F23</f>
        <v>209.3</v>
      </c>
      <c r="AR21" s="28">
        <f>Economic!G23</f>
        <v>211.2</v>
      </c>
      <c r="AS21" s="28">
        <f>Economic!N23</f>
        <v>56.699999999999818</v>
      </c>
      <c r="AT21" s="28">
        <f>Economic!O23</f>
        <v>45.400000000000546</v>
      </c>
      <c r="AU21" s="28">
        <f>Economic!P23</f>
        <v>26.300000000000011</v>
      </c>
      <c r="AV21" s="28">
        <f>Economic!Q23</f>
        <v>25.399999999999977</v>
      </c>
      <c r="AW21" s="28">
        <f>Economic!R23</f>
        <v>16366.599999999977</v>
      </c>
      <c r="AX21" s="28">
        <f>Economic!S23</f>
        <v>5974</v>
      </c>
      <c r="AY21" s="7">
        <f>Weather!D21</f>
        <v>22.581451612903233</v>
      </c>
      <c r="AZ21" s="7">
        <f>Weather!E21</f>
        <v>4.029166666666665</v>
      </c>
      <c r="BA21" s="7">
        <f>Weather!F21</f>
        <v>84.054166666666674</v>
      </c>
      <c r="BB21" s="7">
        <f>Weather!G21</f>
        <v>1.1291666666666664</v>
      </c>
      <c r="BC21" s="7">
        <f>Weather!H21</f>
        <v>143.1541666666667</v>
      </c>
      <c r="BD21" s="7">
        <f>Weather!I21</f>
        <v>0</v>
      </c>
      <c r="BE21" s="7">
        <f>Weather!J21</f>
        <v>204.02500000000006</v>
      </c>
      <c r="BF21" s="7">
        <f>Weather!K21</f>
        <v>0</v>
      </c>
      <c r="BG21" s="7">
        <f>Weather!L21</f>
        <v>266.02500000000003</v>
      </c>
      <c r="BH21" s="7">
        <f>Weather!M21</f>
        <v>0</v>
      </c>
      <c r="BI21" s="7">
        <f>Weather!N21</f>
        <v>328.02499999999998</v>
      </c>
      <c r="BJ21" s="7">
        <f>Weather!O21</f>
        <v>0</v>
      </c>
      <c r="BK21" s="7">
        <f>Weather!P21</f>
        <v>390.02499999999998</v>
      </c>
      <c r="BL21" s="7">
        <f>Weather!Q21</f>
        <v>0</v>
      </c>
      <c r="BM21" s="7">
        <f>Weather!R21</f>
        <v>452.02499999999998</v>
      </c>
      <c r="BN21" s="1">
        <v>0</v>
      </c>
      <c r="BO21" s="1">
        <v>0</v>
      </c>
      <c r="BP21" s="1">
        <v>0</v>
      </c>
      <c r="BQ21" s="1">
        <v>0</v>
      </c>
      <c r="BR21" s="1">
        <v>0</v>
      </c>
      <c r="BS21" s="1">
        <v>0</v>
      </c>
      <c r="BT21" s="1">
        <v>0</v>
      </c>
      <c r="BU21" s="1">
        <v>1</v>
      </c>
      <c r="BV21" s="1">
        <v>0</v>
      </c>
      <c r="BW21" s="1">
        <v>0</v>
      </c>
      <c r="BX21" s="1">
        <v>0</v>
      </c>
      <c r="BY21" s="1">
        <v>0</v>
      </c>
      <c r="BZ21" s="1">
        <v>0</v>
      </c>
      <c r="CA21" s="1">
        <v>0</v>
      </c>
      <c r="CB21" s="1">
        <v>0</v>
      </c>
      <c r="CC21" s="1">
        <f t="shared" si="9"/>
        <v>20</v>
      </c>
      <c r="CD21" s="1">
        <v>31</v>
      </c>
      <c r="CE21" s="1">
        <v>22</v>
      </c>
      <c r="CF21" s="1">
        <v>0</v>
      </c>
      <c r="CG21" s="1">
        <v>0</v>
      </c>
      <c r="CH21" s="1">
        <v>0</v>
      </c>
      <c r="CI21" s="1">
        <v>0</v>
      </c>
      <c r="CJ21" s="1">
        <f t="shared" si="12"/>
        <v>0</v>
      </c>
      <c r="CK21" s="1">
        <f t="shared" si="12"/>
        <v>0</v>
      </c>
      <c r="CL21" s="1">
        <f t="shared" si="12"/>
        <v>0</v>
      </c>
      <c r="CM21" s="1">
        <f t="shared" si="10"/>
        <v>0</v>
      </c>
      <c r="CN21" s="1">
        <f t="shared" si="10"/>
        <v>0</v>
      </c>
      <c r="CO21" s="1">
        <f t="shared" si="10"/>
        <v>0</v>
      </c>
      <c r="CP21" s="1">
        <f t="shared" si="10"/>
        <v>0</v>
      </c>
      <c r="CQ21" s="1">
        <f t="shared" si="10"/>
        <v>0</v>
      </c>
      <c r="CR21" s="1">
        <f t="shared" si="10"/>
        <v>0</v>
      </c>
      <c r="CS21" s="1">
        <f t="shared" si="10"/>
        <v>0</v>
      </c>
      <c r="CT21" s="1">
        <f t="shared" si="10"/>
        <v>0</v>
      </c>
      <c r="CU21" s="1">
        <f t="shared" si="10"/>
        <v>0</v>
      </c>
      <c r="CV21" s="1">
        <f t="shared" si="10"/>
        <v>0</v>
      </c>
      <c r="CW21" s="1">
        <f t="shared" si="10"/>
        <v>0</v>
      </c>
      <c r="CX21" s="1">
        <f t="shared" si="13"/>
        <v>0</v>
      </c>
      <c r="CY21" s="1">
        <f t="shared" si="13"/>
        <v>0</v>
      </c>
      <c r="CZ21" s="1">
        <f t="shared" si="13"/>
        <v>0</v>
      </c>
      <c r="DA21" s="1">
        <f t="shared" si="11"/>
        <v>0</v>
      </c>
      <c r="DB21" s="1">
        <f t="shared" si="11"/>
        <v>0</v>
      </c>
      <c r="DC21" s="1">
        <f t="shared" si="11"/>
        <v>0</v>
      </c>
      <c r="DD21" s="1">
        <f t="shared" si="11"/>
        <v>0</v>
      </c>
      <c r="DE21" s="1">
        <f t="shared" si="11"/>
        <v>0</v>
      </c>
      <c r="DF21" s="1">
        <f t="shared" si="11"/>
        <v>0</v>
      </c>
      <c r="DG21" s="1">
        <f t="shared" si="11"/>
        <v>0</v>
      </c>
      <c r="DH21" s="1">
        <f t="shared" si="11"/>
        <v>0</v>
      </c>
      <c r="DI21" s="1">
        <f t="shared" si="11"/>
        <v>0</v>
      </c>
      <c r="DJ21" s="1">
        <f t="shared" si="11"/>
        <v>0</v>
      </c>
      <c r="DK21" s="1">
        <f t="shared" si="11"/>
        <v>0</v>
      </c>
      <c r="DL21" s="25"/>
      <c r="DM21" s="25"/>
      <c r="DN21" s="24"/>
      <c r="DO21" s="25"/>
      <c r="DP21" s="25"/>
      <c r="DQ21" s="25"/>
      <c r="DR21" s="25"/>
      <c r="DS21" s="25"/>
      <c r="DT21" s="25"/>
      <c r="DU21" s="25"/>
      <c r="DV21" s="25"/>
    </row>
    <row r="22" spans="1:126" x14ac:dyDescent="0.25">
      <c r="A22" s="261">
        <v>42614</v>
      </c>
      <c r="B22" s="262">
        <f t="shared" si="0"/>
        <v>2016</v>
      </c>
      <c r="C22" s="262">
        <f t="shared" si="1"/>
        <v>9</v>
      </c>
      <c r="D22" s="263">
        <v>41323387.053584211</v>
      </c>
      <c r="E22" s="263">
        <f>IFERROR(VLOOKUP($B22-1,CDM!$L$7:$T$18,2,FALSE)/12,0)+IFERROR(VLOOKUP($B22,CDM!$L$36:$T$46,2,FALSE)/24,0)+IFERROR(VLOOKUP($B22,CDM!$L$36:$T$46,2,FALSE)/2*$C22/78,0)</f>
        <v>779760.719551282</v>
      </c>
      <c r="F22" s="263">
        <f t="shared" si="2"/>
        <v>42103147.773135491</v>
      </c>
      <c r="G22" s="264">
        <v>50974</v>
      </c>
      <c r="H22" s="263">
        <v>10447603.063017333</v>
      </c>
      <c r="I22" s="263">
        <f>IFERROR(VLOOKUP($B22-1,CDM!$L$7:$T$18,3,FALSE)/12,0)+IFERROR(VLOOKUP($B22,CDM!$L$36:$T$46,3,FALSE)/24,0)+IFERROR(VLOOKUP($B22,CDM!$L$36:$T$46,3,FALSE)/2*$C22/78,0)</f>
        <v>214534.51286858972</v>
      </c>
      <c r="J22" s="263">
        <f t="shared" si="6"/>
        <v>10662137.575885922</v>
      </c>
      <c r="K22" s="265">
        <v>4177</v>
      </c>
      <c r="L22" s="4">
        <v>25127678.072240893</v>
      </c>
      <c r="M22" s="266">
        <f>IFERROR(VLOOKUP($B22-1,CDM!$L$7:$T$18,4,FALSE)/12,0)+IFERROR(VLOOKUP($B22,CDM!$L$36:$T$46,4,FALSE)/24,0)+IFERROR(VLOOKUP($B22,CDM!$L$36:$T$46,4,FALSE)/2*$C22/78,0)</f>
        <v>211743.75923076924</v>
      </c>
      <c r="N22" s="263">
        <f t="shared" si="3"/>
        <v>25339421.831471663</v>
      </c>
      <c r="O22" s="4">
        <v>70883</v>
      </c>
      <c r="P22" s="265">
        <v>520</v>
      </c>
      <c r="Q22" s="265">
        <v>7830524.5268006735</v>
      </c>
      <c r="R22" s="265">
        <f>IFERROR(VLOOKUP($B22-1,CDM!$L$7:$T$18,5,FALSE)/12,0)+IFERROR(VLOOKUP($B22,CDM!$L$36:$T$46,5,FALSE)/24,0)+IFERROR(VLOOKUP($B22,CDM!$L$36:$T$46,5,FALSE)/2*$C22/78,0)</f>
        <v>912099.25995192304</v>
      </c>
      <c r="S22" s="265">
        <f t="shared" si="7"/>
        <v>8742623.7867525965</v>
      </c>
      <c r="T22" s="265">
        <v>18690</v>
      </c>
      <c r="U22" s="265">
        <v>13</v>
      </c>
      <c r="V22" s="265">
        <v>3775313.6989102969</v>
      </c>
      <c r="W22" s="265">
        <f>IFERROR(VLOOKUP($B22-1,CDM!$L$7:$T$18,6,FALSE)/12,0)+IFERROR(VLOOKUP($B22,CDM!$L$36:$T$46,6,FALSE)/24,0)+IFERROR(VLOOKUP($B22,CDM!$L$36:$T$46,6,FALSE)/2*$C22/78,0)</f>
        <v>0</v>
      </c>
      <c r="X22" s="265">
        <f t="shared" si="8"/>
        <v>3775313.6989102969</v>
      </c>
      <c r="Y22" s="265">
        <v>9649</v>
      </c>
      <c r="Z22" s="265">
        <v>1</v>
      </c>
      <c r="AA22" s="4">
        <v>632154.56154084823</v>
      </c>
      <c r="AB22" s="4">
        <v>2173</v>
      </c>
      <c r="AC22" s="265">
        <v>12993</v>
      </c>
      <c r="AD22" s="265">
        <v>2134.3887087545299</v>
      </c>
      <c r="AE22" s="265">
        <v>0</v>
      </c>
      <c r="AF22" s="265">
        <v>23</v>
      </c>
      <c r="AG22" s="4">
        <v>208307</v>
      </c>
      <c r="AH22" s="4">
        <v>247</v>
      </c>
      <c r="AI22" s="28">
        <f>Economic!H24</f>
        <v>743976.2</v>
      </c>
      <c r="AJ22" s="28">
        <f>Economic!I24</f>
        <v>571846.40000000002</v>
      </c>
      <c r="AK22" s="28">
        <f>Economic!J24</f>
        <v>51922</v>
      </c>
      <c r="AL22" s="28">
        <f>Economic!K24</f>
        <v>746606</v>
      </c>
      <c r="AM22" s="28">
        <f>Economic!L24</f>
        <v>574136</v>
      </c>
      <c r="AN22" s="28">
        <f>Economic!M24</f>
        <v>30035</v>
      </c>
      <c r="AO22" s="28">
        <f>Economic!D24</f>
        <v>6950.1</v>
      </c>
      <c r="AP22" s="28">
        <f>Economic!E24</f>
        <v>6998.1</v>
      </c>
      <c r="AQ22" s="28">
        <f>Economic!F24</f>
        <v>213.5</v>
      </c>
      <c r="AR22" s="28">
        <f>Economic!G24</f>
        <v>213.3</v>
      </c>
      <c r="AS22" s="28">
        <f>Economic!N24</f>
        <v>57</v>
      </c>
      <c r="AT22" s="28">
        <f>Economic!O24</f>
        <v>44.400000000000546</v>
      </c>
      <c r="AU22" s="28">
        <f>Economic!P24</f>
        <v>31.800000000000011</v>
      </c>
      <c r="AV22" s="28">
        <f>Economic!Q24</f>
        <v>30.300000000000011</v>
      </c>
      <c r="AW22" s="28">
        <f>Economic!R24</f>
        <v>16366.599999999977</v>
      </c>
      <c r="AX22" s="28">
        <f>Economic!S24</f>
        <v>5974</v>
      </c>
      <c r="AY22" s="7">
        <f>Weather!D22</f>
        <v>17.858055555555556</v>
      </c>
      <c r="AZ22" s="7">
        <f>Weather!E22</f>
        <v>80.145833333333343</v>
      </c>
      <c r="BA22" s="7">
        <f>Weather!F22</f>
        <v>15.887500000000006</v>
      </c>
      <c r="BB22" s="7">
        <f>Weather!G22</f>
        <v>40.929166666666667</v>
      </c>
      <c r="BC22" s="7">
        <f>Weather!H22</f>
        <v>36.670833333333334</v>
      </c>
      <c r="BD22" s="7">
        <f>Weather!I22</f>
        <v>15.7875</v>
      </c>
      <c r="BE22" s="7">
        <f>Weather!J22</f>
        <v>71.529166666666654</v>
      </c>
      <c r="BF22" s="7">
        <f>Weather!K22</f>
        <v>4.9124999999999979</v>
      </c>
      <c r="BG22" s="7">
        <f>Weather!L22</f>
        <v>120.65416666666664</v>
      </c>
      <c r="BH22" s="7">
        <f>Weather!M22</f>
        <v>0.8125</v>
      </c>
      <c r="BI22" s="7">
        <f>Weather!N22</f>
        <v>176.5541666666667</v>
      </c>
      <c r="BJ22" s="7">
        <f>Weather!O22</f>
        <v>0</v>
      </c>
      <c r="BK22" s="7">
        <f>Weather!P22</f>
        <v>235.7416666666667</v>
      </c>
      <c r="BL22" s="7">
        <f>Weather!Q22</f>
        <v>0</v>
      </c>
      <c r="BM22" s="7">
        <f>Weather!R22</f>
        <v>295.74166666666667</v>
      </c>
      <c r="BN22" s="1">
        <v>0</v>
      </c>
      <c r="BO22" s="1">
        <v>0</v>
      </c>
      <c r="BP22" s="1">
        <v>0</v>
      </c>
      <c r="BQ22" s="1">
        <v>0</v>
      </c>
      <c r="BR22" s="1">
        <v>0</v>
      </c>
      <c r="BS22" s="1">
        <v>0</v>
      </c>
      <c r="BT22" s="1">
        <v>0</v>
      </c>
      <c r="BU22" s="1">
        <v>0</v>
      </c>
      <c r="BV22" s="1">
        <v>1</v>
      </c>
      <c r="BW22" s="1">
        <v>0</v>
      </c>
      <c r="BX22" s="1">
        <v>0</v>
      </c>
      <c r="BY22" s="1">
        <v>0</v>
      </c>
      <c r="BZ22" s="1">
        <v>0</v>
      </c>
      <c r="CA22" s="1">
        <v>1</v>
      </c>
      <c r="CB22" s="1">
        <v>1</v>
      </c>
      <c r="CC22" s="1">
        <f t="shared" si="9"/>
        <v>21</v>
      </c>
      <c r="CD22" s="1">
        <v>30</v>
      </c>
      <c r="CE22" s="1">
        <v>21</v>
      </c>
      <c r="CF22" s="1">
        <v>0</v>
      </c>
      <c r="CG22" s="1">
        <v>0</v>
      </c>
      <c r="CH22" s="1">
        <v>0</v>
      </c>
      <c r="CI22" s="1">
        <v>0</v>
      </c>
      <c r="CJ22" s="1">
        <f t="shared" si="12"/>
        <v>0</v>
      </c>
      <c r="CK22" s="1">
        <f t="shared" si="12"/>
        <v>0</v>
      </c>
      <c r="CL22" s="1">
        <f t="shared" si="12"/>
        <v>0</v>
      </c>
      <c r="CM22" s="1">
        <f t="shared" si="10"/>
        <v>0</v>
      </c>
      <c r="CN22" s="1">
        <f t="shared" si="10"/>
        <v>0</v>
      </c>
      <c r="CO22" s="1">
        <f t="shared" si="10"/>
        <v>0</v>
      </c>
      <c r="CP22" s="1">
        <f t="shared" si="10"/>
        <v>0</v>
      </c>
      <c r="CQ22" s="1">
        <f t="shared" si="10"/>
        <v>0</v>
      </c>
      <c r="CR22" s="1">
        <f t="shared" si="10"/>
        <v>0</v>
      </c>
      <c r="CS22" s="1">
        <f t="shared" si="10"/>
        <v>0</v>
      </c>
      <c r="CT22" s="1">
        <f t="shared" si="10"/>
        <v>0</v>
      </c>
      <c r="CU22" s="1">
        <f t="shared" si="10"/>
        <v>0</v>
      </c>
      <c r="CV22" s="1">
        <f t="shared" si="10"/>
        <v>0</v>
      </c>
      <c r="CW22" s="1">
        <f t="shared" si="10"/>
        <v>0</v>
      </c>
      <c r="CX22" s="1">
        <f t="shared" si="13"/>
        <v>0</v>
      </c>
      <c r="CY22" s="1">
        <f t="shared" si="13"/>
        <v>0</v>
      </c>
      <c r="CZ22" s="1">
        <f t="shared" si="13"/>
        <v>0</v>
      </c>
      <c r="DA22" s="1">
        <f t="shared" si="11"/>
        <v>0</v>
      </c>
      <c r="DB22" s="1">
        <f t="shared" si="11"/>
        <v>0</v>
      </c>
      <c r="DC22" s="1">
        <f t="shared" si="11"/>
        <v>0</v>
      </c>
      <c r="DD22" s="1">
        <f t="shared" si="11"/>
        <v>0</v>
      </c>
      <c r="DE22" s="1">
        <f t="shared" si="11"/>
        <v>0</v>
      </c>
      <c r="DF22" s="1">
        <f t="shared" si="11"/>
        <v>0</v>
      </c>
      <c r="DG22" s="1">
        <f t="shared" si="11"/>
        <v>0</v>
      </c>
      <c r="DH22" s="1">
        <f t="shared" si="11"/>
        <v>0</v>
      </c>
      <c r="DI22" s="1">
        <f t="shared" si="11"/>
        <v>0</v>
      </c>
      <c r="DJ22" s="1">
        <f t="shared" si="11"/>
        <v>0</v>
      </c>
      <c r="DK22" s="1">
        <f t="shared" si="11"/>
        <v>0</v>
      </c>
      <c r="DL22" s="25"/>
      <c r="DM22" s="25"/>
      <c r="DN22" s="24"/>
      <c r="DO22" s="25"/>
      <c r="DP22" s="25"/>
      <c r="DQ22" s="25"/>
      <c r="DR22" s="25"/>
      <c r="DS22" s="25"/>
      <c r="DT22" s="25"/>
      <c r="DU22" s="25"/>
      <c r="DV22" s="25"/>
    </row>
    <row r="23" spans="1:126" x14ac:dyDescent="0.25">
      <c r="A23" s="261">
        <v>42644</v>
      </c>
      <c r="B23" s="262">
        <f t="shared" si="0"/>
        <v>2016</v>
      </c>
      <c r="C23" s="262">
        <f t="shared" si="1"/>
        <v>10</v>
      </c>
      <c r="D23" s="263">
        <v>31078402.68779869</v>
      </c>
      <c r="E23" s="263">
        <f>IFERROR(VLOOKUP($B23-1,CDM!$L$7:$T$18,2,FALSE)/12,0)+IFERROR(VLOOKUP($B23,CDM!$L$36:$T$46,2,FALSE)/24,0)+IFERROR(VLOOKUP($B23,CDM!$L$36:$T$46,2,FALSE)/2*$C23/78,0)</f>
        <v>820681.5240384615</v>
      </c>
      <c r="F23" s="263">
        <f t="shared" si="2"/>
        <v>31899084.21183715</v>
      </c>
      <c r="G23" s="264">
        <v>51681</v>
      </c>
      <c r="H23" s="263">
        <v>9824572.6010450833</v>
      </c>
      <c r="I23" s="263">
        <f>IFERROR(VLOOKUP($B23-1,CDM!$L$7:$T$18,3,FALSE)/12,0)+IFERROR(VLOOKUP($B23,CDM!$L$36:$T$46,3,FALSE)/24,0)+IFERROR(VLOOKUP($B23,CDM!$L$36:$T$46,3,FALSE)/2*$C23/78,0)</f>
        <v>225605.94584935898</v>
      </c>
      <c r="J23" s="263">
        <f t="shared" si="6"/>
        <v>10050178.546894442</v>
      </c>
      <c r="K23" s="265">
        <v>4154</v>
      </c>
      <c r="L23" s="4">
        <v>26209949.770736028</v>
      </c>
      <c r="M23" s="266">
        <f>IFERROR(VLOOKUP($B23-1,CDM!$L$7:$T$18,4,FALSE)/12,0)+IFERROR(VLOOKUP($B23,CDM!$L$36:$T$46,4,FALSE)/24,0)+IFERROR(VLOOKUP($B23,CDM!$L$36:$T$46,4,FALSE)/2*$C23/78,0)</f>
        <v>221541.91858974358</v>
      </c>
      <c r="N23" s="263">
        <f t="shared" si="3"/>
        <v>26431491.689325772</v>
      </c>
      <c r="O23" s="4">
        <v>70207</v>
      </c>
      <c r="P23" s="265">
        <v>521</v>
      </c>
      <c r="Q23" s="265">
        <v>6729377.3410356538</v>
      </c>
      <c r="R23" s="265">
        <f>IFERROR(VLOOKUP($B23-1,CDM!$L$7:$T$18,5,FALSE)/12,0)+IFERROR(VLOOKUP($B23,CDM!$L$36:$T$46,5,FALSE)/24,0)+IFERROR(VLOOKUP($B23,CDM!$L$36:$T$46,5,FALSE)/2*$C23/78,0)</f>
        <v>945001.26376602554</v>
      </c>
      <c r="S23" s="265">
        <f t="shared" si="7"/>
        <v>7674378.604801679</v>
      </c>
      <c r="T23" s="265">
        <v>16722</v>
      </c>
      <c r="U23" s="265">
        <v>13</v>
      </c>
      <c r="V23" s="265">
        <v>3484851.2475000508</v>
      </c>
      <c r="W23" s="265">
        <f>IFERROR(VLOOKUP($B23-1,CDM!$L$7:$T$18,6,FALSE)/12,0)+IFERROR(VLOOKUP($B23,CDM!$L$36:$T$46,6,FALSE)/24,0)+IFERROR(VLOOKUP($B23,CDM!$L$36:$T$46,6,FALSE)/2*$C23/78,0)</f>
        <v>0</v>
      </c>
      <c r="X23" s="265">
        <f t="shared" si="8"/>
        <v>3484851.2475000508</v>
      </c>
      <c r="Y23" s="265">
        <v>8298</v>
      </c>
      <c r="Z23" s="265">
        <v>1</v>
      </c>
      <c r="AA23" s="4">
        <v>877105.31296270562</v>
      </c>
      <c r="AB23" s="4">
        <v>2175</v>
      </c>
      <c r="AC23" s="265">
        <v>13019</v>
      </c>
      <c r="AD23" s="265">
        <v>2155.2736982643523</v>
      </c>
      <c r="AE23" s="265">
        <v>0</v>
      </c>
      <c r="AF23" s="265">
        <v>23</v>
      </c>
      <c r="AG23" s="4">
        <v>208072</v>
      </c>
      <c r="AH23" s="4">
        <v>247</v>
      </c>
      <c r="AI23" s="28">
        <f>Economic!H25</f>
        <v>743976.2</v>
      </c>
      <c r="AJ23" s="28">
        <f>Economic!I25</f>
        <v>571846.40000000002</v>
      </c>
      <c r="AK23" s="28">
        <f>Economic!J25</f>
        <v>51922</v>
      </c>
      <c r="AL23" s="28">
        <f>Economic!K25</f>
        <v>745380</v>
      </c>
      <c r="AM23" s="28">
        <f>Economic!L25</f>
        <v>574771</v>
      </c>
      <c r="AN23" s="28">
        <f>Economic!M25</f>
        <v>30202</v>
      </c>
      <c r="AO23" s="28">
        <f>Economic!D25</f>
        <v>6963.9</v>
      </c>
      <c r="AP23" s="28">
        <f>Economic!E25</f>
        <v>6990.5</v>
      </c>
      <c r="AQ23" s="28">
        <f>Economic!F25</f>
        <v>214.3</v>
      </c>
      <c r="AR23" s="28">
        <f>Economic!G25</f>
        <v>213.5</v>
      </c>
      <c r="AS23" s="28">
        <f>Economic!N25</f>
        <v>71</v>
      </c>
      <c r="AT23" s="28">
        <f>Economic!O25</f>
        <v>57.699999999999818</v>
      </c>
      <c r="AU23" s="28">
        <f>Economic!P25</f>
        <v>27.200000000000017</v>
      </c>
      <c r="AV23" s="28">
        <f>Economic!Q25</f>
        <v>26</v>
      </c>
      <c r="AW23" s="28">
        <f>Economic!R25</f>
        <v>16366.599999999977</v>
      </c>
      <c r="AX23" s="28">
        <f>Economic!S25</f>
        <v>-1226</v>
      </c>
      <c r="AY23" s="7">
        <f>Weather!D23</f>
        <v>10.864650537634409</v>
      </c>
      <c r="AZ23" s="7">
        <f>Weather!E23</f>
        <v>283.19583333333327</v>
      </c>
      <c r="BA23" s="7">
        <f>Weather!F23</f>
        <v>0</v>
      </c>
      <c r="BB23" s="7">
        <f>Weather!G23</f>
        <v>222.13333333333333</v>
      </c>
      <c r="BC23" s="7">
        <f>Weather!H23</f>
        <v>0.93750000000000355</v>
      </c>
      <c r="BD23" s="7">
        <f>Weather!I23</f>
        <v>166.45</v>
      </c>
      <c r="BE23" s="7">
        <f>Weather!J23</f>
        <v>7.2541666666666735</v>
      </c>
      <c r="BF23" s="7">
        <f>Weather!K23</f>
        <v>121.96666666666667</v>
      </c>
      <c r="BG23" s="7">
        <f>Weather!L23</f>
        <v>24.770833333333336</v>
      </c>
      <c r="BH23" s="7">
        <f>Weather!M23</f>
        <v>87.579166666666666</v>
      </c>
      <c r="BI23" s="7">
        <f>Weather!N23</f>
        <v>52.383333333333333</v>
      </c>
      <c r="BJ23" s="7">
        <f>Weather!O23</f>
        <v>58.995833333333337</v>
      </c>
      <c r="BK23" s="7">
        <f>Weather!P23</f>
        <v>85.800000000000011</v>
      </c>
      <c r="BL23" s="7">
        <f>Weather!Q23</f>
        <v>33.25</v>
      </c>
      <c r="BM23" s="7">
        <f>Weather!R23</f>
        <v>122.05416666666669</v>
      </c>
      <c r="BN23" s="1">
        <v>0</v>
      </c>
      <c r="BO23" s="1">
        <v>0</v>
      </c>
      <c r="BP23" s="1">
        <v>0</v>
      </c>
      <c r="BQ23" s="1">
        <v>0</v>
      </c>
      <c r="BR23" s="1">
        <v>0</v>
      </c>
      <c r="BS23" s="1">
        <v>0</v>
      </c>
      <c r="BT23" s="1">
        <v>0</v>
      </c>
      <c r="BU23" s="1">
        <v>0</v>
      </c>
      <c r="BV23" s="1">
        <v>0</v>
      </c>
      <c r="BW23" s="1">
        <v>1</v>
      </c>
      <c r="BX23" s="1">
        <v>0</v>
      </c>
      <c r="BY23" s="1">
        <v>0</v>
      </c>
      <c r="BZ23" s="1">
        <v>0</v>
      </c>
      <c r="CA23" s="1">
        <v>1</v>
      </c>
      <c r="CB23" s="1">
        <v>1</v>
      </c>
      <c r="CC23" s="1">
        <f t="shared" si="9"/>
        <v>22</v>
      </c>
      <c r="CD23" s="1">
        <v>31</v>
      </c>
      <c r="CE23" s="1">
        <v>20</v>
      </c>
      <c r="CF23" s="1">
        <v>0</v>
      </c>
      <c r="CG23" s="1">
        <v>0</v>
      </c>
      <c r="CH23" s="1">
        <v>0</v>
      </c>
      <c r="CI23" s="1">
        <v>0</v>
      </c>
      <c r="CJ23" s="1">
        <f t="shared" si="12"/>
        <v>0</v>
      </c>
      <c r="CK23" s="1">
        <f t="shared" si="12"/>
        <v>0</v>
      </c>
      <c r="CL23" s="1">
        <f t="shared" si="12"/>
        <v>0</v>
      </c>
      <c r="CM23" s="1">
        <f t="shared" si="10"/>
        <v>0</v>
      </c>
      <c r="CN23" s="1">
        <f t="shared" si="10"/>
        <v>0</v>
      </c>
      <c r="CO23" s="1">
        <f t="shared" si="10"/>
        <v>0</v>
      </c>
      <c r="CP23" s="1">
        <f t="shared" si="10"/>
        <v>0</v>
      </c>
      <c r="CQ23" s="1">
        <f t="shared" si="10"/>
        <v>0</v>
      </c>
      <c r="CR23" s="1">
        <f t="shared" si="10"/>
        <v>0</v>
      </c>
      <c r="CS23" s="1">
        <f t="shared" si="10"/>
        <v>0</v>
      </c>
      <c r="CT23" s="1">
        <f t="shared" si="10"/>
        <v>0</v>
      </c>
      <c r="CU23" s="1">
        <f t="shared" si="10"/>
        <v>0</v>
      </c>
      <c r="CV23" s="1">
        <f t="shared" si="10"/>
        <v>0</v>
      </c>
      <c r="CW23" s="1">
        <f t="shared" si="10"/>
        <v>0</v>
      </c>
      <c r="CX23" s="1">
        <f t="shared" si="13"/>
        <v>0</v>
      </c>
      <c r="CY23" s="1">
        <f t="shared" si="13"/>
        <v>0</v>
      </c>
      <c r="CZ23" s="1">
        <f t="shared" si="13"/>
        <v>0</v>
      </c>
      <c r="DA23" s="1">
        <f t="shared" si="11"/>
        <v>0</v>
      </c>
      <c r="DB23" s="1">
        <f t="shared" si="11"/>
        <v>0</v>
      </c>
      <c r="DC23" s="1">
        <f t="shared" si="11"/>
        <v>0</v>
      </c>
      <c r="DD23" s="1">
        <f t="shared" si="11"/>
        <v>0</v>
      </c>
      <c r="DE23" s="1">
        <f t="shared" si="11"/>
        <v>0</v>
      </c>
      <c r="DF23" s="1">
        <f t="shared" si="11"/>
        <v>0</v>
      </c>
      <c r="DG23" s="1">
        <f t="shared" si="11"/>
        <v>0</v>
      </c>
      <c r="DH23" s="1">
        <f t="shared" si="11"/>
        <v>0</v>
      </c>
      <c r="DI23" s="1">
        <f t="shared" si="11"/>
        <v>0</v>
      </c>
      <c r="DJ23" s="1">
        <f t="shared" si="11"/>
        <v>0</v>
      </c>
      <c r="DK23" s="1">
        <f t="shared" si="11"/>
        <v>0</v>
      </c>
      <c r="DL23" s="25"/>
      <c r="DM23" s="25"/>
      <c r="DN23" s="24"/>
      <c r="DO23" s="25"/>
      <c r="DP23" s="25"/>
      <c r="DQ23" s="25"/>
      <c r="DR23" s="25"/>
      <c r="DS23" s="25"/>
      <c r="DT23" s="25"/>
      <c r="DU23" s="25"/>
      <c r="DV23" s="25"/>
    </row>
    <row r="24" spans="1:126" x14ac:dyDescent="0.25">
      <c r="A24" s="261">
        <v>42675</v>
      </c>
      <c r="B24" s="262">
        <f t="shared" si="0"/>
        <v>2016</v>
      </c>
      <c r="C24" s="262">
        <f t="shared" si="1"/>
        <v>11</v>
      </c>
      <c r="D24" s="263">
        <v>34273595.313102454</v>
      </c>
      <c r="E24" s="263">
        <f>IFERROR(VLOOKUP($B24-1,CDM!$L$7:$T$18,2,FALSE)/12,0)+IFERROR(VLOOKUP($B24,CDM!$L$36:$T$46,2,FALSE)/24,0)+IFERROR(VLOOKUP($B24,CDM!$L$36:$T$46,2,FALSE)/2*$C24/78,0)</f>
        <v>861602.328525641</v>
      </c>
      <c r="F24" s="263">
        <f t="shared" si="2"/>
        <v>35135197.641628094</v>
      </c>
      <c r="G24" s="264">
        <v>52301</v>
      </c>
      <c r="H24" s="263">
        <v>10230967.21478804</v>
      </c>
      <c r="I24" s="263">
        <f>IFERROR(VLOOKUP($B24-1,CDM!$L$7:$T$18,3,FALSE)/12,0)+IFERROR(VLOOKUP($B24,CDM!$L$36:$T$46,3,FALSE)/24,0)+IFERROR(VLOOKUP($B24,CDM!$L$36:$T$46,3,FALSE)/2*$C24/78,0)</f>
        <v>236677.37883012817</v>
      </c>
      <c r="J24" s="263">
        <f t="shared" si="6"/>
        <v>10467644.593618168</v>
      </c>
      <c r="K24" s="265">
        <v>4148</v>
      </c>
      <c r="L24" s="4">
        <v>26253628.308804449</v>
      </c>
      <c r="M24" s="266">
        <f>IFERROR(VLOOKUP($B24-1,CDM!$L$7:$T$18,4,FALSE)/12,0)+IFERROR(VLOOKUP($B24,CDM!$L$36:$T$46,4,FALSE)/24,0)+IFERROR(VLOOKUP($B24,CDM!$L$36:$T$46,4,FALSE)/2*$C24/78,0)</f>
        <v>231340.07794871792</v>
      </c>
      <c r="N24" s="263">
        <f t="shared" si="3"/>
        <v>26484968.386753168</v>
      </c>
      <c r="O24" s="4">
        <v>67765</v>
      </c>
      <c r="P24" s="265">
        <v>521</v>
      </c>
      <c r="Q24" s="265">
        <v>6254479.4135262463</v>
      </c>
      <c r="R24" s="265">
        <f>IFERROR(VLOOKUP($B24-1,CDM!$L$7:$T$18,5,FALSE)/12,0)+IFERROR(VLOOKUP($B24,CDM!$L$36:$T$46,5,FALSE)/24,0)+IFERROR(VLOOKUP($B24,CDM!$L$36:$T$46,5,FALSE)/2*$C24/78,0)</f>
        <v>977903.26758012804</v>
      </c>
      <c r="S24" s="265">
        <f t="shared" si="7"/>
        <v>7232382.6811063746</v>
      </c>
      <c r="T24" s="265">
        <v>15706</v>
      </c>
      <c r="U24" s="265">
        <v>12</v>
      </c>
      <c r="V24" s="265">
        <v>3264640.2214974263</v>
      </c>
      <c r="W24" s="265">
        <f>IFERROR(VLOOKUP($B24-1,CDM!$L$7:$T$18,6,FALSE)/12,0)+IFERROR(VLOOKUP($B24,CDM!$L$36:$T$46,6,FALSE)/24,0)+IFERROR(VLOOKUP($B24,CDM!$L$36:$T$46,6,FALSE)/2*$C24/78,0)</f>
        <v>0</v>
      </c>
      <c r="X24" s="265">
        <f t="shared" si="8"/>
        <v>3264640.2214974263</v>
      </c>
      <c r="Y24" s="265">
        <v>8010</v>
      </c>
      <c r="Z24" s="265">
        <v>1</v>
      </c>
      <c r="AA24" s="4">
        <v>930990.86645702797</v>
      </c>
      <c r="AB24" s="4">
        <v>2178</v>
      </c>
      <c r="AC24" s="265">
        <v>13031</v>
      </c>
      <c r="AD24" s="265">
        <v>2134.3887087545299</v>
      </c>
      <c r="AE24" s="265">
        <v>0</v>
      </c>
      <c r="AF24" s="265">
        <v>23</v>
      </c>
      <c r="AG24" s="4">
        <v>208321</v>
      </c>
      <c r="AH24" s="4">
        <v>246</v>
      </c>
      <c r="AI24" s="28">
        <f>Economic!H26</f>
        <v>743976.2</v>
      </c>
      <c r="AJ24" s="28">
        <f>Economic!I26</f>
        <v>571846.40000000002</v>
      </c>
      <c r="AK24" s="28">
        <f>Economic!J26</f>
        <v>51922</v>
      </c>
      <c r="AL24" s="28">
        <f>Economic!K26</f>
        <v>745380</v>
      </c>
      <c r="AM24" s="28">
        <f>Economic!L26</f>
        <v>574771</v>
      </c>
      <c r="AN24" s="28">
        <f>Economic!M26</f>
        <v>30202</v>
      </c>
      <c r="AO24" s="28">
        <f>Economic!D26</f>
        <v>6977.8</v>
      </c>
      <c r="AP24" s="28">
        <f>Economic!E26</f>
        <v>6983.4</v>
      </c>
      <c r="AQ24" s="28">
        <f>Economic!F26</f>
        <v>215.1</v>
      </c>
      <c r="AR24" s="28">
        <f>Economic!G26</f>
        <v>214.1</v>
      </c>
      <c r="AS24" s="28">
        <f>Economic!N26</f>
        <v>91.600000000000364</v>
      </c>
      <c r="AT24" s="28">
        <f>Economic!O26</f>
        <v>85.199999999999818</v>
      </c>
      <c r="AU24" s="28">
        <f>Economic!P26</f>
        <v>22.599999999999994</v>
      </c>
      <c r="AV24" s="28">
        <f>Economic!Q26</f>
        <v>22</v>
      </c>
      <c r="AW24" s="28">
        <f>Economic!R26</f>
        <v>16366.599999999977</v>
      </c>
      <c r="AX24" s="28">
        <f>Economic!S26</f>
        <v>-1226</v>
      </c>
      <c r="AY24" s="7">
        <f>Weather!D24</f>
        <v>5.4221626984126994</v>
      </c>
      <c r="AZ24" s="7">
        <f>Weather!E24</f>
        <v>437.33511904761912</v>
      </c>
      <c r="BA24" s="7">
        <f>Weather!F24</f>
        <v>0</v>
      </c>
      <c r="BB24" s="7">
        <f>Weather!G24</f>
        <v>377.33511904761912</v>
      </c>
      <c r="BC24" s="7">
        <f>Weather!H24</f>
        <v>0</v>
      </c>
      <c r="BD24" s="7">
        <f>Weather!I24</f>
        <v>317.335119047619</v>
      </c>
      <c r="BE24" s="7">
        <f>Weather!J24</f>
        <v>0</v>
      </c>
      <c r="BF24" s="7">
        <f>Weather!K24</f>
        <v>257.33511904761906</v>
      </c>
      <c r="BG24" s="7">
        <f>Weather!L24</f>
        <v>0</v>
      </c>
      <c r="BH24" s="7">
        <f>Weather!M24</f>
        <v>198.66428571428571</v>
      </c>
      <c r="BI24" s="7">
        <f>Weather!N24</f>
        <v>1.3291666666666675</v>
      </c>
      <c r="BJ24" s="7">
        <f>Weather!O24</f>
        <v>141.00178571428572</v>
      </c>
      <c r="BK24" s="7">
        <f>Weather!P24</f>
        <v>3.6666666666666679</v>
      </c>
      <c r="BL24" s="7">
        <f>Weather!Q24</f>
        <v>89.230952380952388</v>
      </c>
      <c r="BM24" s="7">
        <f>Weather!R24</f>
        <v>11.895833333333334</v>
      </c>
      <c r="BN24" s="1">
        <v>0</v>
      </c>
      <c r="BO24" s="1">
        <v>0</v>
      </c>
      <c r="BP24" s="1">
        <v>0</v>
      </c>
      <c r="BQ24" s="1">
        <v>0</v>
      </c>
      <c r="BR24" s="1">
        <v>0</v>
      </c>
      <c r="BS24" s="1">
        <v>0</v>
      </c>
      <c r="BT24" s="1">
        <v>0</v>
      </c>
      <c r="BU24" s="1">
        <v>0</v>
      </c>
      <c r="BV24" s="1">
        <v>0</v>
      </c>
      <c r="BW24" s="1">
        <v>0</v>
      </c>
      <c r="BX24" s="1">
        <v>1</v>
      </c>
      <c r="BY24" s="1">
        <v>0</v>
      </c>
      <c r="BZ24" s="1">
        <v>0</v>
      </c>
      <c r="CA24" s="1">
        <v>1</v>
      </c>
      <c r="CB24" s="1">
        <v>1</v>
      </c>
      <c r="CC24" s="1">
        <f t="shared" si="9"/>
        <v>23</v>
      </c>
      <c r="CD24" s="1">
        <v>30</v>
      </c>
      <c r="CE24" s="1">
        <v>22</v>
      </c>
      <c r="CF24" s="1">
        <v>0</v>
      </c>
      <c r="CG24" s="1">
        <v>0</v>
      </c>
      <c r="CH24" s="1">
        <v>0</v>
      </c>
      <c r="CI24" s="1">
        <v>0</v>
      </c>
      <c r="CJ24" s="1">
        <f t="shared" si="12"/>
        <v>0</v>
      </c>
      <c r="CK24" s="1">
        <f t="shared" si="12"/>
        <v>0</v>
      </c>
      <c r="CL24" s="1">
        <f t="shared" si="12"/>
        <v>0</v>
      </c>
      <c r="CM24" s="1">
        <f t="shared" si="10"/>
        <v>0</v>
      </c>
      <c r="CN24" s="1">
        <f t="shared" si="10"/>
        <v>0</v>
      </c>
      <c r="CO24" s="1">
        <f t="shared" si="10"/>
        <v>0</v>
      </c>
      <c r="CP24" s="1">
        <f t="shared" si="10"/>
        <v>0</v>
      </c>
      <c r="CQ24" s="1">
        <f t="shared" si="10"/>
        <v>0</v>
      </c>
      <c r="CR24" s="1">
        <f t="shared" si="10"/>
        <v>0</v>
      </c>
      <c r="CS24" s="1">
        <f t="shared" si="10"/>
        <v>0</v>
      </c>
      <c r="CT24" s="1">
        <f t="shared" si="10"/>
        <v>0</v>
      </c>
      <c r="CU24" s="1">
        <f t="shared" si="10"/>
        <v>0</v>
      </c>
      <c r="CV24" s="1">
        <f t="shared" si="10"/>
        <v>0</v>
      </c>
      <c r="CW24" s="1">
        <f t="shared" si="10"/>
        <v>0</v>
      </c>
      <c r="CX24" s="1">
        <f t="shared" si="13"/>
        <v>0</v>
      </c>
      <c r="CY24" s="1">
        <f t="shared" si="13"/>
        <v>0</v>
      </c>
      <c r="CZ24" s="1">
        <f t="shared" si="13"/>
        <v>0</v>
      </c>
      <c r="DA24" s="1">
        <f t="shared" si="11"/>
        <v>0</v>
      </c>
      <c r="DB24" s="1">
        <f t="shared" si="11"/>
        <v>0</v>
      </c>
      <c r="DC24" s="1">
        <f t="shared" si="11"/>
        <v>0</v>
      </c>
      <c r="DD24" s="1">
        <f t="shared" si="11"/>
        <v>0</v>
      </c>
      <c r="DE24" s="1">
        <f t="shared" si="11"/>
        <v>0</v>
      </c>
      <c r="DF24" s="1">
        <f t="shared" si="11"/>
        <v>0</v>
      </c>
      <c r="DG24" s="1">
        <f t="shared" si="11"/>
        <v>0</v>
      </c>
      <c r="DH24" s="1">
        <f t="shared" si="11"/>
        <v>0</v>
      </c>
      <c r="DI24" s="1">
        <f t="shared" si="11"/>
        <v>0</v>
      </c>
      <c r="DJ24" s="1">
        <f t="shared" si="11"/>
        <v>0</v>
      </c>
      <c r="DK24" s="1">
        <f t="shared" si="11"/>
        <v>0</v>
      </c>
      <c r="DL24" s="25"/>
      <c r="DM24" s="25"/>
      <c r="DN24" s="24"/>
      <c r="DO24" s="25"/>
      <c r="DP24" s="25"/>
      <c r="DQ24" s="25"/>
      <c r="DR24" s="25"/>
      <c r="DS24" s="25"/>
      <c r="DT24" s="25"/>
      <c r="DU24" s="25"/>
      <c r="DV24" s="25"/>
    </row>
    <row r="25" spans="1:126" x14ac:dyDescent="0.25">
      <c r="A25" s="261">
        <v>42705</v>
      </c>
      <c r="B25" s="262">
        <f t="shared" si="0"/>
        <v>2016</v>
      </c>
      <c r="C25" s="262">
        <f t="shared" si="1"/>
        <v>12</v>
      </c>
      <c r="D25" s="263">
        <v>41550277.90731962</v>
      </c>
      <c r="E25" s="263">
        <f>IFERROR(VLOOKUP($B25-1,CDM!$L$7:$T$18,2,FALSE)/12,0)+IFERROR(VLOOKUP($B25,CDM!$L$36:$T$46,2,FALSE)/24,0)+IFERROR(VLOOKUP($B25,CDM!$L$36:$T$46,2,FALSE)/2*$C25/78,0)</f>
        <v>902523.1330128205</v>
      </c>
      <c r="F25" s="263">
        <f t="shared" si="2"/>
        <v>42452801.040332444</v>
      </c>
      <c r="G25" s="264">
        <v>52273</v>
      </c>
      <c r="H25" s="263">
        <v>11642824.155344663</v>
      </c>
      <c r="I25" s="263">
        <f>IFERROR(VLOOKUP($B25-1,CDM!$L$7:$T$18,3,FALSE)/12,0)+IFERROR(VLOOKUP($B25,CDM!$L$36:$T$46,3,FALSE)/24,0)+IFERROR(VLOOKUP($B25,CDM!$L$36:$T$46,3,FALSE)/2*$C25/78,0)</f>
        <v>247748.81181089743</v>
      </c>
      <c r="J25" s="263">
        <f t="shared" si="6"/>
        <v>11890572.967155561</v>
      </c>
      <c r="K25" s="265">
        <v>4150</v>
      </c>
      <c r="L25" s="4">
        <v>30980104.254032809</v>
      </c>
      <c r="M25" s="266">
        <f>IFERROR(VLOOKUP($B25-1,CDM!$L$7:$T$18,4,FALSE)/12,0)+IFERROR(VLOOKUP($B25,CDM!$L$36:$T$46,4,FALSE)/24,0)+IFERROR(VLOOKUP($B25,CDM!$L$36:$T$46,4,FALSE)/2*$C25/78,0)</f>
        <v>241138.23730769232</v>
      </c>
      <c r="N25" s="263">
        <f t="shared" si="3"/>
        <v>31221242.491340503</v>
      </c>
      <c r="O25" s="4">
        <v>70273</v>
      </c>
      <c r="P25" s="265">
        <v>521</v>
      </c>
      <c r="Q25" s="265">
        <v>6248395.3033376979</v>
      </c>
      <c r="R25" s="265">
        <f>IFERROR(VLOOKUP($B25-1,CDM!$L$7:$T$18,5,FALSE)/12,0)+IFERROR(VLOOKUP($B25,CDM!$L$36:$T$46,5,FALSE)/24,0)+IFERROR(VLOOKUP($B25,CDM!$L$36:$T$46,5,FALSE)/2*$C25/78,0)</f>
        <v>1010805.2713942307</v>
      </c>
      <c r="S25" s="265">
        <f t="shared" si="7"/>
        <v>7259200.5747319283</v>
      </c>
      <c r="T25" s="265">
        <v>14894</v>
      </c>
      <c r="U25" s="265">
        <v>12</v>
      </c>
      <c r="V25" s="265">
        <v>3043951.7634717003</v>
      </c>
      <c r="W25" s="265">
        <f>IFERROR(VLOOKUP($B25-1,CDM!$L$7:$T$18,6,FALSE)/12,0)+IFERROR(VLOOKUP($B25,CDM!$L$36:$T$46,6,FALSE)/24,0)+IFERROR(VLOOKUP($B25,CDM!$L$36:$T$46,6,FALSE)/2*$C25/78,0)</f>
        <v>0</v>
      </c>
      <c r="X25" s="265">
        <f t="shared" si="8"/>
        <v>3043951.7634717003</v>
      </c>
      <c r="Y25" s="265">
        <v>6751</v>
      </c>
      <c r="Z25" s="265">
        <v>1</v>
      </c>
      <c r="AA25" s="4">
        <v>1012609.0339279424</v>
      </c>
      <c r="AB25" s="4">
        <v>2179</v>
      </c>
      <c r="AC25" s="265">
        <v>13031</v>
      </c>
      <c r="AD25" s="265">
        <v>2155.2736982643523</v>
      </c>
      <c r="AE25" s="265">
        <v>85</v>
      </c>
      <c r="AF25" s="265">
        <v>23</v>
      </c>
      <c r="AG25" s="4">
        <v>208649</v>
      </c>
      <c r="AH25" s="4">
        <v>246</v>
      </c>
      <c r="AI25" s="28">
        <f>Economic!H27</f>
        <v>743976.2</v>
      </c>
      <c r="AJ25" s="28">
        <f>Economic!I27</f>
        <v>571846.40000000002</v>
      </c>
      <c r="AK25" s="28">
        <f>Economic!J27</f>
        <v>51922</v>
      </c>
      <c r="AL25" s="28">
        <f>Economic!K27</f>
        <v>745380</v>
      </c>
      <c r="AM25" s="28">
        <f>Economic!L27</f>
        <v>574771</v>
      </c>
      <c r="AN25" s="28">
        <f>Economic!M27</f>
        <v>30202</v>
      </c>
      <c r="AO25" s="28">
        <f>Economic!D27</f>
        <v>6992.4</v>
      </c>
      <c r="AP25" s="28">
        <f>Economic!E27</f>
        <v>6999.9</v>
      </c>
      <c r="AQ25" s="28">
        <f>Economic!F27</f>
        <v>215.7</v>
      </c>
      <c r="AR25" s="28">
        <f>Economic!G27</f>
        <v>215.4</v>
      </c>
      <c r="AS25" s="28">
        <f>Economic!N27</f>
        <v>96.799999999999272</v>
      </c>
      <c r="AT25" s="28">
        <f>Economic!O27</f>
        <v>97.599999999999454</v>
      </c>
      <c r="AU25" s="28">
        <f>Economic!P27</f>
        <v>16.299999999999983</v>
      </c>
      <c r="AV25" s="28">
        <f>Economic!Q27</f>
        <v>15.900000000000006</v>
      </c>
      <c r="AW25" s="28">
        <f>Economic!R27</f>
        <v>16366.599999999977</v>
      </c>
      <c r="AX25" s="28">
        <f>Economic!S27</f>
        <v>-1226</v>
      </c>
      <c r="AY25" s="7">
        <f>Weather!D25</f>
        <v>-1.8926075268817202</v>
      </c>
      <c r="AZ25" s="7">
        <f>Weather!E25</f>
        <v>678.67083333333323</v>
      </c>
      <c r="BA25" s="7">
        <f>Weather!F25</f>
        <v>0</v>
      </c>
      <c r="BB25" s="7">
        <f>Weather!G25</f>
        <v>616.67083333333335</v>
      </c>
      <c r="BC25" s="7">
        <f>Weather!H25</f>
        <v>0</v>
      </c>
      <c r="BD25" s="7">
        <f>Weather!I25</f>
        <v>554.67083333333346</v>
      </c>
      <c r="BE25" s="7">
        <f>Weather!J25</f>
        <v>0</v>
      </c>
      <c r="BF25" s="7">
        <f>Weather!K25</f>
        <v>492.67083333333335</v>
      </c>
      <c r="BG25" s="7">
        <f>Weather!L25</f>
        <v>0</v>
      </c>
      <c r="BH25" s="7">
        <f>Weather!M25</f>
        <v>430.67083333333341</v>
      </c>
      <c r="BI25" s="7">
        <f>Weather!N25</f>
        <v>0</v>
      </c>
      <c r="BJ25" s="7">
        <f>Weather!O25</f>
        <v>368.67083333333341</v>
      </c>
      <c r="BK25" s="7">
        <f>Weather!P25</f>
        <v>0</v>
      </c>
      <c r="BL25" s="7">
        <f>Weather!Q25</f>
        <v>306.67083333333341</v>
      </c>
      <c r="BM25" s="7">
        <f>Weather!R25</f>
        <v>0</v>
      </c>
      <c r="BN25" s="1">
        <v>0</v>
      </c>
      <c r="BO25" s="1">
        <v>0</v>
      </c>
      <c r="BP25" s="1">
        <v>0</v>
      </c>
      <c r="BQ25" s="1">
        <v>0</v>
      </c>
      <c r="BR25" s="1">
        <v>0</v>
      </c>
      <c r="BS25" s="1">
        <v>0</v>
      </c>
      <c r="BT25" s="1">
        <v>0</v>
      </c>
      <c r="BU25" s="1">
        <v>0</v>
      </c>
      <c r="BV25" s="1">
        <v>0</v>
      </c>
      <c r="BW25" s="1">
        <v>0</v>
      </c>
      <c r="BX25" s="1">
        <v>0</v>
      </c>
      <c r="BY25" s="1">
        <v>1</v>
      </c>
      <c r="BZ25" s="1">
        <v>0</v>
      </c>
      <c r="CA25" s="1">
        <v>0</v>
      </c>
      <c r="CB25" s="1">
        <v>0</v>
      </c>
      <c r="CC25" s="1">
        <f t="shared" si="9"/>
        <v>24</v>
      </c>
      <c r="CD25" s="1">
        <v>31</v>
      </c>
      <c r="CE25" s="1">
        <v>20</v>
      </c>
      <c r="CF25" s="1">
        <v>0</v>
      </c>
      <c r="CG25" s="1">
        <v>0</v>
      </c>
      <c r="CH25" s="1">
        <v>0</v>
      </c>
      <c r="CI25" s="1">
        <v>0</v>
      </c>
      <c r="CJ25" s="1">
        <f t="shared" si="12"/>
        <v>0</v>
      </c>
      <c r="CK25" s="1">
        <f t="shared" si="12"/>
        <v>0</v>
      </c>
      <c r="CL25" s="1">
        <f t="shared" si="12"/>
        <v>0</v>
      </c>
      <c r="CM25" s="1">
        <f t="shared" si="10"/>
        <v>0</v>
      </c>
      <c r="CN25" s="1">
        <f t="shared" si="10"/>
        <v>0</v>
      </c>
      <c r="CO25" s="1">
        <f t="shared" si="10"/>
        <v>0</v>
      </c>
      <c r="CP25" s="1">
        <f t="shared" si="10"/>
        <v>0</v>
      </c>
      <c r="CQ25" s="1">
        <f t="shared" si="10"/>
        <v>0</v>
      </c>
      <c r="CR25" s="1">
        <f t="shared" si="10"/>
        <v>0</v>
      </c>
      <c r="CS25" s="1">
        <f t="shared" si="10"/>
        <v>0</v>
      </c>
      <c r="CT25" s="1">
        <f t="shared" si="10"/>
        <v>0</v>
      </c>
      <c r="CU25" s="1">
        <f t="shared" si="10"/>
        <v>0</v>
      </c>
      <c r="CV25" s="1">
        <f t="shared" si="10"/>
        <v>0</v>
      </c>
      <c r="CW25" s="1">
        <f t="shared" si="10"/>
        <v>0</v>
      </c>
      <c r="CX25" s="1">
        <f t="shared" si="13"/>
        <v>0</v>
      </c>
      <c r="CY25" s="1">
        <f t="shared" si="13"/>
        <v>0</v>
      </c>
      <c r="CZ25" s="1">
        <f t="shared" si="13"/>
        <v>0</v>
      </c>
      <c r="DA25" s="1">
        <f t="shared" si="11"/>
        <v>0</v>
      </c>
      <c r="DB25" s="1">
        <f t="shared" si="11"/>
        <v>0</v>
      </c>
      <c r="DC25" s="1">
        <f t="shared" si="11"/>
        <v>0</v>
      </c>
      <c r="DD25" s="1">
        <f t="shared" si="11"/>
        <v>0</v>
      </c>
      <c r="DE25" s="1">
        <f t="shared" si="11"/>
        <v>0</v>
      </c>
      <c r="DF25" s="1">
        <f t="shared" si="11"/>
        <v>0</v>
      </c>
      <c r="DG25" s="1">
        <f t="shared" si="11"/>
        <v>0</v>
      </c>
      <c r="DH25" s="1">
        <f t="shared" si="11"/>
        <v>0</v>
      </c>
      <c r="DI25" s="1">
        <f t="shared" si="11"/>
        <v>0</v>
      </c>
      <c r="DJ25" s="1">
        <f t="shared" si="11"/>
        <v>0</v>
      </c>
      <c r="DK25" s="1">
        <f t="shared" si="11"/>
        <v>0</v>
      </c>
      <c r="DL25" s="25"/>
      <c r="DM25" s="25"/>
      <c r="DN25" s="24"/>
      <c r="DO25" s="25"/>
      <c r="DP25" s="25"/>
      <c r="DQ25" s="25"/>
      <c r="DR25" s="25"/>
      <c r="DS25" s="25"/>
      <c r="DT25" s="25"/>
      <c r="DU25" s="25"/>
      <c r="DV25" s="25"/>
    </row>
    <row r="26" spans="1:126" x14ac:dyDescent="0.25">
      <c r="A26" s="261">
        <v>42736</v>
      </c>
      <c r="B26" s="262">
        <f t="shared" si="0"/>
        <v>2017</v>
      </c>
      <c r="C26" s="262">
        <f t="shared" si="1"/>
        <v>1</v>
      </c>
      <c r="D26" s="263">
        <v>45137533.424009383</v>
      </c>
      <c r="E26" s="263">
        <f>IFERROR(VLOOKUP($B26-1,CDM!$L$7:$T$18,2,FALSE)/12,0)+IFERROR(VLOOKUP($B26,CDM!$L$36:$T$46,2,FALSE)/24,0)+IFERROR(VLOOKUP($B26,CDM!$L$36:$T$46,2,FALSE)/2*$C26/78,0)</f>
        <v>1306755.7756410257</v>
      </c>
      <c r="F26" s="263">
        <f t="shared" si="2"/>
        <v>46444289.199650407</v>
      </c>
      <c r="G26" s="264">
        <v>52298</v>
      </c>
      <c r="H26" s="263">
        <v>12049945.823070822</v>
      </c>
      <c r="I26" s="263">
        <f>IFERROR(VLOOKUP($B26-1,CDM!$L$7:$T$18,3,FALSE)/12,0)+IFERROR(VLOOKUP($B26,CDM!$L$36:$T$46,3,FALSE)/24,0)+IFERROR(VLOOKUP($B26,CDM!$L$36:$T$46,3,FALSE)/2*$C26/78,0)</f>
        <v>305589.28365207376</v>
      </c>
      <c r="J26" s="263">
        <f t="shared" si="6"/>
        <v>12355535.106722897</v>
      </c>
      <c r="K26" s="265">
        <v>4150</v>
      </c>
      <c r="L26" s="4">
        <v>34495822.153642073</v>
      </c>
      <c r="M26" s="266">
        <f>IFERROR(VLOOKUP($B26-1,CDM!$L$7:$T$18,4,FALSE)/12,0)+IFERROR(VLOOKUP($B26,CDM!$L$36:$T$46,4,FALSE)/24,0)+IFERROR(VLOOKUP($B26,CDM!$L$36:$T$46,4,FALSE)/2*$C26/78,0)</f>
        <v>310914.25644039898</v>
      </c>
      <c r="N26" s="263">
        <f t="shared" si="3"/>
        <v>34806736.410082474</v>
      </c>
      <c r="O26" s="4">
        <v>76217</v>
      </c>
      <c r="P26" s="265">
        <v>524</v>
      </c>
      <c r="Q26" s="265">
        <v>6903959.0191247845</v>
      </c>
      <c r="R26" s="265">
        <f>IFERROR(VLOOKUP($B26-1,CDM!$L$7:$T$18,5,FALSE)/12,0)+IFERROR(VLOOKUP($B26,CDM!$L$36:$T$46,5,FALSE)/24,0)+IFERROR(VLOOKUP($B26,CDM!$L$36:$T$46,5,FALSE)/2*$C26/78,0)</f>
        <v>844617.27894678607</v>
      </c>
      <c r="S26" s="265">
        <f t="shared" si="7"/>
        <v>7748576.2980715707</v>
      </c>
      <c r="T26" s="265">
        <v>15402</v>
      </c>
      <c r="U26" s="265">
        <v>12</v>
      </c>
      <c r="V26" s="265">
        <v>3134927.0234779711</v>
      </c>
      <c r="W26" s="265">
        <f>IFERROR(VLOOKUP($B26-1,CDM!$L$7:$T$18,6,FALSE)/12,0)+IFERROR(VLOOKUP($B26,CDM!$L$36:$T$46,6,FALSE)/24,0)+IFERROR(VLOOKUP($B26,CDM!$L$36:$T$46,6,FALSE)/2*$C26/78,0)</f>
        <v>6704.022836538461</v>
      </c>
      <c r="X26" s="265">
        <f t="shared" si="8"/>
        <v>3141631.0463145096</v>
      </c>
      <c r="Y26" s="265">
        <v>7254</v>
      </c>
      <c r="Z26" s="265">
        <v>1</v>
      </c>
      <c r="AA26" s="4">
        <v>767442.75100926822</v>
      </c>
      <c r="AB26" s="4">
        <v>1517</v>
      </c>
      <c r="AC26" s="265">
        <v>13031</v>
      </c>
      <c r="AD26" s="265">
        <v>2179.9923707800876</v>
      </c>
      <c r="AE26" s="265">
        <v>0</v>
      </c>
      <c r="AF26" s="265">
        <v>23</v>
      </c>
      <c r="AG26" s="4">
        <v>208608</v>
      </c>
      <c r="AH26" s="4">
        <v>245</v>
      </c>
      <c r="AI26" s="28">
        <f>Economic!H28</f>
        <v>764464.8</v>
      </c>
      <c r="AJ26" s="28">
        <f>Economic!I28</f>
        <v>590729.4</v>
      </c>
      <c r="AK26" s="28">
        <f>Economic!J28</f>
        <v>53985.7</v>
      </c>
      <c r="AL26" s="28">
        <f>Economic!K28</f>
        <v>756702</v>
      </c>
      <c r="AM26" s="28">
        <f>Economic!L28</f>
        <v>583158</v>
      </c>
      <c r="AN26" s="28">
        <f>Economic!M28</f>
        <v>30665</v>
      </c>
      <c r="AO26" s="28">
        <f>Economic!D28</f>
        <v>7014.6</v>
      </c>
      <c r="AP26" s="28">
        <f>Economic!E28</f>
        <v>6982.5</v>
      </c>
      <c r="AQ26" s="28">
        <f>Economic!F28</f>
        <v>215.5</v>
      </c>
      <c r="AR26" s="28">
        <f>Economic!G28</f>
        <v>214.4</v>
      </c>
      <c r="AS26" s="28">
        <f>Economic!N28</f>
        <v>106.20000000000073</v>
      </c>
      <c r="AT26" s="28">
        <f>Economic!O28</f>
        <v>111.30000000000018</v>
      </c>
      <c r="AU26" s="28">
        <f>Economic!P28</f>
        <v>11.300000000000011</v>
      </c>
      <c r="AV26" s="28">
        <f>Economic!Q28</f>
        <v>10.599999999999994</v>
      </c>
      <c r="AW26" s="28">
        <f>Economic!R28</f>
        <v>20488.600000000093</v>
      </c>
      <c r="AX26" s="28">
        <f>Economic!S28</f>
        <v>11322</v>
      </c>
      <c r="AY26" s="7">
        <f>Weather!D26</f>
        <v>-2.0069892473118278</v>
      </c>
      <c r="AZ26" s="7">
        <f>Weather!E26</f>
        <v>682.2166666666667</v>
      </c>
      <c r="BA26" s="7">
        <f>Weather!F26</f>
        <v>0</v>
      </c>
      <c r="BB26" s="7">
        <f>Weather!G26</f>
        <v>620.2166666666667</v>
      </c>
      <c r="BC26" s="7">
        <f>Weather!H26</f>
        <v>0</v>
      </c>
      <c r="BD26" s="7">
        <f>Weather!I26</f>
        <v>558.21666666666658</v>
      </c>
      <c r="BE26" s="7">
        <f>Weather!J26</f>
        <v>0</v>
      </c>
      <c r="BF26" s="7">
        <f>Weather!K26</f>
        <v>496.21666666666664</v>
      </c>
      <c r="BG26" s="7">
        <f>Weather!L26</f>
        <v>0</v>
      </c>
      <c r="BH26" s="7">
        <f>Weather!M26</f>
        <v>434.21666666666664</v>
      </c>
      <c r="BI26" s="7">
        <f>Weather!N26</f>
        <v>0</v>
      </c>
      <c r="BJ26" s="7">
        <f>Weather!O26</f>
        <v>372.2166666666667</v>
      </c>
      <c r="BK26" s="7">
        <f>Weather!P26</f>
        <v>0</v>
      </c>
      <c r="BL26" s="7">
        <f>Weather!Q26</f>
        <v>310.2166666666667</v>
      </c>
      <c r="BM26" s="7">
        <f>Weather!R26</f>
        <v>0</v>
      </c>
      <c r="BN26" s="1">
        <v>1</v>
      </c>
      <c r="BO26" s="1">
        <v>0</v>
      </c>
      <c r="BP26" s="1">
        <v>0</v>
      </c>
      <c r="BQ26" s="1">
        <v>0</v>
      </c>
      <c r="BR26" s="1">
        <v>0</v>
      </c>
      <c r="BS26" s="1">
        <v>0</v>
      </c>
      <c r="BT26" s="1">
        <v>0</v>
      </c>
      <c r="BU26" s="1">
        <v>0</v>
      </c>
      <c r="BV26" s="1">
        <v>0</v>
      </c>
      <c r="BW26" s="1">
        <v>0</v>
      </c>
      <c r="BX26" s="1">
        <v>0</v>
      </c>
      <c r="BY26" s="1">
        <v>0</v>
      </c>
      <c r="BZ26" s="1">
        <v>0</v>
      </c>
      <c r="CA26" s="1">
        <v>0</v>
      </c>
      <c r="CB26" s="1">
        <v>0</v>
      </c>
      <c r="CC26" s="1">
        <f t="shared" si="9"/>
        <v>25</v>
      </c>
      <c r="CD26" s="1">
        <v>31</v>
      </c>
      <c r="CE26" s="1">
        <v>22</v>
      </c>
      <c r="CF26" s="1">
        <v>0</v>
      </c>
      <c r="CG26" s="1">
        <v>0</v>
      </c>
      <c r="CH26" s="1">
        <v>0</v>
      </c>
      <c r="CI26" s="1">
        <v>0</v>
      </c>
      <c r="CJ26" s="1">
        <f t="shared" si="12"/>
        <v>0</v>
      </c>
      <c r="CK26" s="1">
        <f t="shared" si="12"/>
        <v>0</v>
      </c>
      <c r="CL26" s="1">
        <f t="shared" si="12"/>
        <v>0</v>
      </c>
      <c r="CM26" s="1">
        <f t="shared" si="10"/>
        <v>0</v>
      </c>
      <c r="CN26" s="1">
        <f t="shared" si="10"/>
        <v>0</v>
      </c>
      <c r="CO26" s="1">
        <f t="shared" si="10"/>
        <v>0</v>
      </c>
      <c r="CP26" s="1">
        <f t="shared" si="10"/>
        <v>0</v>
      </c>
      <c r="CQ26" s="1">
        <f t="shared" si="10"/>
        <v>0</v>
      </c>
      <c r="CR26" s="1">
        <f t="shared" si="10"/>
        <v>0</v>
      </c>
      <c r="CS26" s="1">
        <f t="shared" si="10"/>
        <v>0</v>
      </c>
      <c r="CT26" s="1">
        <f t="shared" si="10"/>
        <v>0</v>
      </c>
      <c r="CU26" s="1">
        <f t="shared" si="10"/>
        <v>0</v>
      </c>
      <c r="CV26" s="1">
        <f t="shared" si="10"/>
        <v>0</v>
      </c>
      <c r="CW26" s="1">
        <f t="shared" si="10"/>
        <v>0</v>
      </c>
      <c r="CX26" s="1">
        <f t="shared" si="13"/>
        <v>0</v>
      </c>
      <c r="CY26" s="1">
        <f t="shared" si="13"/>
        <v>0</v>
      </c>
      <c r="CZ26" s="1">
        <f t="shared" si="13"/>
        <v>0</v>
      </c>
      <c r="DA26" s="1">
        <f t="shared" si="11"/>
        <v>0</v>
      </c>
      <c r="DB26" s="1">
        <f t="shared" si="11"/>
        <v>0</v>
      </c>
      <c r="DC26" s="1">
        <f t="shared" si="11"/>
        <v>0</v>
      </c>
      <c r="DD26" s="1">
        <f t="shared" si="11"/>
        <v>0</v>
      </c>
      <c r="DE26" s="1">
        <f t="shared" si="11"/>
        <v>0</v>
      </c>
      <c r="DF26" s="1">
        <f t="shared" si="11"/>
        <v>0</v>
      </c>
      <c r="DG26" s="1">
        <f t="shared" si="11"/>
        <v>0</v>
      </c>
      <c r="DH26" s="1">
        <f t="shared" si="11"/>
        <v>0</v>
      </c>
      <c r="DI26" s="1">
        <f t="shared" si="11"/>
        <v>0</v>
      </c>
      <c r="DJ26" s="1">
        <f t="shared" si="11"/>
        <v>0</v>
      </c>
      <c r="DK26" s="1">
        <f t="shared" si="11"/>
        <v>0</v>
      </c>
      <c r="DL26" s="25"/>
      <c r="DM26" s="25"/>
      <c r="DN26" s="24"/>
      <c r="DO26" s="25"/>
      <c r="DP26" s="25"/>
      <c r="DQ26" s="25"/>
      <c r="DR26" s="25"/>
      <c r="DS26" s="25"/>
      <c r="DT26" s="25"/>
      <c r="DU26" s="25"/>
      <c r="DV26" s="25"/>
    </row>
    <row r="27" spans="1:126" x14ac:dyDescent="0.25">
      <c r="A27" s="261">
        <v>42767</v>
      </c>
      <c r="B27" s="262">
        <f t="shared" si="0"/>
        <v>2017</v>
      </c>
      <c r="C27" s="262">
        <f t="shared" si="1"/>
        <v>2</v>
      </c>
      <c r="D27" s="263">
        <v>41395437.851884171</v>
      </c>
      <c r="E27" s="263">
        <f>IFERROR(VLOOKUP($B27-1,CDM!$L$7:$T$18,2,FALSE)/12,0)+IFERROR(VLOOKUP($B27,CDM!$L$36:$T$46,2,FALSE)/24,0)+IFERROR(VLOOKUP($B27,CDM!$L$36:$T$46,2,FALSE)/2*$C27/78,0)</f>
        <v>1390662.0512820513</v>
      </c>
      <c r="F27" s="263">
        <f t="shared" si="2"/>
        <v>42786099.90316622</v>
      </c>
      <c r="G27" s="264">
        <v>52305</v>
      </c>
      <c r="H27" s="263">
        <v>10737619.102712302</v>
      </c>
      <c r="I27" s="263">
        <f>IFERROR(VLOOKUP($B27-1,CDM!$L$7:$T$18,3,FALSE)/12,0)+IFERROR(VLOOKUP($B27,CDM!$L$36:$T$46,3,FALSE)/24,0)+IFERROR(VLOOKUP($B27,CDM!$L$36:$T$46,3,FALSE)/2*$C27/78,0)</f>
        <v>321420.39741679467</v>
      </c>
      <c r="J27" s="263">
        <f t="shared" si="6"/>
        <v>11059039.500129096</v>
      </c>
      <c r="K27" s="265">
        <v>4144</v>
      </c>
      <c r="L27" s="4">
        <v>28510766.998571761</v>
      </c>
      <c r="M27" s="266">
        <f>IFERROR(VLOOKUP($B27-1,CDM!$L$7:$T$18,4,FALSE)/12,0)+IFERROR(VLOOKUP($B27,CDM!$L$36:$T$46,4,FALSE)/24,0)+IFERROR(VLOOKUP($B27,CDM!$L$36:$T$46,4,FALSE)/2*$C27/78,0)</f>
        <v>327403.04252134106</v>
      </c>
      <c r="N27" s="263">
        <f t="shared" si="3"/>
        <v>28838170.041093104</v>
      </c>
      <c r="O27" s="4">
        <v>71792</v>
      </c>
      <c r="P27" s="265">
        <v>523</v>
      </c>
      <c r="Q27" s="265">
        <v>6183772.4130859943</v>
      </c>
      <c r="R27" s="265">
        <f>IFERROR(VLOOKUP($B27-1,CDM!$L$7:$T$18,5,FALSE)/12,0)+IFERROR(VLOOKUP($B27,CDM!$L$36:$T$46,5,FALSE)/24,0)+IFERROR(VLOOKUP($B27,CDM!$L$36:$T$46,5,FALSE)/2*$C27/78,0)</f>
        <v>846587.01608413539</v>
      </c>
      <c r="S27" s="265">
        <f t="shared" si="7"/>
        <v>7030359.4291701298</v>
      </c>
      <c r="T27" s="265">
        <v>14973</v>
      </c>
      <c r="U27" s="265">
        <v>12</v>
      </c>
      <c r="V27" s="265">
        <v>2672619.768727066</v>
      </c>
      <c r="W27" s="265">
        <f>IFERROR(VLOOKUP($B27-1,CDM!$L$7:$T$18,6,FALSE)/12,0)+IFERROR(VLOOKUP($B27,CDM!$L$36:$T$46,6,FALSE)/24,0)+IFERROR(VLOOKUP($B27,CDM!$L$36:$T$46,6,FALSE)/2*$C27/78,0)</f>
        <v>7597.892548076923</v>
      </c>
      <c r="X27" s="265">
        <f t="shared" si="8"/>
        <v>2680217.6612751428</v>
      </c>
      <c r="Y27" s="265">
        <v>7267</v>
      </c>
      <c r="Z27" s="265">
        <v>1</v>
      </c>
      <c r="AA27" s="4">
        <v>546725.08702220162</v>
      </c>
      <c r="AB27" s="4">
        <v>1303</v>
      </c>
      <c r="AC27" s="265">
        <v>13031</v>
      </c>
      <c r="AD27" s="265">
        <v>2043.1813847034141</v>
      </c>
      <c r="AE27" s="265">
        <v>0</v>
      </c>
      <c r="AF27" s="265">
        <v>23</v>
      </c>
      <c r="AG27" s="4">
        <v>208298</v>
      </c>
      <c r="AH27" s="4">
        <v>244</v>
      </c>
      <c r="AI27" s="28">
        <f>Economic!H29</f>
        <v>764464.8</v>
      </c>
      <c r="AJ27" s="28">
        <f>Economic!I29</f>
        <v>590729.4</v>
      </c>
      <c r="AK27" s="28">
        <f>Economic!J29</f>
        <v>53985.7</v>
      </c>
      <c r="AL27" s="28">
        <f>Economic!K29</f>
        <v>756702</v>
      </c>
      <c r="AM27" s="28">
        <f>Economic!L29</f>
        <v>583158</v>
      </c>
      <c r="AN27" s="28">
        <f>Economic!M29</f>
        <v>30665</v>
      </c>
      <c r="AO27" s="28">
        <f>Economic!D29</f>
        <v>7031.3</v>
      </c>
      <c r="AP27" s="28">
        <f>Economic!E29</f>
        <v>6962.5</v>
      </c>
      <c r="AQ27" s="28">
        <f>Economic!F29</f>
        <v>209.8</v>
      </c>
      <c r="AR27" s="28">
        <f>Economic!G29</f>
        <v>208</v>
      </c>
      <c r="AS27" s="28">
        <f>Economic!N29</f>
        <v>109</v>
      </c>
      <c r="AT27" s="28">
        <f>Economic!O29</f>
        <v>112.10000000000036</v>
      </c>
      <c r="AU27" s="28">
        <f>Economic!P29</f>
        <v>4.2000000000000171</v>
      </c>
      <c r="AV27" s="28">
        <f>Economic!Q29</f>
        <v>3.8000000000000114</v>
      </c>
      <c r="AW27" s="28">
        <f>Economic!R29</f>
        <v>20488.600000000093</v>
      </c>
      <c r="AX27" s="28">
        <f>Economic!S29</f>
        <v>11322</v>
      </c>
      <c r="AY27" s="7">
        <f>Weather!D27</f>
        <v>-0.93154761904761851</v>
      </c>
      <c r="AZ27" s="7">
        <f>Weather!E27</f>
        <v>586.08333333333337</v>
      </c>
      <c r="BA27" s="7">
        <f>Weather!F27</f>
        <v>0</v>
      </c>
      <c r="BB27" s="7">
        <f>Weather!G27</f>
        <v>530.08333333333337</v>
      </c>
      <c r="BC27" s="7">
        <f>Weather!H27</f>
        <v>0</v>
      </c>
      <c r="BD27" s="7">
        <f>Weather!I27</f>
        <v>474.08333333333337</v>
      </c>
      <c r="BE27" s="7">
        <f>Weather!J27</f>
        <v>0</v>
      </c>
      <c r="BF27" s="7">
        <f>Weather!K27</f>
        <v>418.08333333333331</v>
      </c>
      <c r="BG27" s="7">
        <f>Weather!L27</f>
        <v>0</v>
      </c>
      <c r="BH27" s="7">
        <f>Weather!M27</f>
        <v>362.08333333333331</v>
      </c>
      <c r="BI27" s="7">
        <f>Weather!N27</f>
        <v>0</v>
      </c>
      <c r="BJ27" s="7">
        <f>Weather!O27</f>
        <v>306.08333333333326</v>
      </c>
      <c r="BK27" s="7">
        <f>Weather!P27</f>
        <v>0</v>
      </c>
      <c r="BL27" s="7">
        <f>Weather!Q27</f>
        <v>251.42499999999998</v>
      </c>
      <c r="BM27" s="7">
        <f>Weather!R27</f>
        <v>1.3416666666666668</v>
      </c>
      <c r="BN27" s="1">
        <v>0</v>
      </c>
      <c r="BO27" s="1">
        <v>1</v>
      </c>
      <c r="BP27" s="1">
        <v>0</v>
      </c>
      <c r="BQ27" s="1">
        <v>0</v>
      </c>
      <c r="BR27" s="1">
        <v>0</v>
      </c>
      <c r="BS27" s="1">
        <v>0</v>
      </c>
      <c r="BT27" s="1">
        <v>0</v>
      </c>
      <c r="BU27" s="1">
        <v>0</v>
      </c>
      <c r="BV27" s="1">
        <v>0</v>
      </c>
      <c r="BW27" s="1">
        <v>0</v>
      </c>
      <c r="BX27" s="1">
        <v>0</v>
      </c>
      <c r="BY27" s="1">
        <v>0</v>
      </c>
      <c r="BZ27" s="1">
        <v>0</v>
      </c>
      <c r="CA27" s="1">
        <v>0</v>
      </c>
      <c r="CB27" s="1">
        <v>0</v>
      </c>
      <c r="CC27" s="1">
        <f t="shared" si="9"/>
        <v>26</v>
      </c>
      <c r="CD27" s="1">
        <v>28</v>
      </c>
      <c r="CE27" s="1">
        <v>19</v>
      </c>
      <c r="CF27" s="1">
        <v>0</v>
      </c>
      <c r="CG27" s="1">
        <v>0</v>
      </c>
      <c r="CH27" s="1">
        <v>0</v>
      </c>
      <c r="CI27" s="1">
        <v>0</v>
      </c>
      <c r="CJ27" s="1">
        <f t="shared" si="12"/>
        <v>0</v>
      </c>
      <c r="CK27" s="1">
        <f t="shared" si="12"/>
        <v>0</v>
      </c>
      <c r="CL27" s="1">
        <f t="shared" si="12"/>
        <v>0</v>
      </c>
      <c r="CM27" s="1">
        <f t="shared" si="10"/>
        <v>0</v>
      </c>
      <c r="CN27" s="1">
        <f t="shared" si="10"/>
        <v>0</v>
      </c>
      <c r="CO27" s="1">
        <f t="shared" si="10"/>
        <v>0</v>
      </c>
      <c r="CP27" s="1">
        <f t="shared" si="10"/>
        <v>0</v>
      </c>
      <c r="CQ27" s="1">
        <f t="shared" si="10"/>
        <v>0</v>
      </c>
      <c r="CR27" s="1">
        <f t="shared" si="10"/>
        <v>0</v>
      </c>
      <c r="CS27" s="1">
        <f t="shared" si="10"/>
        <v>0</v>
      </c>
      <c r="CT27" s="1">
        <f t="shared" si="10"/>
        <v>0</v>
      </c>
      <c r="CU27" s="1">
        <f t="shared" si="10"/>
        <v>0</v>
      </c>
      <c r="CV27" s="1">
        <f t="shared" si="10"/>
        <v>0</v>
      </c>
      <c r="CW27" s="1">
        <f t="shared" si="10"/>
        <v>0</v>
      </c>
      <c r="CX27" s="1">
        <f t="shared" si="13"/>
        <v>0</v>
      </c>
      <c r="CY27" s="1">
        <f t="shared" si="13"/>
        <v>0</v>
      </c>
      <c r="CZ27" s="1">
        <f t="shared" si="13"/>
        <v>0</v>
      </c>
      <c r="DA27" s="1">
        <f t="shared" si="11"/>
        <v>0</v>
      </c>
      <c r="DB27" s="1">
        <f t="shared" si="11"/>
        <v>0</v>
      </c>
      <c r="DC27" s="1">
        <f t="shared" si="11"/>
        <v>0</v>
      </c>
      <c r="DD27" s="1">
        <f t="shared" si="11"/>
        <v>0</v>
      </c>
      <c r="DE27" s="1">
        <f t="shared" si="11"/>
        <v>0</v>
      </c>
      <c r="DF27" s="1">
        <f t="shared" si="11"/>
        <v>0</v>
      </c>
      <c r="DG27" s="1">
        <f t="shared" si="11"/>
        <v>0</v>
      </c>
      <c r="DH27" s="1">
        <f t="shared" si="11"/>
        <v>0</v>
      </c>
      <c r="DI27" s="1">
        <f t="shared" si="11"/>
        <v>0</v>
      </c>
      <c r="DJ27" s="1">
        <f t="shared" si="11"/>
        <v>0</v>
      </c>
      <c r="DK27" s="1">
        <f t="shared" si="11"/>
        <v>0</v>
      </c>
      <c r="DL27" s="25"/>
      <c r="DM27" s="25"/>
      <c r="DN27" s="24"/>
      <c r="DO27" s="25"/>
      <c r="DP27" s="25"/>
      <c r="DQ27" s="25"/>
      <c r="DR27" s="25"/>
      <c r="DS27" s="25"/>
      <c r="DT27" s="25"/>
      <c r="DU27" s="25"/>
      <c r="DV27" s="25"/>
    </row>
    <row r="28" spans="1:126" x14ac:dyDescent="0.25">
      <c r="A28" s="261">
        <v>42795</v>
      </c>
      <c r="B28" s="262">
        <f t="shared" si="0"/>
        <v>2017</v>
      </c>
      <c r="C28" s="262">
        <f t="shared" si="1"/>
        <v>3</v>
      </c>
      <c r="D28" s="263">
        <v>39363405.118288711</v>
      </c>
      <c r="E28" s="263">
        <f>IFERROR(VLOOKUP($B28-1,CDM!$L$7:$T$18,2,FALSE)/12,0)+IFERROR(VLOOKUP($B28,CDM!$L$36:$T$46,2,FALSE)/24,0)+IFERROR(VLOOKUP($B28,CDM!$L$36:$T$46,2,FALSE)/2*$C28/78,0)</f>
        <v>1474568.326923077</v>
      </c>
      <c r="F28" s="263">
        <f t="shared" si="2"/>
        <v>40837973.445211791</v>
      </c>
      <c r="G28" s="264">
        <v>52519</v>
      </c>
      <c r="H28" s="263">
        <v>11846154.553392276</v>
      </c>
      <c r="I28" s="263">
        <f>IFERROR(VLOOKUP($B28-1,CDM!$L$7:$T$18,3,FALSE)/12,0)+IFERROR(VLOOKUP($B28,CDM!$L$36:$T$46,3,FALSE)/24,0)+IFERROR(VLOOKUP($B28,CDM!$L$36:$T$46,3,FALSE)/2*$C28/78,0)</f>
        <v>337251.51118151564</v>
      </c>
      <c r="J28" s="263">
        <f t="shared" si="6"/>
        <v>12183406.064573791</v>
      </c>
      <c r="K28" s="265">
        <v>4150</v>
      </c>
      <c r="L28" s="4">
        <v>30603125.753466994</v>
      </c>
      <c r="M28" s="266">
        <f>IFERROR(VLOOKUP($B28-1,CDM!$L$7:$T$18,4,FALSE)/12,0)+IFERROR(VLOOKUP($B28,CDM!$L$36:$T$46,4,FALSE)/24,0)+IFERROR(VLOOKUP($B28,CDM!$L$36:$T$46,4,FALSE)/2*$C28/78,0)</f>
        <v>343891.82860228315</v>
      </c>
      <c r="N28" s="263">
        <f t="shared" si="3"/>
        <v>30947017.582069278</v>
      </c>
      <c r="O28" s="4">
        <v>69754</v>
      </c>
      <c r="P28" s="265">
        <v>524</v>
      </c>
      <c r="Q28" s="265">
        <v>7018829.8921203967</v>
      </c>
      <c r="R28" s="265">
        <f>IFERROR(VLOOKUP($B28-1,CDM!$L$7:$T$18,5,FALSE)/12,0)+IFERROR(VLOOKUP($B28,CDM!$L$36:$T$46,5,FALSE)/24,0)+IFERROR(VLOOKUP($B28,CDM!$L$36:$T$46,5,FALSE)/2*$C28/78,0)</f>
        <v>848556.7532214846</v>
      </c>
      <c r="S28" s="265">
        <f t="shared" si="7"/>
        <v>7867386.6453418816</v>
      </c>
      <c r="T28" s="265">
        <v>15524</v>
      </c>
      <c r="U28" s="265">
        <v>12</v>
      </c>
      <c r="V28" s="265">
        <v>3167625.9681110834</v>
      </c>
      <c r="W28" s="265">
        <f>IFERROR(VLOOKUP($B28-1,CDM!$L$7:$T$18,6,FALSE)/12,0)+IFERROR(VLOOKUP($B28,CDM!$L$36:$T$46,6,FALSE)/24,0)+IFERROR(VLOOKUP($B28,CDM!$L$36:$T$46,6,FALSE)/2*$C28/78,0)</f>
        <v>8491.7622596153851</v>
      </c>
      <c r="X28" s="265">
        <f t="shared" si="8"/>
        <v>3176117.730370699</v>
      </c>
      <c r="Y28" s="265">
        <v>7695</v>
      </c>
      <c r="Z28" s="265">
        <v>1</v>
      </c>
      <c r="AA28" s="4">
        <v>531486.11119392549</v>
      </c>
      <c r="AB28" s="4">
        <v>1259</v>
      </c>
      <c r="AC28" s="265">
        <v>13031</v>
      </c>
      <c r="AD28" s="265">
        <v>2105.8363532328822</v>
      </c>
      <c r="AE28" s="265">
        <v>0</v>
      </c>
      <c r="AF28" s="265">
        <v>23</v>
      </c>
      <c r="AG28" s="4">
        <v>208531</v>
      </c>
      <c r="AH28" s="4">
        <v>246</v>
      </c>
      <c r="AI28" s="28">
        <f>Economic!H30</f>
        <v>764464.8</v>
      </c>
      <c r="AJ28" s="28">
        <f>Economic!I30</f>
        <v>590729.4</v>
      </c>
      <c r="AK28" s="28">
        <f>Economic!J30</f>
        <v>53985.7</v>
      </c>
      <c r="AL28" s="28">
        <f>Economic!K30</f>
        <v>756702</v>
      </c>
      <c r="AM28" s="28">
        <f>Economic!L30</f>
        <v>583158</v>
      </c>
      <c r="AN28" s="28">
        <f>Economic!M30</f>
        <v>30665</v>
      </c>
      <c r="AO28" s="28">
        <f>Economic!D30</f>
        <v>7049</v>
      </c>
      <c r="AP28" s="28">
        <f>Economic!E30</f>
        <v>6946</v>
      </c>
      <c r="AQ28" s="28">
        <f>Economic!F30</f>
        <v>203.2</v>
      </c>
      <c r="AR28" s="28">
        <f>Economic!G30</f>
        <v>200.9</v>
      </c>
      <c r="AS28" s="28">
        <f>Economic!N30</f>
        <v>118.80000000000018</v>
      </c>
      <c r="AT28" s="28">
        <f>Economic!O30</f>
        <v>118.69999999999982</v>
      </c>
      <c r="AU28" s="28">
        <f>Economic!P30</f>
        <v>-3.3000000000000114</v>
      </c>
      <c r="AV28" s="28">
        <f>Economic!Q30</f>
        <v>-3.2999999999999829</v>
      </c>
      <c r="AW28" s="28">
        <f>Economic!R30</f>
        <v>20488.600000000093</v>
      </c>
      <c r="AX28" s="28">
        <f>Economic!S30</f>
        <v>11322</v>
      </c>
      <c r="AY28" s="7">
        <f>Weather!D28</f>
        <v>-1.3444892473118288</v>
      </c>
      <c r="AZ28" s="7">
        <f>Weather!E28</f>
        <v>661.67916666666667</v>
      </c>
      <c r="BA28" s="7">
        <f>Weather!F28</f>
        <v>0</v>
      </c>
      <c r="BB28" s="7">
        <f>Weather!G28</f>
        <v>599.67916666666667</v>
      </c>
      <c r="BC28" s="7">
        <f>Weather!H28</f>
        <v>0</v>
      </c>
      <c r="BD28" s="7">
        <f>Weather!I28</f>
        <v>537.67916666666656</v>
      </c>
      <c r="BE28" s="7">
        <f>Weather!J28</f>
        <v>0</v>
      </c>
      <c r="BF28" s="7">
        <f>Weather!K28</f>
        <v>475.67916666666662</v>
      </c>
      <c r="BG28" s="7">
        <f>Weather!L28</f>
        <v>0</v>
      </c>
      <c r="BH28" s="7">
        <f>Weather!M28</f>
        <v>413.67916666666662</v>
      </c>
      <c r="BI28" s="7">
        <f>Weather!N28</f>
        <v>0</v>
      </c>
      <c r="BJ28" s="7">
        <f>Weather!O28</f>
        <v>351.67916666666656</v>
      </c>
      <c r="BK28" s="7">
        <f>Weather!P28</f>
        <v>0</v>
      </c>
      <c r="BL28" s="7">
        <f>Weather!Q28</f>
        <v>290.67916666666662</v>
      </c>
      <c r="BM28" s="7">
        <f>Weather!R28</f>
        <v>0.99999999999999645</v>
      </c>
      <c r="BN28" s="1">
        <v>0</v>
      </c>
      <c r="BO28" s="1">
        <v>0</v>
      </c>
      <c r="BP28" s="1">
        <v>1</v>
      </c>
      <c r="BQ28" s="1">
        <v>0</v>
      </c>
      <c r="BR28" s="1">
        <v>0</v>
      </c>
      <c r="BS28" s="1">
        <v>0</v>
      </c>
      <c r="BT28" s="1">
        <v>0</v>
      </c>
      <c r="BU28" s="1">
        <v>0</v>
      </c>
      <c r="BV28" s="1">
        <v>0</v>
      </c>
      <c r="BW28" s="1">
        <v>0</v>
      </c>
      <c r="BX28" s="1">
        <v>0</v>
      </c>
      <c r="BY28" s="1">
        <v>0</v>
      </c>
      <c r="BZ28" s="1">
        <v>1</v>
      </c>
      <c r="CA28" s="1">
        <v>0</v>
      </c>
      <c r="CB28" s="1">
        <v>1</v>
      </c>
      <c r="CC28" s="1">
        <f t="shared" si="9"/>
        <v>27</v>
      </c>
      <c r="CD28" s="1">
        <v>31</v>
      </c>
      <c r="CE28" s="1">
        <v>23</v>
      </c>
      <c r="CF28" s="1">
        <v>0</v>
      </c>
      <c r="CG28" s="1">
        <v>0</v>
      </c>
      <c r="CH28" s="1">
        <v>0</v>
      </c>
      <c r="CI28" s="1">
        <v>0</v>
      </c>
      <c r="CJ28" s="1">
        <f t="shared" si="12"/>
        <v>0</v>
      </c>
      <c r="CK28" s="1">
        <f t="shared" si="12"/>
        <v>0</v>
      </c>
      <c r="CL28" s="1">
        <f t="shared" si="12"/>
        <v>0</v>
      </c>
      <c r="CM28" s="1">
        <f t="shared" si="10"/>
        <v>0</v>
      </c>
      <c r="CN28" s="1">
        <f t="shared" si="10"/>
        <v>0</v>
      </c>
      <c r="CO28" s="1">
        <f t="shared" si="10"/>
        <v>0</v>
      </c>
      <c r="CP28" s="1">
        <f t="shared" si="10"/>
        <v>0</v>
      </c>
      <c r="CQ28" s="1">
        <f t="shared" si="10"/>
        <v>0</v>
      </c>
      <c r="CR28" s="1">
        <f t="shared" si="10"/>
        <v>0</v>
      </c>
      <c r="CS28" s="1">
        <f t="shared" si="10"/>
        <v>0</v>
      </c>
      <c r="CT28" s="1">
        <f t="shared" si="10"/>
        <v>0</v>
      </c>
      <c r="CU28" s="1">
        <f t="shared" si="10"/>
        <v>0</v>
      </c>
      <c r="CV28" s="1">
        <f t="shared" si="10"/>
        <v>0</v>
      </c>
      <c r="CW28" s="1">
        <f t="shared" si="10"/>
        <v>0</v>
      </c>
      <c r="CX28" s="1">
        <f t="shared" si="13"/>
        <v>0</v>
      </c>
      <c r="CY28" s="1">
        <f t="shared" si="13"/>
        <v>0</v>
      </c>
      <c r="CZ28" s="1">
        <f t="shared" si="13"/>
        <v>0</v>
      </c>
      <c r="DA28" s="1">
        <f t="shared" si="11"/>
        <v>0</v>
      </c>
      <c r="DB28" s="1">
        <f t="shared" si="11"/>
        <v>0</v>
      </c>
      <c r="DC28" s="1">
        <f t="shared" si="11"/>
        <v>0</v>
      </c>
      <c r="DD28" s="1">
        <f t="shared" si="11"/>
        <v>0</v>
      </c>
      <c r="DE28" s="1">
        <f t="shared" si="11"/>
        <v>0</v>
      </c>
      <c r="DF28" s="1">
        <f t="shared" si="11"/>
        <v>0</v>
      </c>
      <c r="DG28" s="1">
        <f t="shared" si="11"/>
        <v>0</v>
      </c>
      <c r="DH28" s="1">
        <f t="shared" si="11"/>
        <v>0</v>
      </c>
      <c r="DI28" s="1">
        <f t="shared" si="11"/>
        <v>0</v>
      </c>
      <c r="DJ28" s="1">
        <f t="shared" si="11"/>
        <v>0</v>
      </c>
      <c r="DK28" s="1">
        <f t="shared" si="11"/>
        <v>0</v>
      </c>
      <c r="DL28" s="25"/>
      <c r="DM28" s="25"/>
      <c r="DN28" s="24"/>
      <c r="DO28" s="25"/>
      <c r="DP28" s="25"/>
      <c r="DQ28" s="25"/>
      <c r="DR28" s="25"/>
      <c r="DS28" s="25"/>
      <c r="DT28" s="25"/>
      <c r="DU28" s="25"/>
      <c r="DV28" s="25"/>
    </row>
    <row r="29" spans="1:126" x14ac:dyDescent="0.25">
      <c r="A29" s="261">
        <v>42826</v>
      </c>
      <c r="B29" s="262">
        <f t="shared" si="0"/>
        <v>2017</v>
      </c>
      <c r="C29" s="262">
        <f t="shared" si="1"/>
        <v>4</v>
      </c>
      <c r="D29" s="263">
        <v>35382265.757809229</v>
      </c>
      <c r="E29" s="263">
        <f>IFERROR(VLOOKUP($B29-1,CDM!$L$7:$T$18,2,FALSE)/12,0)+IFERROR(VLOOKUP($B29,CDM!$L$36:$T$46,2,FALSE)/24,0)+IFERROR(VLOOKUP($B29,CDM!$L$36:$T$46,2,FALSE)/2*$C29/78,0)</f>
        <v>1558474.6025641025</v>
      </c>
      <c r="F29" s="263">
        <f t="shared" si="2"/>
        <v>36940740.360373333</v>
      </c>
      <c r="G29" s="264">
        <v>52370</v>
      </c>
      <c r="H29" s="263">
        <v>9954755.1581309941</v>
      </c>
      <c r="I29" s="263">
        <f>IFERROR(VLOOKUP($B29-1,CDM!$L$7:$T$18,3,FALSE)/12,0)+IFERROR(VLOOKUP($B29,CDM!$L$36:$T$46,3,FALSE)/24,0)+IFERROR(VLOOKUP($B29,CDM!$L$36:$T$46,3,FALSE)/2*$C29/78,0)</f>
        <v>353082.62494623655</v>
      </c>
      <c r="J29" s="263">
        <f t="shared" si="6"/>
        <v>10307837.783077231</v>
      </c>
      <c r="K29" s="265">
        <v>4151</v>
      </c>
      <c r="L29" s="4">
        <v>25441633.941741522</v>
      </c>
      <c r="M29" s="266">
        <f>IFERROR(VLOOKUP($B29-1,CDM!$L$7:$T$18,4,FALSE)/12,0)+IFERROR(VLOOKUP($B29,CDM!$L$36:$T$46,4,FALSE)/24,0)+IFERROR(VLOOKUP($B29,CDM!$L$36:$T$46,4,FALSE)/2*$C29/78,0)</f>
        <v>360380.61468322523</v>
      </c>
      <c r="N29" s="263">
        <f t="shared" si="3"/>
        <v>25802014.556424748</v>
      </c>
      <c r="O29" s="4">
        <v>67024</v>
      </c>
      <c r="P29" s="265">
        <v>522</v>
      </c>
      <c r="Q29" s="265">
        <v>6807775.8476108965</v>
      </c>
      <c r="R29" s="265">
        <f>IFERROR(VLOOKUP($B29-1,CDM!$L$7:$T$18,5,FALSE)/12,0)+IFERROR(VLOOKUP($B29,CDM!$L$36:$T$46,5,FALSE)/24,0)+IFERROR(VLOOKUP($B29,CDM!$L$36:$T$46,5,FALSE)/2*$C29/78,0)</f>
        <v>850526.49035883392</v>
      </c>
      <c r="S29" s="265">
        <f t="shared" si="7"/>
        <v>7658302.3379697306</v>
      </c>
      <c r="T29" s="265">
        <v>16075</v>
      </c>
      <c r="U29" s="265">
        <v>12</v>
      </c>
      <c r="V29" s="265">
        <v>2851633.5451566167</v>
      </c>
      <c r="W29" s="265">
        <f>IFERROR(VLOOKUP($B29-1,CDM!$L$7:$T$18,6,FALSE)/12,0)+IFERROR(VLOOKUP($B29,CDM!$L$36:$T$46,6,FALSE)/24,0)+IFERROR(VLOOKUP($B29,CDM!$L$36:$T$46,6,FALSE)/2*$C29/78,0)</f>
        <v>9385.6319711538454</v>
      </c>
      <c r="X29" s="265">
        <f t="shared" si="8"/>
        <v>2861019.1771277706</v>
      </c>
      <c r="Y29" s="265">
        <v>7145</v>
      </c>
      <c r="Z29" s="265">
        <v>1</v>
      </c>
      <c r="AA29" s="4">
        <v>399624.5104907034</v>
      </c>
      <c r="AB29" s="4">
        <v>1109</v>
      </c>
      <c r="AC29" s="265">
        <v>13031</v>
      </c>
      <c r="AD29" s="265">
        <v>2134.3887087545299</v>
      </c>
      <c r="AE29" s="265">
        <v>0</v>
      </c>
      <c r="AF29" s="265">
        <v>23</v>
      </c>
      <c r="AG29" s="4">
        <v>209134</v>
      </c>
      <c r="AH29" s="4">
        <v>246</v>
      </c>
      <c r="AI29" s="28">
        <f>Economic!H31</f>
        <v>764464.8</v>
      </c>
      <c r="AJ29" s="28">
        <f>Economic!I31</f>
        <v>590729.4</v>
      </c>
      <c r="AK29" s="28">
        <f>Economic!J31</f>
        <v>53985.7</v>
      </c>
      <c r="AL29" s="28">
        <f>Economic!K31</f>
        <v>764644</v>
      </c>
      <c r="AM29" s="28">
        <f>Economic!L31</f>
        <v>590485</v>
      </c>
      <c r="AN29" s="28">
        <f>Economic!M31</f>
        <v>31148</v>
      </c>
      <c r="AO29" s="28">
        <f>Economic!D31</f>
        <v>7055.1</v>
      </c>
      <c r="AP29" s="28">
        <f>Economic!E31</f>
        <v>6963.6</v>
      </c>
      <c r="AQ29" s="28">
        <f>Economic!F31</f>
        <v>200</v>
      </c>
      <c r="AR29" s="28">
        <f>Economic!G31</f>
        <v>198.9</v>
      </c>
      <c r="AS29" s="28">
        <f>Economic!N31</f>
        <v>123.20000000000073</v>
      </c>
      <c r="AT29" s="28">
        <f>Economic!O31</f>
        <v>119.90000000000055</v>
      </c>
      <c r="AU29" s="28">
        <f>Economic!P31</f>
        <v>-5.8000000000000114</v>
      </c>
      <c r="AV29" s="28">
        <f>Economic!Q31</f>
        <v>-5.0999999999999943</v>
      </c>
      <c r="AW29" s="28">
        <f>Economic!R31</f>
        <v>20488.600000000093</v>
      </c>
      <c r="AX29" s="28">
        <f>Economic!S31</f>
        <v>7942</v>
      </c>
      <c r="AY29" s="7">
        <f>Weather!D29</f>
        <v>8.3870833333333312</v>
      </c>
      <c r="AZ29" s="7">
        <f>Weather!E29</f>
        <v>348.38749999999999</v>
      </c>
      <c r="BA29" s="7">
        <f>Weather!F29</f>
        <v>0</v>
      </c>
      <c r="BB29" s="7">
        <f>Weather!G29</f>
        <v>288.73333333333335</v>
      </c>
      <c r="BC29" s="7">
        <f>Weather!H29</f>
        <v>0.34583333333333854</v>
      </c>
      <c r="BD29" s="7">
        <f>Weather!I29</f>
        <v>230.73333333333338</v>
      </c>
      <c r="BE29" s="7">
        <f>Weather!J29</f>
        <v>2.3458333333333385</v>
      </c>
      <c r="BF29" s="7">
        <f>Weather!K29</f>
        <v>174.03750000000005</v>
      </c>
      <c r="BG29" s="7">
        <f>Weather!L29</f>
        <v>5.6500000000000057</v>
      </c>
      <c r="BH29" s="7">
        <f>Weather!M29</f>
        <v>120.79999999999997</v>
      </c>
      <c r="BI29" s="7">
        <f>Weather!N29</f>
        <v>12.412500000000001</v>
      </c>
      <c r="BJ29" s="7">
        <f>Weather!O29</f>
        <v>73.1458333333333</v>
      </c>
      <c r="BK29" s="7">
        <f>Weather!P29</f>
        <v>24.758333333333333</v>
      </c>
      <c r="BL29" s="7">
        <f>Weather!Q29</f>
        <v>34.695833333333326</v>
      </c>
      <c r="BM29" s="7">
        <f>Weather!R29</f>
        <v>46.308333333333337</v>
      </c>
      <c r="BN29" s="1">
        <v>0</v>
      </c>
      <c r="BO29" s="1">
        <v>0</v>
      </c>
      <c r="BP29" s="1">
        <v>0</v>
      </c>
      <c r="BQ29" s="1">
        <v>1</v>
      </c>
      <c r="BR29" s="1">
        <v>0</v>
      </c>
      <c r="BS29" s="1">
        <v>0</v>
      </c>
      <c r="BT29" s="1">
        <v>0</v>
      </c>
      <c r="BU29" s="1">
        <v>0</v>
      </c>
      <c r="BV29" s="1">
        <v>0</v>
      </c>
      <c r="BW29" s="1">
        <v>0</v>
      </c>
      <c r="BX29" s="1">
        <v>0</v>
      </c>
      <c r="BY29" s="1">
        <v>0</v>
      </c>
      <c r="BZ29" s="1">
        <v>1</v>
      </c>
      <c r="CA29" s="1">
        <v>0</v>
      </c>
      <c r="CB29" s="1">
        <v>1</v>
      </c>
      <c r="CC29" s="1">
        <f t="shared" si="9"/>
        <v>28</v>
      </c>
      <c r="CD29" s="1">
        <v>30</v>
      </c>
      <c r="CE29" s="1">
        <v>19</v>
      </c>
      <c r="CF29" s="1">
        <v>0</v>
      </c>
      <c r="CG29" s="1">
        <v>0</v>
      </c>
      <c r="CH29" s="1">
        <v>0</v>
      </c>
      <c r="CI29" s="1">
        <v>0</v>
      </c>
      <c r="CJ29" s="1">
        <f t="shared" si="12"/>
        <v>0</v>
      </c>
      <c r="CK29" s="1">
        <f t="shared" si="12"/>
        <v>0</v>
      </c>
      <c r="CL29" s="1">
        <f t="shared" si="12"/>
        <v>0</v>
      </c>
      <c r="CM29" s="1">
        <f t="shared" si="10"/>
        <v>0</v>
      </c>
      <c r="CN29" s="1">
        <f t="shared" si="10"/>
        <v>0</v>
      </c>
      <c r="CO29" s="1">
        <f t="shared" si="10"/>
        <v>0</v>
      </c>
      <c r="CP29" s="1">
        <f t="shared" si="10"/>
        <v>0</v>
      </c>
      <c r="CQ29" s="1">
        <f t="shared" si="10"/>
        <v>0</v>
      </c>
      <c r="CR29" s="1">
        <f t="shared" si="10"/>
        <v>0</v>
      </c>
      <c r="CS29" s="1">
        <f t="shared" si="10"/>
        <v>0</v>
      </c>
      <c r="CT29" s="1">
        <f t="shared" si="10"/>
        <v>0</v>
      </c>
      <c r="CU29" s="1">
        <f t="shared" si="10"/>
        <v>0</v>
      </c>
      <c r="CV29" s="1">
        <f t="shared" si="10"/>
        <v>0</v>
      </c>
      <c r="CW29" s="1">
        <f t="shared" si="10"/>
        <v>0</v>
      </c>
      <c r="CX29" s="1">
        <f t="shared" si="13"/>
        <v>0</v>
      </c>
      <c r="CY29" s="1">
        <f t="shared" si="13"/>
        <v>0</v>
      </c>
      <c r="CZ29" s="1">
        <f t="shared" si="13"/>
        <v>0</v>
      </c>
      <c r="DA29" s="1">
        <f t="shared" si="11"/>
        <v>0</v>
      </c>
      <c r="DB29" s="1">
        <f t="shared" si="11"/>
        <v>0</v>
      </c>
      <c r="DC29" s="1">
        <f t="shared" si="11"/>
        <v>0</v>
      </c>
      <c r="DD29" s="1">
        <f t="shared" si="11"/>
        <v>0</v>
      </c>
      <c r="DE29" s="1">
        <f t="shared" si="11"/>
        <v>0</v>
      </c>
      <c r="DF29" s="1">
        <f t="shared" si="11"/>
        <v>0</v>
      </c>
      <c r="DG29" s="1">
        <f t="shared" si="11"/>
        <v>0</v>
      </c>
      <c r="DH29" s="1">
        <f t="shared" si="11"/>
        <v>0</v>
      </c>
      <c r="DI29" s="1">
        <f t="shared" si="11"/>
        <v>0</v>
      </c>
      <c r="DJ29" s="1">
        <f t="shared" si="11"/>
        <v>0</v>
      </c>
      <c r="DK29" s="1">
        <f t="shared" si="11"/>
        <v>0</v>
      </c>
      <c r="DL29" s="25"/>
      <c r="DM29" s="25"/>
      <c r="DN29" s="24"/>
      <c r="DO29" s="25"/>
      <c r="DP29" s="25"/>
      <c r="DQ29" s="25"/>
      <c r="DR29" s="25"/>
      <c r="DS29" s="25"/>
      <c r="DT29" s="25"/>
      <c r="DU29" s="25"/>
      <c r="DV29" s="25"/>
    </row>
    <row r="30" spans="1:126" x14ac:dyDescent="0.25">
      <c r="A30" s="261">
        <v>42856</v>
      </c>
      <c r="B30" s="262">
        <f t="shared" si="0"/>
        <v>2017</v>
      </c>
      <c r="C30" s="262">
        <f t="shared" si="1"/>
        <v>5</v>
      </c>
      <c r="D30" s="263">
        <v>31630468.47845795</v>
      </c>
      <c r="E30" s="263">
        <f>IFERROR(VLOOKUP($B30-1,CDM!$L$7:$T$18,2,FALSE)/12,0)+IFERROR(VLOOKUP($B30,CDM!$L$36:$T$46,2,FALSE)/24,0)+IFERROR(VLOOKUP($B30,CDM!$L$36:$T$46,2,FALSE)/2*$C30/78,0)</f>
        <v>1642380.8782051282</v>
      </c>
      <c r="F30" s="263">
        <f t="shared" si="2"/>
        <v>33272849.356663078</v>
      </c>
      <c r="G30" s="264">
        <v>52743</v>
      </c>
      <c r="H30" s="263">
        <v>9886277.4008637257</v>
      </c>
      <c r="I30" s="263">
        <f>IFERROR(VLOOKUP($B30-1,CDM!$L$7:$T$18,3,FALSE)/12,0)+IFERROR(VLOOKUP($B30,CDM!$L$36:$T$46,3,FALSE)/24,0)+IFERROR(VLOOKUP($B30,CDM!$L$36:$T$46,3,FALSE)/2*$C30/78,0)</f>
        <v>368913.73871095752</v>
      </c>
      <c r="J30" s="263">
        <f t="shared" si="6"/>
        <v>10255191.139574682</v>
      </c>
      <c r="K30" s="265">
        <v>4160</v>
      </c>
      <c r="L30" s="4">
        <v>27270274.554858811</v>
      </c>
      <c r="M30" s="266">
        <f>IFERROR(VLOOKUP($B30-1,CDM!$L$7:$T$18,4,FALSE)/12,0)+IFERROR(VLOOKUP($B30,CDM!$L$36:$T$46,4,FALSE)/24,0)+IFERROR(VLOOKUP($B30,CDM!$L$36:$T$46,4,FALSE)/2*$C30/78,0)</f>
        <v>376869.40076416731</v>
      </c>
      <c r="N30" s="263">
        <f t="shared" si="3"/>
        <v>27647143.955622979</v>
      </c>
      <c r="O30" s="4">
        <v>67586</v>
      </c>
      <c r="P30" s="265">
        <v>523</v>
      </c>
      <c r="Q30" s="265">
        <v>6653942.1059044832</v>
      </c>
      <c r="R30" s="265">
        <f>IFERROR(VLOOKUP($B30-1,CDM!$L$7:$T$18,5,FALSE)/12,0)+IFERROR(VLOOKUP($B30,CDM!$L$36:$T$46,5,FALSE)/24,0)+IFERROR(VLOOKUP($B30,CDM!$L$36:$T$46,5,FALSE)/2*$C30/78,0)</f>
        <v>852496.22749618313</v>
      </c>
      <c r="S30" s="265">
        <f t="shared" si="7"/>
        <v>7506438.3334006667</v>
      </c>
      <c r="T30" s="265">
        <v>16383</v>
      </c>
      <c r="U30" s="265">
        <v>12</v>
      </c>
      <c r="V30" s="265">
        <v>3104012.6835156321</v>
      </c>
      <c r="W30" s="265">
        <f>IFERROR(VLOOKUP($B30-1,CDM!$L$7:$T$18,6,FALSE)/12,0)+IFERROR(VLOOKUP($B30,CDM!$L$36:$T$46,6,FALSE)/24,0)+IFERROR(VLOOKUP($B30,CDM!$L$36:$T$46,6,FALSE)/2*$C30/78,0)</f>
        <v>10279.501682692307</v>
      </c>
      <c r="X30" s="265">
        <f t="shared" si="8"/>
        <v>3114292.1851983243</v>
      </c>
      <c r="Y30" s="265">
        <v>7836</v>
      </c>
      <c r="Z30" s="265">
        <v>1</v>
      </c>
      <c r="AA30" s="4">
        <v>418375.37159357575</v>
      </c>
      <c r="AB30" s="4">
        <v>1270</v>
      </c>
      <c r="AC30" s="265">
        <v>13031</v>
      </c>
      <c r="AD30" s="265">
        <v>2155.2736982643523</v>
      </c>
      <c r="AE30" s="265">
        <v>0</v>
      </c>
      <c r="AF30" s="265">
        <v>23</v>
      </c>
      <c r="AG30" s="4">
        <v>209247</v>
      </c>
      <c r="AH30" s="4">
        <v>246</v>
      </c>
      <c r="AI30" s="28">
        <f>Economic!H32</f>
        <v>764464.8</v>
      </c>
      <c r="AJ30" s="28">
        <f>Economic!I32</f>
        <v>590729.4</v>
      </c>
      <c r="AK30" s="28">
        <f>Economic!J32</f>
        <v>53985.7</v>
      </c>
      <c r="AL30" s="28">
        <f>Economic!K32</f>
        <v>764644</v>
      </c>
      <c r="AM30" s="28">
        <f>Economic!L32</f>
        <v>590485</v>
      </c>
      <c r="AN30" s="28">
        <f>Economic!M32</f>
        <v>31148</v>
      </c>
      <c r="AO30" s="28">
        <f>Economic!D32</f>
        <v>7066.7</v>
      </c>
      <c r="AP30" s="28">
        <f>Economic!E32</f>
        <v>7033.4</v>
      </c>
      <c r="AQ30" s="28">
        <f>Economic!F32</f>
        <v>202.9</v>
      </c>
      <c r="AR30" s="28">
        <f>Economic!G32</f>
        <v>203.9</v>
      </c>
      <c r="AS30" s="28">
        <f>Economic!N32</f>
        <v>122</v>
      </c>
      <c r="AT30" s="28">
        <f>Economic!O32</f>
        <v>119.69999999999982</v>
      </c>
      <c r="AU30" s="28">
        <f>Economic!P32</f>
        <v>-3.1999999999999886</v>
      </c>
      <c r="AV30" s="28">
        <f>Economic!Q32</f>
        <v>-2.1999999999999886</v>
      </c>
      <c r="AW30" s="28">
        <f>Economic!R32</f>
        <v>20488.600000000093</v>
      </c>
      <c r="AX30" s="28">
        <f>Economic!S32</f>
        <v>7942</v>
      </c>
      <c r="AY30" s="7">
        <f>Weather!D30</f>
        <v>12.072311827956989</v>
      </c>
      <c r="AZ30" s="7">
        <f>Weather!E30</f>
        <v>247.16666666666663</v>
      </c>
      <c r="BA30" s="7">
        <f>Weather!F30</f>
        <v>1.4083333333333314</v>
      </c>
      <c r="BB30" s="7">
        <f>Weather!G30</f>
        <v>188.63749999999999</v>
      </c>
      <c r="BC30" s="7">
        <f>Weather!H30</f>
        <v>4.8791666666666664</v>
      </c>
      <c r="BD30" s="7">
        <f>Weather!I30</f>
        <v>134.83333333333331</v>
      </c>
      <c r="BE30" s="7">
        <f>Weather!J30</f>
        <v>13.075000000000003</v>
      </c>
      <c r="BF30" s="7">
        <f>Weather!K30</f>
        <v>88.129166666666677</v>
      </c>
      <c r="BG30" s="7">
        <f>Weather!L30</f>
        <v>28.370833333333344</v>
      </c>
      <c r="BH30" s="7">
        <f>Weather!M30</f>
        <v>52.287499999999987</v>
      </c>
      <c r="BI30" s="7">
        <f>Weather!N30</f>
        <v>54.529166666666683</v>
      </c>
      <c r="BJ30" s="7">
        <f>Weather!O30</f>
        <v>26.741666666666656</v>
      </c>
      <c r="BK30" s="7">
        <f>Weather!P30</f>
        <v>90.983333333333348</v>
      </c>
      <c r="BL30" s="7">
        <f>Weather!Q30</f>
        <v>10.045833333333327</v>
      </c>
      <c r="BM30" s="7">
        <f>Weather!R30</f>
        <v>136.28750000000002</v>
      </c>
      <c r="BN30" s="1">
        <v>0</v>
      </c>
      <c r="BO30" s="1">
        <v>0</v>
      </c>
      <c r="BP30" s="1">
        <v>0</v>
      </c>
      <c r="BQ30" s="1">
        <v>0</v>
      </c>
      <c r="BR30" s="1">
        <v>1</v>
      </c>
      <c r="BS30" s="1">
        <v>0</v>
      </c>
      <c r="BT30" s="1">
        <v>0</v>
      </c>
      <c r="BU30" s="1">
        <v>0</v>
      </c>
      <c r="BV30" s="1">
        <v>0</v>
      </c>
      <c r="BW30" s="1">
        <v>0</v>
      </c>
      <c r="BX30" s="1">
        <v>0</v>
      </c>
      <c r="BY30" s="1">
        <v>0</v>
      </c>
      <c r="BZ30" s="1">
        <v>1</v>
      </c>
      <c r="CA30" s="1">
        <v>0</v>
      </c>
      <c r="CB30" s="1">
        <v>1</v>
      </c>
      <c r="CC30" s="1">
        <f t="shared" si="9"/>
        <v>29</v>
      </c>
      <c r="CD30" s="1">
        <v>31</v>
      </c>
      <c r="CE30" s="1">
        <v>22</v>
      </c>
      <c r="CF30" s="1">
        <v>0</v>
      </c>
      <c r="CG30" s="1">
        <v>0</v>
      </c>
      <c r="CH30" s="1">
        <v>0</v>
      </c>
      <c r="CI30" s="1">
        <v>0</v>
      </c>
      <c r="CJ30" s="1">
        <f t="shared" si="12"/>
        <v>0</v>
      </c>
      <c r="CK30" s="1">
        <f t="shared" si="12"/>
        <v>0</v>
      </c>
      <c r="CL30" s="1">
        <f t="shared" si="12"/>
        <v>0</v>
      </c>
      <c r="CM30" s="1">
        <f t="shared" si="10"/>
        <v>0</v>
      </c>
      <c r="CN30" s="1">
        <f t="shared" si="10"/>
        <v>0</v>
      </c>
      <c r="CO30" s="1">
        <f t="shared" si="10"/>
        <v>0</v>
      </c>
      <c r="CP30" s="1">
        <f t="shared" si="10"/>
        <v>0</v>
      </c>
      <c r="CQ30" s="1">
        <f t="shared" si="10"/>
        <v>0</v>
      </c>
      <c r="CR30" s="1">
        <f t="shared" si="10"/>
        <v>0</v>
      </c>
      <c r="CS30" s="1">
        <f t="shared" si="10"/>
        <v>0</v>
      </c>
      <c r="CT30" s="1">
        <f t="shared" si="10"/>
        <v>0</v>
      </c>
      <c r="CU30" s="1">
        <f t="shared" si="10"/>
        <v>0</v>
      </c>
      <c r="CV30" s="1">
        <f t="shared" si="10"/>
        <v>0</v>
      </c>
      <c r="CW30" s="1">
        <f t="shared" si="10"/>
        <v>0</v>
      </c>
      <c r="CX30" s="1">
        <f t="shared" si="13"/>
        <v>0</v>
      </c>
      <c r="CY30" s="1">
        <f t="shared" si="13"/>
        <v>0</v>
      </c>
      <c r="CZ30" s="1">
        <f t="shared" si="13"/>
        <v>0</v>
      </c>
      <c r="DA30" s="1">
        <f t="shared" si="11"/>
        <v>0</v>
      </c>
      <c r="DB30" s="1">
        <f t="shared" si="11"/>
        <v>0</v>
      </c>
      <c r="DC30" s="1">
        <f t="shared" si="11"/>
        <v>0</v>
      </c>
      <c r="DD30" s="1">
        <f t="shared" si="11"/>
        <v>0</v>
      </c>
      <c r="DE30" s="1">
        <f t="shared" si="11"/>
        <v>0</v>
      </c>
      <c r="DF30" s="1">
        <f t="shared" si="11"/>
        <v>0</v>
      </c>
      <c r="DG30" s="1">
        <f t="shared" si="11"/>
        <v>0</v>
      </c>
      <c r="DH30" s="1">
        <f t="shared" si="11"/>
        <v>0</v>
      </c>
      <c r="DI30" s="1">
        <f t="shared" si="11"/>
        <v>0</v>
      </c>
      <c r="DJ30" s="1">
        <f t="shared" si="11"/>
        <v>0</v>
      </c>
      <c r="DK30" s="1">
        <f t="shared" si="11"/>
        <v>0</v>
      </c>
      <c r="DL30" s="25"/>
      <c r="DM30" s="25"/>
      <c r="DN30" s="24"/>
      <c r="DO30" s="25"/>
      <c r="DP30" s="25"/>
      <c r="DQ30" s="25"/>
      <c r="DR30" s="25"/>
      <c r="DS30" s="25"/>
      <c r="DT30" s="25"/>
      <c r="DU30" s="25"/>
      <c r="DV30" s="25"/>
    </row>
    <row r="31" spans="1:126" x14ac:dyDescent="0.25">
      <c r="A31" s="261">
        <v>42887</v>
      </c>
      <c r="B31" s="262">
        <f t="shared" si="0"/>
        <v>2017</v>
      </c>
      <c r="C31" s="262">
        <f t="shared" si="1"/>
        <v>6</v>
      </c>
      <c r="D31" s="263">
        <v>35544834.490070038</v>
      </c>
      <c r="E31" s="263">
        <f>IFERROR(VLOOKUP($B31-1,CDM!$L$7:$T$18,2,FALSE)/12,0)+IFERROR(VLOOKUP($B31,CDM!$L$36:$T$46,2,FALSE)/24,0)+IFERROR(VLOOKUP($B31,CDM!$L$36:$T$46,2,FALSE)/2*$C31/78,0)</f>
        <v>1726287.153846154</v>
      </c>
      <c r="F31" s="263">
        <f t="shared" si="2"/>
        <v>37271121.64391619</v>
      </c>
      <c r="G31" s="264">
        <v>53031</v>
      </c>
      <c r="H31" s="263">
        <v>9886969.9941238444</v>
      </c>
      <c r="I31" s="263">
        <f>IFERROR(VLOOKUP($B31-1,CDM!$L$7:$T$18,3,FALSE)/12,0)+IFERROR(VLOOKUP($B31,CDM!$L$36:$T$46,3,FALSE)/24,0)+IFERROR(VLOOKUP($B31,CDM!$L$36:$T$46,3,FALSE)/2*$C31/78,0)</f>
        <v>384744.85247567843</v>
      </c>
      <c r="J31" s="263">
        <f t="shared" si="6"/>
        <v>10271714.846599523</v>
      </c>
      <c r="K31" s="265">
        <v>4154</v>
      </c>
      <c r="L31" s="4">
        <v>24116964.785477251</v>
      </c>
      <c r="M31" s="266">
        <f>IFERROR(VLOOKUP($B31-1,CDM!$L$7:$T$18,4,FALSE)/12,0)+IFERROR(VLOOKUP($B31,CDM!$L$36:$T$46,4,FALSE)/24,0)+IFERROR(VLOOKUP($B31,CDM!$L$36:$T$46,4,FALSE)/2*$C31/78,0)</f>
        <v>393358.18684510939</v>
      </c>
      <c r="N31" s="263">
        <f t="shared" si="3"/>
        <v>24510322.97232236</v>
      </c>
      <c r="O31" s="4">
        <v>61199</v>
      </c>
      <c r="P31" s="265">
        <v>525</v>
      </c>
      <c r="Q31" s="265">
        <v>7175873.2812722484</v>
      </c>
      <c r="R31" s="265">
        <f>IFERROR(VLOOKUP($B31-1,CDM!$L$7:$T$18,5,FALSE)/12,0)+IFERROR(VLOOKUP($B31,CDM!$L$36:$T$46,5,FALSE)/24,0)+IFERROR(VLOOKUP($B31,CDM!$L$36:$T$46,5,FALSE)/2*$C31/78,0)</f>
        <v>854465.96463353245</v>
      </c>
      <c r="S31" s="265">
        <f t="shared" si="7"/>
        <v>8030339.2459057812</v>
      </c>
      <c r="T31" s="265">
        <v>17546</v>
      </c>
      <c r="U31" s="265">
        <v>12</v>
      </c>
      <c r="V31" s="265">
        <v>3164334.3234939571</v>
      </c>
      <c r="W31" s="265">
        <f>IFERROR(VLOOKUP($B31-1,CDM!$L$7:$T$18,6,FALSE)/12,0)+IFERROR(VLOOKUP($B31,CDM!$L$36:$T$46,6,FALSE)/24,0)+IFERROR(VLOOKUP($B31,CDM!$L$36:$T$46,6,FALSE)/2*$C31/78,0)</f>
        <v>11173.37139423077</v>
      </c>
      <c r="X31" s="265">
        <f t="shared" si="8"/>
        <v>3175507.694888188</v>
      </c>
      <c r="Y31" s="265">
        <v>7745</v>
      </c>
      <c r="Z31" s="265">
        <v>1</v>
      </c>
      <c r="AA31" s="4">
        <v>373328.62614431116</v>
      </c>
      <c r="AB31" s="4">
        <v>1270</v>
      </c>
      <c r="AC31" s="265">
        <v>13031</v>
      </c>
      <c r="AD31" s="265">
        <v>2216.784283806981</v>
      </c>
      <c r="AE31" s="265">
        <v>0</v>
      </c>
      <c r="AF31" s="265">
        <v>23</v>
      </c>
      <c r="AG31" s="4">
        <v>208939</v>
      </c>
      <c r="AH31" s="4">
        <v>246</v>
      </c>
      <c r="AI31" s="28">
        <f>Economic!H33</f>
        <v>764464.8</v>
      </c>
      <c r="AJ31" s="28">
        <f>Economic!I33</f>
        <v>590729.4</v>
      </c>
      <c r="AK31" s="28">
        <f>Economic!J33</f>
        <v>53985.7</v>
      </c>
      <c r="AL31" s="28">
        <f>Economic!K33</f>
        <v>764644</v>
      </c>
      <c r="AM31" s="28">
        <f>Economic!L33</f>
        <v>590485</v>
      </c>
      <c r="AN31" s="28">
        <f>Economic!M33</f>
        <v>31148</v>
      </c>
      <c r="AO31" s="28">
        <f>Economic!D33</f>
        <v>7079.8</v>
      </c>
      <c r="AP31" s="28">
        <f>Economic!E33</f>
        <v>7123</v>
      </c>
      <c r="AQ31" s="28">
        <f>Economic!F33</f>
        <v>206.7</v>
      </c>
      <c r="AR31" s="28">
        <f>Economic!G33</f>
        <v>209.8</v>
      </c>
      <c r="AS31" s="28">
        <f>Economic!N33</f>
        <v>124.30000000000018</v>
      </c>
      <c r="AT31" s="28">
        <f>Economic!O33</f>
        <v>122.80000000000018</v>
      </c>
      <c r="AU31" s="28">
        <f>Economic!P33</f>
        <v>2</v>
      </c>
      <c r="AV31" s="28">
        <f>Economic!Q33</f>
        <v>3.1000000000000227</v>
      </c>
      <c r="AW31" s="28">
        <f>Economic!R33</f>
        <v>20488.600000000093</v>
      </c>
      <c r="AX31" s="28">
        <f>Economic!S33</f>
        <v>7942</v>
      </c>
      <c r="AY31" s="7">
        <f>Weather!D31</f>
        <v>17.620722222222227</v>
      </c>
      <c r="AZ31" s="7">
        <f>Weather!E31</f>
        <v>85.453333333333319</v>
      </c>
      <c r="BA31" s="7">
        <f>Weather!F31</f>
        <v>14.074999999999999</v>
      </c>
      <c r="BB31" s="7">
        <f>Weather!G31</f>
        <v>47.73249999999998</v>
      </c>
      <c r="BC31" s="7">
        <f>Weather!H31</f>
        <v>36.354166666666671</v>
      </c>
      <c r="BD31" s="7">
        <f>Weather!I31</f>
        <v>20.287499999999987</v>
      </c>
      <c r="BE31" s="7">
        <f>Weather!J31</f>
        <v>68.909166666666678</v>
      </c>
      <c r="BF31" s="7">
        <f>Weather!K31</f>
        <v>4.091666666666665</v>
      </c>
      <c r="BG31" s="7">
        <f>Weather!L31</f>
        <v>112.71333333333334</v>
      </c>
      <c r="BH31" s="7">
        <f>Weather!M31</f>
        <v>0</v>
      </c>
      <c r="BI31" s="7">
        <f>Weather!N31</f>
        <v>168.62166666666667</v>
      </c>
      <c r="BJ31" s="7">
        <f>Weather!O31</f>
        <v>0</v>
      </c>
      <c r="BK31" s="7">
        <f>Weather!P31</f>
        <v>228.62166666666667</v>
      </c>
      <c r="BL31" s="7">
        <f>Weather!Q31</f>
        <v>0</v>
      </c>
      <c r="BM31" s="7">
        <f>Weather!R31</f>
        <v>288.62166666666667</v>
      </c>
      <c r="BN31" s="1">
        <v>0</v>
      </c>
      <c r="BO31" s="1">
        <v>0</v>
      </c>
      <c r="BP31" s="1">
        <v>0</v>
      </c>
      <c r="BQ31" s="1">
        <v>0</v>
      </c>
      <c r="BR31" s="1">
        <v>0</v>
      </c>
      <c r="BS31" s="1">
        <v>1</v>
      </c>
      <c r="BT31" s="1">
        <v>0</v>
      </c>
      <c r="BU31" s="1">
        <v>0</v>
      </c>
      <c r="BV31" s="1">
        <v>0</v>
      </c>
      <c r="BW31" s="1">
        <v>0</v>
      </c>
      <c r="BX31" s="1">
        <v>0</v>
      </c>
      <c r="BY31" s="1">
        <v>0</v>
      </c>
      <c r="BZ31" s="1">
        <v>0</v>
      </c>
      <c r="CA31" s="1">
        <v>0</v>
      </c>
      <c r="CB31" s="1">
        <v>0</v>
      </c>
      <c r="CC31" s="1">
        <f t="shared" si="9"/>
        <v>30</v>
      </c>
      <c r="CD31" s="1">
        <v>30</v>
      </c>
      <c r="CE31" s="1">
        <v>22</v>
      </c>
      <c r="CF31" s="1">
        <v>0</v>
      </c>
      <c r="CG31" s="1">
        <v>0</v>
      </c>
      <c r="CH31" s="1">
        <v>0</v>
      </c>
      <c r="CI31" s="1">
        <v>0</v>
      </c>
      <c r="CJ31" s="1">
        <f t="shared" si="12"/>
        <v>0</v>
      </c>
      <c r="CK31" s="1">
        <f t="shared" si="12"/>
        <v>0</v>
      </c>
      <c r="CL31" s="1">
        <f t="shared" si="12"/>
        <v>0</v>
      </c>
      <c r="CM31" s="1">
        <f t="shared" si="10"/>
        <v>0</v>
      </c>
      <c r="CN31" s="1">
        <f t="shared" si="10"/>
        <v>0</v>
      </c>
      <c r="CO31" s="1">
        <f t="shared" ref="CO31:CW59" si="14">$CG31*BE31</f>
        <v>0</v>
      </c>
      <c r="CP31" s="1">
        <f t="shared" si="14"/>
        <v>0</v>
      </c>
      <c r="CQ31" s="1">
        <f t="shared" si="14"/>
        <v>0</v>
      </c>
      <c r="CR31" s="1">
        <f t="shared" si="14"/>
        <v>0</v>
      </c>
      <c r="CS31" s="1">
        <f t="shared" si="14"/>
        <v>0</v>
      </c>
      <c r="CT31" s="1">
        <f t="shared" si="14"/>
        <v>0</v>
      </c>
      <c r="CU31" s="1">
        <f t="shared" si="14"/>
        <v>0</v>
      </c>
      <c r="CV31" s="1">
        <f t="shared" si="14"/>
        <v>0</v>
      </c>
      <c r="CW31" s="1">
        <f t="shared" si="14"/>
        <v>0</v>
      </c>
      <c r="CX31" s="1">
        <f t="shared" si="13"/>
        <v>0</v>
      </c>
      <c r="CY31" s="1">
        <f t="shared" si="13"/>
        <v>0</v>
      </c>
      <c r="CZ31" s="1">
        <f t="shared" si="13"/>
        <v>0</v>
      </c>
      <c r="DA31" s="1">
        <f t="shared" si="11"/>
        <v>0</v>
      </c>
      <c r="DB31" s="1">
        <f t="shared" si="11"/>
        <v>0</v>
      </c>
      <c r="DC31" s="1">
        <f t="shared" ref="DC31:DK59" si="15">$CH31*BE31</f>
        <v>0</v>
      </c>
      <c r="DD31" s="1">
        <f t="shared" si="15"/>
        <v>0</v>
      </c>
      <c r="DE31" s="1">
        <f t="shared" si="15"/>
        <v>0</v>
      </c>
      <c r="DF31" s="1">
        <f t="shared" si="15"/>
        <v>0</v>
      </c>
      <c r="DG31" s="1">
        <f t="shared" si="15"/>
        <v>0</v>
      </c>
      <c r="DH31" s="1">
        <f t="shared" si="15"/>
        <v>0</v>
      </c>
      <c r="DI31" s="1">
        <f t="shared" si="15"/>
        <v>0</v>
      </c>
      <c r="DJ31" s="1">
        <f t="shared" si="15"/>
        <v>0</v>
      </c>
      <c r="DK31" s="1">
        <f t="shared" si="15"/>
        <v>0</v>
      </c>
      <c r="DL31" s="25"/>
      <c r="DM31" s="25"/>
      <c r="DN31" s="24"/>
      <c r="DO31" s="25"/>
      <c r="DP31" s="25"/>
      <c r="DQ31" s="25"/>
      <c r="DR31" s="25"/>
      <c r="DS31" s="25"/>
      <c r="DT31" s="25"/>
      <c r="DU31" s="25"/>
      <c r="DV31" s="25"/>
    </row>
    <row r="32" spans="1:126" x14ac:dyDescent="0.25">
      <c r="A32" s="261">
        <v>42917</v>
      </c>
      <c r="B32" s="262">
        <f t="shared" si="0"/>
        <v>2017</v>
      </c>
      <c r="C32" s="262">
        <f t="shared" si="1"/>
        <v>7</v>
      </c>
      <c r="D32" s="263">
        <v>41196812.372879505</v>
      </c>
      <c r="E32" s="263">
        <f>IFERROR(VLOOKUP($B32-1,CDM!$L$7:$T$18,2,FALSE)/12,0)+IFERROR(VLOOKUP($B32,CDM!$L$36:$T$46,2,FALSE)/24,0)+IFERROR(VLOOKUP($B32,CDM!$L$36:$T$46,2,FALSE)/2*$C32/78,0)</f>
        <v>1810193.4294871795</v>
      </c>
      <c r="F32" s="263">
        <f t="shared" si="2"/>
        <v>43007005.802366681</v>
      </c>
      <c r="G32" s="264">
        <v>52774</v>
      </c>
      <c r="H32" s="263">
        <v>10967495.355628526</v>
      </c>
      <c r="I32" s="263">
        <f>IFERROR(VLOOKUP($B32-1,CDM!$L$7:$T$18,3,FALSE)/12,0)+IFERROR(VLOOKUP($B32,CDM!$L$36:$T$46,3,FALSE)/24,0)+IFERROR(VLOOKUP($B32,CDM!$L$36:$T$46,3,FALSE)/2*$C32/78,0)</f>
        <v>400575.9662403994</v>
      </c>
      <c r="J32" s="263">
        <f t="shared" si="6"/>
        <v>11368071.321868924</v>
      </c>
      <c r="K32" s="265">
        <v>4158</v>
      </c>
      <c r="L32" s="4">
        <v>31059700.469577063</v>
      </c>
      <c r="M32" s="266">
        <f>IFERROR(VLOOKUP($B32-1,CDM!$L$7:$T$18,4,FALSE)/12,0)+IFERROR(VLOOKUP($B32,CDM!$L$36:$T$46,4,FALSE)/24,0)+IFERROR(VLOOKUP($B32,CDM!$L$36:$T$46,4,FALSE)/2*$C32/78,0)</f>
        <v>409846.97292605147</v>
      </c>
      <c r="N32" s="263">
        <f t="shared" si="3"/>
        <v>31469547.442503113</v>
      </c>
      <c r="O32" s="4">
        <v>74429</v>
      </c>
      <c r="P32" s="265">
        <v>526</v>
      </c>
      <c r="Q32" s="265">
        <v>7966190.3157943618</v>
      </c>
      <c r="R32" s="265">
        <f>IFERROR(VLOOKUP($B32-1,CDM!$L$7:$T$18,5,FALSE)/12,0)+IFERROR(VLOOKUP($B32,CDM!$L$36:$T$46,5,FALSE)/24,0)+IFERROR(VLOOKUP($B32,CDM!$L$36:$T$46,5,FALSE)/2*$C32/78,0)</f>
        <v>856435.70177088166</v>
      </c>
      <c r="S32" s="265">
        <f t="shared" si="7"/>
        <v>8822626.0175652429</v>
      </c>
      <c r="T32" s="265">
        <v>17465</v>
      </c>
      <c r="U32" s="265">
        <v>12</v>
      </c>
      <c r="V32" s="265">
        <v>3330834.0260694562</v>
      </c>
      <c r="W32" s="265">
        <f>IFERROR(VLOOKUP($B32-1,CDM!$L$7:$T$18,6,FALSE)/12,0)+IFERROR(VLOOKUP($B32,CDM!$L$36:$T$46,6,FALSE)/24,0)+IFERROR(VLOOKUP($B32,CDM!$L$36:$T$46,6,FALSE)/2*$C32/78,0)</f>
        <v>12067.24110576923</v>
      </c>
      <c r="X32" s="265">
        <f t="shared" si="8"/>
        <v>3342901.2671752255</v>
      </c>
      <c r="Y32" s="265">
        <v>8576</v>
      </c>
      <c r="Z32" s="265">
        <v>1</v>
      </c>
      <c r="AA32" s="4">
        <v>396654.68421546015</v>
      </c>
      <c r="AB32" s="4">
        <v>1274</v>
      </c>
      <c r="AC32" s="265">
        <v>13031</v>
      </c>
      <c r="AD32" s="265">
        <v>2072.8781232119018</v>
      </c>
      <c r="AE32" s="265">
        <v>0</v>
      </c>
      <c r="AF32" s="265">
        <v>23</v>
      </c>
      <c r="AG32" s="4">
        <v>208939</v>
      </c>
      <c r="AH32" s="4">
        <v>246</v>
      </c>
      <c r="AI32" s="28">
        <f>Economic!H34</f>
        <v>764464.8</v>
      </c>
      <c r="AJ32" s="28">
        <f>Economic!I34</f>
        <v>590729.4</v>
      </c>
      <c r="AK32" s="28">
        <f>Economic!J34</f>
        <v>53985.7</v>
      </c>
      <c r="AL32" s="28">
        <f>Economic!K34</f>
        <v>765060</v>
      </c>
      <c r="AM32" s="28">
        <f>Economic!L34</f>
        <v>592461</v>
      </c>
      <c r="AN32" s="28">
        <f>Economic!M34</f>
        <v>31156</v>
      </c>
      <c r="AO32" s="28">
        <f>Economic!D34</f>
        <v>7101.9</v>
      </c>
      <c r="AP32" s="28">
        <f>Economic!E34</f>
        <v>7196</v>
      </c>
      <c r="AQ32" s="28">
        <f>Economic!F34</f>
        <v>207</v>
      </c>
      <c r="AR32" s="28">
        <f>Economic!G34</f>
        <v>209.9</v>
      </c>
      <c r="AS32" s="28">
        <f>Economic!N34</f>
        <v>145.59999999999945</v>
      </c>
      <c r="AT32" s="28">
        <f>Economic!O34</f>
        <v>146.5</v>
      </c>
      <c r="AU32" s="28">
        <f>Economic!P34</f>
        <v>0.5</v>
      </c>
      <c r="AV32" s="28">
        <f>Economic!Q34</f>
        <v>0.70000000000001705</v>
      </c>
      <c r="AW32" s="28">
        <f>Economic!R34</f>
        <v>20488.600000000093</v>
      </c>
      <c r="AX32" s="28">
        <f>Economic!S34</f>
        <v>416</v>
      </c>
      <c r="AY32" s="7">
        <f>Weather!D32</f>
        <v>20.392473118279565</v>
      </c>
      <c r="AZ32" s="7">
        <f>Weather!E32</f>
        <v>14.412500000000009</v>
      </c>
      <c r="BA32" s="7">
        <f>Weather!F32</f>
        <v>26.579166666666627</v>
      </c>
      <c r="BB32" s="7">
        <f>Weather!G32</f>
        <v>1.8041666666666707</v>
      </c>
      <c r="BC32" s="7">
        <f>Weather!H32</f>
        <v>75.970833333333289</v>
      </c>
      <c r="BD32" s="7">
        <f>Weather!I32</f>
        <v>0</v>
      </c>
      <c r="BE32" s="7">
        <f>Weather!J32</f>
        <v>136.16666666666663</v>
      </c>
      <c r="BF32" s="7">
        <f>Weather!K32</f>
        <v>0</v>
      </c>
      <c r="BG32" s="7">
        <f>Weather!L32</f>
        <v>198.16666666666666</v>
      </c>
      <c r="BH32" s="7">
        <f>Weather!M32</f>
        <v>0</v>
      </c>
      <c r="BI32" s="7">
        <f>Weather!N32</f>
        <v>260.16666666666657</v>
      </c>
      <c r="BJ32" s="7">
        <f>Weather!O32</f>
        <v>0</v>
      </c>
      <c r="BK32" s="7">
        <f>Weather!P32</f>
        <v>322.16666666666657</v>
      </c>
      <c r="BL32" s="7">
        <f>Weather!Q32</f>
        <v>0</v>
      </c>
      <c r="BM32" s="7">
        <f>Weather!R32</f>
        <v>384.16666666666657</v>
      </c>
      <c r="BN32" s="1">
        <v>0</v>
      </c>
      <c r="BO32" s="1">
        <v>0</v>
      </c>
      <c r="BP32" s="1">
        <v>0</v>
      </c>
      <c r="BQ32" s="1">
        <v>0</v>
      </c>
      <c r="BR32" s="1">
        <v>0</v>
      </c>
      <c r="BS32" s="1">
        <v>0</v>
      </c>
      <c r="BT32" s="1">
        <v>1</v>
      </c>
      <c r="BU32" s="1">
        <v>0</v>
      </c>
      <c r="BV32" s="1">
        <v>0</v>
      </c>
      <c r="BW32" s="1">
        <v>0</v>
      </c>
      <c r="BX32" s="1">
        <v>0</v>
      </c>
      <c r="BY32" s="1">
        <v>0</v>
      </c>
      <c r="BZ32" s="1">
        <v>0</v>
      </c>
      <c r="CA32" s="1">
        <v>0</v>
      </c>
      <c r="CB32" s="1">
        <v>0</v>
      </c>
      <c r="CC32" s="1">
        <f t="shared" si="9"/>
        <v>31</v>
      </c>
      <c r="CD32" s="1">
        <v>31</v>
      </c>
      <c r="CE32" s="1">
        <v>20</v>
      </c>
      <c r="CF32" s="1">
        <v>0</v>
      </c>
      <c r="CG32" s="1">
        <v>0</v>
      </c>
      <c r="CH32" s="1">
        <v>0</v>
      </c>
      <c r="CI32" s="1">
        <v>0</v>
      </c>
      <c r="CJ32" s="1">
        <f t="shared" si="12"/>
        <v>0</v>
      </c>
      <c r="CK32" s="1">
        <f t="shared" si="12"/>
        <v>0</v>
      </c>
      <c r="CL32" s="1">
        <f t="shared" si="12"/>
        <v>0</v>
      </c>
      <c r="CM32" s="1">
        <f t="shared" si="12"/>
        <v>0</v>
      </c>
      <c r="CN32" s="1">
        <f t="shared" si="12"/>
        <v>0</v>
      </c>
      <c r="CO32" s="1">
        <f t="shared" si="14"/>
        <v>0</v>
      </c>
      <c r="CP32" s="1">
        <f t="shared" si="14"/>
        <v>0</v>
      </c>
      <c r="CQ32" s="1">
        <f t="shared" si="14"/>
        <v>0</v>
      </c>
      <c r="CR32" s="1">
        <f t="shared" si="14"/>
        <v>0</v>
      </c>
      <c r="CS32" s="1">
        <f t="shared" si="14"/>
        <v>0</v>
      </c>
      <c r="CT32" s="1">
        <f t="shared" si="14"/>
        <v>0</v>
      </c>
      <c r="CU32" s="1">
        <f t="shared" si="14"/>
        <v>0</v>
      </c>
      <c r="CV32" s="1">
        <f t="shared" si="14"/>
        <v>0</v>
      </c>
      <c r="CW32" s="1">
        <f t="shared" si="14"/>
        <v>0</v>
      </c>
      <c r="CX32" s="1">
        <f t="shared" si="13"/>
        <v>0</v>
      </c>
      <c r="CY32" s="1">
        <f t="shared" si="13"/>
        <v>0</v>
      </c>
      <c r="CZ32" s="1">
        <f t="shared" si="13"/>
        <v>0</v>
      </c>
      <c r="DA32" s="1">
        <f t="shared" si="13"/>
        <v>0</v>
      </c>
      <c r="DB32" s="1">
        <f t="shared" si="13"/>
        <v>0</v>
      </c>
      <c r="DC32" s="1">
        <f t="shared" si="15"/>
        <v>0</v>
      </c>
      <c r="DD32" s="1">
        <f t="shared" si="15"/>
        <v>0</v>
      </c>
      <c r="DE32" s="1">
        <f t="shared" si="15"/>
        <v>0</v>
      </c>
      <c r="DF32" s="1">
        <f t="shared" si="15"/>
        <v>0</v>
      </c>
      <c r="DG32" s="1">
        <f t="shared" si="15"/>
        <v>0</v>
      </c>
      <c r="DH32" s="1">
        <f t="shared" si="15"/>
        <v>0</v>
      </c>
      <c r="DI32" s="1">
        <f t="shared" si="15"/>
        <v>0</v>
      </c>
      <c r="DJ32" s="1">
        <f t="shared" si="15"/>
        <v>0</v>
      </c>
      <c r="DK32" s="1">
        <f t="shared" si="15"/>
        <v>0</v>
      </c>
      <c r="DL32" s="25"/>
      <c r="DM32" s="25"/>
      <c r="DN32" s="24"/>
      <c r="DO32" s="25"/>
      <c r="DP32" s="25"/>
      <c r="DQ32" s="25"/>
      <c r="DR32" s="25"/>
      <c r="DS32" s="25"/>
      <c r="DT32" s="25"/>
      <c r="DU32" s="25"/>
      <c r="DV32" s="25"/>
    </row>
    <row r="33" spans="1:126" x14ac:dyDescent="0.25">
      <c r="A33" s="261">
        <v>42948</v>
      </c>
      <c r="B33" s="262">
        <f t="shared" si="0"/>
        <v>2017</v>
      </c>
      <c r="C33" s="262">
        <f t="shared" si="1"/>
        <v>8</v>
      </c>
      <c r="D33" s="263">
        <v>41352412.042030372</v>
      </c>
      <c r="E33" s="263">
        <f>IFERROR(VLOOKUP($B33-1,CDM!$L$7:$T$18,2,FALSE)/12,0)+IFERROR(VLOOKUP($B33,CDM!$L$36:$T$46,2,FALSE)/24,0)+IFERROR(VLOOKUP($B33,CDM!$L$36:$T$46,2,FALSE)/2*$C33/78,0)</f>
        <v>1894099.705128205</v>
      </c>
      <c r="F33" s="263">
        <f t="shared" si="2"/>
        <v>43246511.74715858</v>
      </c>
      <c r="G33" s="264">
        <v>52947</v>
      </c>
      <c r="H33" s="263">
        <v>10592818.57926497</v>
      </c>
      <c r="I33" s="263">
        <f>IFERROR(VLOOKUP($B33-1,CDM!$L$7:$T$18,3,FALSE)/12,0)+IFERROR(VLOOKUP($B33,CDM!$L$36:$T$46,3,FALSE)/24,0)+IFERROR(VLOOKUP($B33,CDM!$L$36:$T$46,3,FALSE)/2*$C33/78,0)</f>
        <v>416407.08000512037</v>
      </c>
      <c r="J33" s="263">
        <f t="shared" si="6"/>
        <v>11009225.659270091</v>
      </c>
      <c r="K33" s="265">
        <v>4157</v>
      </c>
      <c r="L33" s="4">
        <v>26614810.052977882</v>
      </c>
      <c r="M33" s="266">
        <f>IFERROR(VLOOKUP($B33-1,CDM!$L$7:$T$18,4,FALSE)/12,0)+IFERROR(VLOOKUP($B33,CDM!$L$36:$T$46,4,FALSE)/24,0)+IFERROR(VLOOKUP($B33,CDM!$L$36:$T$46,4,FALSE)/2*$C33/78,0)</f>
        <v>426335.75900699355</v>
      </c>
      <c r="N33" s="263">
        <f t="shared" si="3"/>
        <v>27041145.811984874</v>
      </c>
      <c r="O33" s="4">
        <v>68930</v>
      </c>
      <c r="P33" s="265">
        <v>525</v>
      </c>
      <c r="Q33" s="265">
        <v>8247536.7965572923</v>
      </c>
      <c r="R33" s="265">
        <f>IFERROR(VLOOKUP($B33-1,CDM!$L$7:$T$18,5,FALSE)/12,0)+IFERROR(VLOOKUP($B33,CDM!$L$36:$T$46,5,FALSE)/24,0)+IFERROR(VLOOKUP($B33,CDM!$L$36:$T$46,5,FALSE)/2*$C33/78,0)</f>
        <v>858405.43890823098</v>
      </c>
      <c r="S33" s="265">
        <f t="shared" si="7"/>
        <v>9105942.2354655229</v>
      </c>
      <c r="T33" s="265">
        <v>17112</v>
      </c>
      <c r="U33" s="265">
        <v>12</v>
      </c>
      <c r="V33" s="265">
        <v>3426068.7581383074</v>
      </c>
      <c r="W33" s="265">
        <f>IFERROR(VLOOKUP($B33-1,CDM!$L$7:$T$18,6,FALSE)/12,0)+IFERROR(VLOOKUP($B33,CDM!$L$36:$T$46,6,FALSE)/24,0)+IFERROR(VLOOKUP($B33,CDM!$L$36:$T$46,6,FALSE)/2*$C33/78,0)</f>
        <v>12961.110817307692</v>
      </c>
      <c r="X33" s="265">
        <f t="shared" si="8"/>
        <v>3439029.868955615</v>
      </c>
      <c r="Y33" s="265">
        <v>8565</v>
      </c>
      <c r="Z33" s="265">
        <v>1</v>
      </c>
      <c r="AA33" s="4">
        <v>169360.79722255282</v>
      </c>
      <c r="AB33" s="4">
        <v>980</v>
      </c>
      <c r="AC33" s="265">
        <v>13031</v>
      </c>
      <c r="AD33" s="265">
        <v>2155.2736982643523</v>
      </c>
      <c r="AE33" s="265">
        <v>0</v>
      </c>
      <c r="AF33" s="265">
        <v>23</v>
      </c>
      <c r="AG33" s="4">
        <v>209882</v>
      </c>
      <c r="AH33" s="4">
        <v>246</v>
      </c>
      <c r="AI33" s="28">
        <f>Economic!H35</f>
        <v>764464.8</v>
      </c>
      <c r="AJ33" s="28">
        <f>Economic!I35</f>
        <v>590729.4</v>
      </c>
      <c r="AK33" s="28">
        <f>Economic!J35</f>
        <v>53985.7</v>
      </c>
      <c r="AL33" s="28">
        <f>Economic!K35</f>
        <v>765060</v>
      </c>
      <c r="AM33" s="28">
        <f>Economic!L35</f>
        <v>592461</v>
      </c>
      <c r="AN33" s="28">
        <f>Economic!M35</f>
        <v>31156</v>
      </c>
      <c r="AO33" s="28">
        <f>Economic!D35</f>
        <v>7121.1</v>
      </c>
      <c r="AP33" s="28">
        <f>Economic!E35</f>
        <v>7216.7</v>
      </c>
      <c r="AQ33" s="28">
        <f>Economic!F35</f>
        <v>208.1</v>
      </c>
      <c r="AR33" s="28">
        <f>Economic!G35</f>
        <v>210</v>
      </c>
      <c r="AS33" s="28">
        <f>Economic!N35</f>
        <v>167.60000000000036</v>
      </c>
      <c r="AT33" s="28">
        <f>Economic!O35</f>
        <v>171.09999999999945</v>
      </c>
      <c r="AU33" s="28">
        <f>Economic!P35</f>
        <v>-1.2000000000000171</v>
      </c>
      <c r="AV33" s="28">
        <f>Economic!Q35</f>
        <v>-1.1999999999999886</v>
      </c>
      <c r="AW33" s="28">
        <f>Economic!R35</f>
        <v>20488.600000000093</v>
      </c>
      <c r="AX33" s="28">
        <f>Economic!S35</f>
        <v>416</v>
      </c>
      <c r="AY33" s="7">
        <f>Weather!D33</f>
        <v>19.013680458158017</v>
      </c>
      <c r="AZ33" s="7">
        <f>Weather!E33</f>
        <v>46.587500000000006</v>
      </c>
      <c r="BA33" s="7">
        <f>Weather!F33</f>
        <v>16.01159420289855</v>
      </c>
      <c r="BB33" s="7">
        <f>Weather!G33</f>
        <v>17.950000000000006</v>
      </c>
      <c r="BC33" s="7">
        <f>Weather!H33</f>
        <v>49.374094202898547</v>
      </c>
      <c r="BD33" s="7">
        <f>Weather!I33</f>
        <v>3.6416666666666693</v>
      </c>
      <c r="BE33" s="7">
        <f>Weather!J33</f>
        <v>97.06576086956521</v>
      </c>
      <c r="BF33" s="7">
        <f>Weather!K33</f>
        <v>0</v>
      </c>
      <c r="BG33" s="7">
        <f>Weather!L33</f>
        <v>155.42409420289857</v>
      </c>
      <c r="BH33" s="7">
        <f>Weather!M33</f>
        <v>0</v>
      </c>
      <c r="BI33" s="7">
        <f>Weather!N33</f>
        <v>217.42409420289852</v>
      </c>
      <c r="BJ33" s="7">
        <f>Weather!O33</f>
        <v>0</v>
      </c>
      <c r="BK33" s="7">
        <f>Weather!P33</f>
        <v>279.42409420289852</v>
      </c>
      <c r="BL33" s="7">
        <f>Weather!Q33</f>
        <v>0</v>
      </c>
      <c r="BM33" s="7">
        <f>Weather!R33</f>
        <v>341.42409420289852</v>
      </c>
      <c r="BN33" s="1">
        <v>0</v>
      </c>
      <c r="BO33" s="1">
        <v>0</v>
      </c>
      <c r="BP33" s="1">
        <v>0</v>
      </c>
      <c r="BQ33" s="1">
        <v>0</v>
      </c>
      <c r="BR33" s="1">
        <v>0</v>
      </c>
      <c r="BS33" s="1">
        <v>0</v>
      </c>
      <c r="BT33" s="1">
        <v>0</v>
      </c>
      <c r="BU33" s="1">
        <v>1</v>
      </c>
      <c r="BV33" s="1">
        <v>0</v>
      </c>
      <c r="BW33" s="1">
        <v>0</v>
      </c>
      <c r="BX33" s="1">
        <v>0</v>
      </c>
      <c r="BY33" s="1">
        <v>0</v>
      </c>
      <c r="BZ33" s="1">
        <v>0</v>
      </c>
      <c r="CA33" s="1">
        <v>0</v>
      </c>
      <c r="CB33" s="1">
        <v>0</v>
      </c>
      <c r="CC33" s="1">
        <f t="shared" si="9"/>
        <v>32</v>
      </c>
      <c r="CD33" s="1">
        <v>31</v>
      </c>
      <c r="CE33" s="1">
        <v>22</v>
      </c>
      <c r="CF33" s="1">
        <v>0</v>
      </c>
      <c r="CG33" s="1">
        <v>0</v>
      </c>
      <c r="CH33" s="1">
        <v>0</v>
      </c>
      <c r="CI33" s="1">
        <v>0</v>
      </c>
      <c r="CJ33" s="1">
        <f t="shared" si="12"/>
        <v>0</v>
      </c>
      <c r="CK33" s="1">
        <f t="shared" si="12"/>
        <v>0</v>
      </c>
      <c r="CL33" s="1">
        <f t="shared" si="12"/>
        <v>0</v>
      </c>
      <c r="CM33" s="1">
        <f t="shared" si="12"/>
        <v>0</v>
      </c>
      <c r="CN33" s="1">
        <f t="shared" si="12"/>
        <v>0</v>
      </c>
      <c r="CO33" s="1">
        <f t="shared" si="14"/>
        <v>0</v>
      </c>
      <c r="CP33" s="1">
        <f t="shared" si="14"/>
        <v>0</v>
      </c>
      <c r="CQ33" s="1">
        <f t="shared" si="14"/>
        <v>0</v>
      </c>
      <c r="CR33" s="1">
        <f t="shared" si="14"/>
        <v>0</v>
      </c>
      <c r="CS33" s="1">
        <f t="shared" si="14"/>
        <v>0</v>
      </c>
      <c r="CT33" s="1">
        <f t="shared" si="14"/>
        <v>0</v>
      </c>
      <c r="CU33" s="1">
        <f t="shared" si="14"/>
        <v>0</v>
      </c>
      <c r="CV33" s="1">
        <f t="shared" si="14"/>
        <v>0</v>
      </c>
      <c r="CW33" s="1">
        <f t="shared" si="14"/>
        <v>0</v>
      </c>
      <c r="CX33" s="1">
        <f t="shared" si="13"/>
        <v>0</v>
      </c>
      <c r="CY33" s="1">
        <f t="shared" si="13"/>
        <v>0</v>
      </c>
      <c r="CZ33" s="1">
        <f t="shared" si="13"/>
        <v>0</v>
      </c>
      <c r="DA33" s="1">
        <f t="shared" si="13"/>
        <v>0</v>
      </c>
      <c r="DB33" s="1">
        <f t="shared" si="13"/>
        <v>0</v>
      </c>
      <c r="DC33" s="1">
        <f t="shared" si="15"/>
        <v>0</v>
      </c>
      <c r="DD33" s="1">
        <f t="shared" si="15"/>
        <v>0</v>
      </c>
      <c r="DE33" s="1">
        <f t="shared" si="15"/>
        <v>0</v>
      </c>
      <c r="DF33" s="1">
        <f t="shared" si="15"/>
        <v>0</v>
      </c>
      <c r="DG33" s="1">
        <f t="shared" si="15"/>
        <v>0</v>
      </c>
      <c r="DH33" s="1">
        <f t="shared" si="15"/>
        <v>0</v>
      </c>
      <c r="DI33" s="1">
        <f t="shared" si="15"/>
        <v>0</v>
      </c>
      <c r="DJ33" s="1">
        <f t="shared" si="15"/>
        <v>0</v>
      </c>
      <c r="DK33" s="1">
        <f t="shared" si="15"/>
        <v>0</v>
      </c>
      <c r="DL33" s="25"/>
      <c r="DM33" s="25"/>
      <c r="DN33" s="24"/>
      <c r="DO33" s="25"/>
      <c r="DP33" s="25"/>
      <c r="DQ33" s="25"/>
      <c r="DR33" s="25"/>
      <c r="DS33" s="25"/>
      <c r="DT33" s="25"/>
      <c r="DU33" s="25"/>
      <c r="DV33" s="25"/>
    </row>
    <row r="34" spans="1:126" x14ac:dyDescent="0.25">
      <c r="A34" s="261">
        <v>42979</v>
      </c>
      <c r="B34" s="262">
        <f t="shared" si="0"/>
        <v>2017</v>
      </c>
      <c r="C34" s="262">
        <f t="shared" si="1"/>
        <v>9</v>
      </c>
      <c r="D34" s="263">
        <v>38195506.463074662</v>
      </c>
      <c r="E34" s="263">
        <f>IFERROR(VLOOKUP($B34-1,CDM!$L$7:$T$18,2,FALSE)/12,0)+IFERROR(VLOOKUP($B34,CDM!$L$36:$T$46,2,FALSE)/24,0)+IFERROR(VLOOKUP($B34,CDM!$L$36:$T$46,2,FALSE)/2*$C34/78,0)</f>
        <v>1978005.9807692308</v>
      </c>
      <c r="F34" s="263">
        <f t="shared" si="2"/>
        <v>40173512.443843894</v>
      </c>
      <c r="G34" s="264">
        <v>52911</v>
      </c>
      <c r="H34" s="263">
        <v>10182174.474372637</v>
      </c>
      <c r="I34" s="263">
        <f>IFERROR(VLOOKUP($B34-1,CDM!$L$7:$T$18,3,FALSE)/12,0)+IFERROR(VLOOKUP($B34,CDM!$L$36:$T$46,3,FALSE)/24,0)+IFERROR(VLOOKUP($B34,CDM!$L$36:$T$46,3,FALSE)/2*$C34/78,0)</f>
        <v>432238.19376984134</v>
      </c>
      <c r="J34" s="263">
        <f t="shared" si="6"/>
        <v>10614412.668142477</v>
      </c>
      <c r="K34" s="265">
        <v>4169</v>
      </c>
      <c r="L34" s="4">
        <v>27258802.511137903</v>
      </c>
      <c r="M34" s="266">
        <f>IFERROR(VLOOKUP($B34-1,CDM!$L$7:$T$18,4,FALSE)/12,0)+IFERROR(VLOOKUP($B34,CDM!$L$36:$T$46,4,FALSE)/24,0)+IFERROR(VLOOKUP($B34,CDM!$L$36:$T$46,4,FALSE)/2*$C34/78,0)</f>
        <v>442824.54508793564</v>
      </c>
      <c r="N34" s="263">
        <f t="shared" si="3"/>
        <v>27701627.05622584</v>
      </c>
      <c r="O34" s="4">
        <v>72431</v>
      </c>
      <c r="P34" s="265">
        <v>525</v>
      </c>
      <c r="Q34" s="265">
        <v>6718214.800087953</v>
      </c>
      <c r="R34" s="265">
        <f>IFERROR(VLOOKUP($B34-1,CDM!$L$7:$T$18,5,FALSE)/12,0)+IFERROR(VLOOKUP($B34,CDM!$L$36:$T$46,5,FALSE)/24,0)+IFERROR(VLOOKUP($B34,CDM!$L$36:$T$46,5,FALSE)/2*$C34/78,0)</f>
        <v>860375.17604558019</v>
      </c>
      <c r="S34" s="265">
        <f t="shared" si="7"/>
        <v>7578589.9761335328</v>
      </c>
      <c r="T34" s="265">
        <v>17605</v>
      </c>
      <c r="U34" s="265">
        <v>12</v>
      </c>
      <c r="V34" s="265">
        <v>3363510.2194956485</v>
      </c>
      <c r="W34" s="265">
        <f>IFERROR(VLOOKUP($B34-1,CDM!$L$7:$T$18,6,FALSE)/12,0)+IFERROR(VLOOKUP($B34,CDM!$L$36:$T$46,6,FALSE)/24,0)+IFERROR(VLOOKUP($B34,CDM!$L$36:$T$46,6,FALSE)/2*$C34/78,0)</f>
        <v>13854.980528846154</v>
      </c>
      <c r="X34" s="265">
        <f t="shared" si="8"/>
        <v>3377365.2000244949</v>
      </c>
      <c r="Y34" s="265">
        <v>9049.2999999999993</v>
      </c>
      <c r="Z34" s="265">
        <v>1</v>
      </c>
      <c r="AA34" s="4">
        <v>167521.20801220421</v>
      </c>
      <c r="AB34" s="4">
        <v>986.32500000000005</v>
      </c>
      <c r="AC34" s="265">
        <v>13031</v>
      </c>
      <c r="AD34" s="265">
        <v>2159.1073812702653</v>
      </c>
      <c r="AE34" s="265">
        <v>0</v>
      </c>
      <c r="AF34" s="265">
        <v>23</v>
      </c>
      <c r="AG34" s="4">
        <v>209432</v>
      </c>
      <c r="AH34" s="4">
        <v>247</v>
      </c>
      <c r="AI34" s="28">
        <f>Economic!H36</f>
        <v>764464.8</v>
      </c>
      <c r="AJ34" s="28">
        <f>Economic!I36</f>
        <v>590729.4</v>
      </c>
      <c r="AK34" s="28">
        <f>Economic!J36</f>
        <v>53985.7</v>
      </c>
      <c r="AL34" s="28">
        <f>Economic!K36</f>
        <v>765060</v>
      </c>
      <c r="AM34" s="28">
        <f>Economic!L36</f>
        <v>592461</v>
      </c>
      <c r="AN34" s="28">
        <f>Economic!M36</f>
        <v>31156</v>
      </c>
      <c r="AO34" s="28">
        <f>Economic!D36</f>
        <v>7144.8</v>
      </c>
      <c r="AP34" s="28">
        <f>Economic!E36</f>
        <v>7193.4</v>
      </c>
      <c r="AQ34" s="28">
        <f>Economic!F36</f>
        <v>208.1</v>
      </c>
      <c r="AR34" s="28">
        <f>Economic!G36</f>
        <v>207.7</v>
      </c>
      <c r="AS34" s="28">
        <f>Economic!N36</f>
        <v>194.69999999999982</v>
      </c>
      <c r="AT34" s="28">
        <f>Economic!O36</f>
        <v>195.29999999999927</v>
      </c>
      <c r="AU34" s="28">
        <f>Economic!P36</f>
        <v>-5.4000000000000057</v>
      </c>
      <c r="AV34" s="28">
        <f>Economic!Q36</f>
        <v>-5.6000000000000227</v>
      </c>
      <c r="AW34" s="28">
        <f>Economic!R36</f>
        <v>20488.600000000093</v>
      </c>
      <c r="AX34" s="28">
        <f>Economic!S36</f>
        <v>416</v>
      </c>
      <c r="AY34" s="7">
        <f>Weather!D34</f>
        <v>17.194861111111109</v>
      </c>
      <c r="AZ34" s="7">
        <f>Weather!E34</f>
        <v>100.06666666666666</v>
      </c>
      <c r="BA34" s="7">
        <f>Weather!F34</f>
        <v>15.912499999999994</v>
      </c>
      <c r="BB34" s="7">
        <f>Weather!G34</f>
        <v>65.699999999999989</v>
      </c>
      <c r="BC34" s="7">
        <f>Weather!H34</f>
        <v>41.54583333333332</v>
      </c>
      <c r="BD34" s="7">
        <f>Weather!I34</f>
        <v>37.391666666666666</v>
      </c>
      <c r="BE34" s="7">
        <f>Weather!J34</f>
        <v>73.237499999999983</v>
      </c>
      <c r="BF34" s="7">
        <f>Weather!K34</f>
        <v>16.833333333333329</v>
      </c>
      <c r="BG34" s="7">
        <f>Weather!L34</f>
        <v>112.67916666666666</v>
      </c>
      <c r="BH34" s="7">
        <f>Weather!M34</f>
        <v>5.466666666666665</v>
      </c>
      <c r="BI34" s="7">
        <f>Weather!N34</f>
        <v>161.3125</v>
      </c>
      <c r="BJ34" s="7">
        <f>Weather!O34</f>
        <v>1.3833333333333311</v>
      </c>
      <c r="BK34" s="7">
        <f>Weather!P34</f>
        <v>217.22916666666663</v>
      </c>
      <c r="BL34" s="7">
        <f>Weather!Q34</f>
        <v>0</v>
      </c>
      <c r="BM34" s="7">
        <f>Weather!R34</f>
        <v>275.8458333333333</v>
      </c>
      <c r="BN34" s="1">
        <v>0</v>
      </c>
      <c r="BO34" s="1">
        <v>0</v>
      </c>
      <c r="BP34" s="1">
        <v>0</v>
      </c>
      <c r="BQ34" s="1">
        <v>0</v>
      </c>
      <c r="BR34" s="1">
        <v>0</v>
      </c>
      <c r="BS34" s="1">
        <v>0</v>
      </c>
      <c r="BT34" s="1">
        <v>0</v>
      </c>
      <c r="BU34" s="1">
        <v>0</v>
      </c>
      <c r="BV34" s="1">
        <v>1</v>
      </c>
      <c r="BW34" s="1">
        <v>0</v>
      </c>
      <c r="BX34" s="1">
        <v>0</v>
      </c>
      <c r="BY34" s="1">
        <v>0</v>
      </c>
      <c r="BZ34" s="1">
        <v>0</v>
      </c>
      <c r="CA34" s="1">
        <v>1</v>
      </c>
      <c r="CB34" s="1">
        <v>1</v>
      </c>
      <c r="CC34" s="1">
        <f t="shared" si="9"/>
        <v>33</v>
      </c>
      <c r="CD34" s="1">
        <v>30</v>
      </c>
      <c r="CE34" s="1">
        <v>20</v>
      </c>
      <c r="CF34" s="1">
        <v>0</v>
      </c>
      <c r="CG34" s="1">
        <v>0</v>
      </c>
      <c r="CH34" s="1">
        <v>0</v>
      </c>
      <c r="CI34" s="1">
        <v>0</v>
      </c>
      <c r="CJ34" s="1">
        <f t="shared" si="12"/>
        <v>0</v>
      </c>
      <c r="CK34" s="1">
        <f t="shared" si="12"/>
        <v>0</v>
      </c>
      <c r="CL34" s="1">
        <f t="shared" si="12"/>
        <v>0</v>
      </c>
      <c r="CM34" s="1">
        <f t="shared" si="12"/>
        <v>0</v>
      </c>
      <c r="CN34" s="1">
        <f t="shared" si="12"/>
        <v>0</v>
      </c>
      <c r="CO34" s="1">
        <f t="shared" si="14"/>
        <v>0</v>
      </c>
      <c r="CP34" s="1">
        <f t="shared" si="14"/>
        <v>0</v>
      </c>
      <c r="CQ34" s="1">
        <f t="shared" si="14"/>
        <v>0</v>
      </c>
      <c r="CR34" s="1">
        <f t="shared" si="14"/>
        <v>0</v>
      </c>
      <c r="CS34" s="1">
        <f t="shared" si="14"/>
        <v>0</v>
      </c>
      <c r="CT34" s="1">
        <f t="shared" si="14"/>
        <v>0</v>
      </c>
      <c r="CU34" s="1">
        <f t="shared" si="14"/>
        <v>0</v>
      </c>
      <c r="CV34" s="1">
        <f t="shared" si="14"/>
        <v>0</v>
      </c>
      <c r="CW34" s="1">
        <f t="shared" si="14"/>
        <v>0</v>
      </c>
      <c r="CX34" s="1">
        <f t="shared" si="13"/>
        <v>0</v>
      </c>
      <c r="CY34" s="1">
        <f t="shared" si="13"/>
        <v>0</v>
      </c>
      <c r="CZ34" s="1">
        <f t="shared" si="13"/>
        <v>0</v>
      </c>
      <c r="DA34" s="1">
        <f t="shared" si="13"/>
        <v>0</v>
      </c>
      <c r="DB34" s="1">
        <f t="shared" si="13"/>
        <v>0</v>
      </c>
      <c r="DC34" s="1">
        <f t="shared" si="15"/>
        <v>0</v>
      </c>
      <c r="DD34" s="1">
        <f t="shared" si="15"/>
        <v>0</v>
      </c>
      <c r="DE34" s="1">
        <f t="shared" si="15"/>
        <v>0</v>
      </c>
      <c r="DF34" s="1">
        <f t="shared" si="15"/>
        <v>0</v>
      </c>
      <c r="DG34" s="1">
        <f t="shared" si="15"/>
        <v>0</v>
      </c>
      <c r="DH34" s="1">
        <f t="shared" si="15"/>
        <v>0</v>
      </c>
      <c r="DI34" s="1">
        <f t="shared" si="15"/>
        <v>0</v>
      </c>
      <c r="DJ34" s="1">
        <f t="shared" si="15"/>
        <v>0</v>
      </c>
      <c r="DK34" s="1">
        <f t="shared" si="15"/>
        <v>0</v>
      </c>
      <c r="DL34" s="25"/>
      <c r="DM34" s="25"/>
      <c r="DN34" s="24"/>
      <c r="DO34" s="25"/>
      <c r="DP34" s="25"/>
      <c r="DQ34" s="25"/>
      <c r="DR34" s="25"/>
      <c r="DS34" s="25"/>
      <c r="DT34" s="25"/>
      <c r="DU34" s="25"/>
      <c r="DV34" s="25"/>
    </row>
    <row r="35" spans="1:126" x14ac:dyDescent="0.25">
      <c r="A35" s="261">
        <v>43009</v>
      </c>
      <c r="B35" s="262">
        <f t="shared" si="0"/>
        <v>2017</v>
      </c>
      <c r="C35" s="262">
        <f t="shared" si="1"/>
        <v>10</v>
      </c>
      <c r="D35" s="263">
        <v>34770016.022979379</v>
      </c>
      <c r="E35" s="263">
        <f>IFERROR(VLOOKUP($B35-1,CDM!$L$7:$T$18,2,FALSE)/12,0)+IFERROR(VLOOKUP($B35,CDM!$L$36:$T$46,2,FALSE)/24,0)+IFERROR(VLOOKUP($B35,CDM!$L$36:$T$46,2,FALSE)/2*$C35/78,0)</f>
        <v>2061912.2564102565</v>
      </c>
      <c r="F35" s="263">
        <f t="shared" si="2"/>
        <v>36831928.279389635</v>
      </c>
      <c r="G35" s="264">
        <v>52890</v>
      </c>
      <c r="H35" s="263">
        <v>9638574.7074085847</v>
      </c>
      <c r="I35" s="263">
        <f>IFERROR(VLOOKUP($B35-1,CDM!$L$7:$T$18,3,FALSE)/12,0)+IFERROR(VLOOKUP($B35,CDM!$L$36:$T$46,3,FALSE)/24,0)+IFERROR(VLOOKUP($B35,CDM!$L$36:$T$46,3,FALSE)/2*$C35/78,0)</f>
        <v>448069.30753456225</v>
      </c>
      <c r="J35" s="263">
        <f t="shared" si="6"/>
        <v>10086644.014943147</v>
      </c>
      <c r="K35" s="265">
        <v>4175</v>
      </c>
      <c r="L35" s="4">
        <v>28083813.404428642</v>
      </c>
      <c r="M35" s="266">
        <f>IFERROR(VLOOKUP($B35-1,CDM!$L$7:$T$18,4,FALSE)/12,0)+IFERROR(VLOOKUP($B35,CDM!$L$36:$T$46,4,FALSE)/24,0)+IFERROR(VLOOKUP($B35,CDM!$L$36:$T$46,4,FALSE)/2*$C35/78,0)</f>
        <v>459313.33116887778</v>
      </c>
      <c r="N35" s="263">
        <f t="shared" si="3"/>
        <v>28543126.735597521</v>
      </c>
      <c r="O35" s="4">
        <v>71556</v>
      </c>
      <c r="P35" s="265">
        <v>523</v>
      </c>
      <c r="Q35" s="265">
        <v>6338896.1115740407</v>
      </c>
      <c r="R35" s="265">
        <f>IFERROR(VLOOKUP($B35-1,CDM!$L$7:$T$18,5,FALSE)/12,0)+IFERROR(VLOOKUP($B35,CDM!$L$36:$T$46,5,FALSE)/24,0)+IFERROR(VLOOKUP($B35,CDM!$L$36:$T$46,5,FALSE)/2*$C35/78,0)</f>
        <v>862344.91318292951</v>
      </c>
      <c r="S35" s="265">
        <f t="shared" si="7"/>
        <v>7201241.0247569699</v>
      </c>
      <c r="T35" s="265">
        <v>16611</v>
      </c>
      <c r="U35" s="265">
        <v>12</v>
      </c>
      <c r="V35" s="265">
        <v>3363510.2194956485</v>
      </c>
      <c r="W35" s="265">
        <f>IFERROR(VLOOKUP($B35-1,CDM!$L$7:$T$18,6,FALSE)/12,0)+IFERROR(VLOOKUP($B35,CDM!$L$36:$T$46,6,FALSE)/24,0)+IFERROR(VLOOKUP($B35,CDM!$L$36:$T$46,6,FALSE)/2*$C35/78,0)</f>
        <v>14748.850240384614</v>
      </c>
      <c r="X35" s="265">
        <f t="shared" si="8"/>
        <v>3378259.0697360332</v>
      </c>
      <c r="Y35" s="265">
        <v>7974.7000000000007</v>
      </c>
      <c r="Z35" s="265">
        <v>1</v>
      </c>
      <c r="AA35" s="4">
        <v>232433.25370189612</v>
      </c>
      <c r="AB35" s="4">
        <v>992.65</v>
      </c>
      <c r="AC35" s="265">
        <v>13566</v>
      </c>
      <c r="AD35" s="265">
        <v>2155.2736982643523</v>
      </c>
      <c r="AE35" s="265">
        <v>0</v>
      </c>
      <c r="AF35" s="265">
        <v>23</v>
      </c>
      <c r="AG35" s="4">
        <v>209644</v>
      </c>
      <c r="AH35" s="4">
        <v>247</v>
      </c>
      <c r="AI35" s="28">
        <f>Economic!H37</f>
        <v>764464.8</v>
      </c>
      <c r="AJ35" s="28">
        <f>Economic!I37</f>
        <v>590729.4</v>
      </c>
      <c r="AK35" s="28">
        <f>Economic!J37</f>
        <v>53985.7</v>
      </c>
      <c r="AL35" s="28">
        <f>Economic!K37</f>
        <v>771453</v>
      </c>
      <c r="AM35" s="28">
        <f>Economic!L37</f>
        <v>596813</v>
      </c>
      <c r="AN35" s="28">
        <f>Economic!M37</f>
        <v>31522</v>
      </c>
      <c r="AO35" s="28">
        <f>Economic!D37</f>
        <v>7161</v>
      </c>
      <c r="AP35" s="28">
        <f>Economic!E37</f>
        <v>7185.2</v>
      </c>
      <c r="AQ35" s="28">
        <f>Economic!F37</f>
        <v>209.9</v>
      </c>
      <c r="AR35" s="28">
        <f>Economic!G37</f>
        <v>208.8</v>
      </c>
      <c r="AS35" s="28">
        <f>Economic!N37</f>
        <v>197.10000000000036</v>
      </c>
      <c r="AT35" s="28">
        <f>Economic!O37</f>
        <v>194.69999999999982</v>
      </c>
      <c r="AU35" s="28">
        <f>Economic!P37</f>
        <v>-4.4000000000000057</v>
      </c>
      <c r="AV35" s="28">
        <f>Economic!Q37</f>
        <v>-4.6999999999999886</v>
      </c>
      <c r="AW35" s="28">
        <f>Economic!R37</f>
        <v>20488.600000000093</v>
      </c>
      <c r="AX35" s="28">
        <f>Economic!S37</f>
        <v>6393</v>
      </c>
      <c r="AY35" s="7">
        <f>Weather!D35</f>
        <v>12.306989247311826</v>
      </c>
      <c r="AZ35" s="7">
        <f>Weather!E35</f>
        <v>238.48333333333335</v>
      </c>
      <c r="BA35" s="7">
        <f>Weather!F35</f>
        <v>0</v>
      </c>
      <c r="BB35" s="7">
        <f>Weather!G35</f>
        <v>179.70833333333334</v>
      </c>
      <c r="BC35" s="7">
        <f>Weather!H35</f>
        <v>3.2250000000000014</v>
      </c>
      <c r="BD35" s="7">
        <f>Weather!I35</f>
        <v>124.7625</v>
      </c>
      <c r="BE35" s="7">
        <f>Weather!J35</f>
        <v>10.279166666666672</v>
      </c>
      <c r="BF35" s="7">
        <f>Weather!K35</f>
        <v>82.137500000000017</v>
      </c>
      <c r="BG35" s="7">
        <f>Weather!L35</f>
        <v>29.654166666666669</v>
      </c>
      <c r="BH35" s="7">
        <f>Weather!M35</f>
        <v>49.88333333333334</v>
      </c>
      <c r="BI35" s="7">
        <f>Weather!N35</f>
        <v>59.400000000000006</v>
      </c>
      <c r="BJ35" s="7">
        <f>Weather!O35</f>
        <v>26.758333333333336</v>
      </c>
      <c r="BK35" s="7">
        <f>Weather!P35</f>
        <v>98.274999999999977</v>
      </c>
      <c r="BL35" s="7">
        <f>Weather!Q35</f>
        <v>11.620833333333334</v>
      </c>
      <c r="BM35" s="7">
        <f>Weather!R35</f>
        <v>145.13749999999999</v>
      </c>
      <c r="BN35" s="1">
        <v>0</v>
      </c>
      <c r="BO35" s="1">
        <v>0</v>
      </c>
      <c r="BP35" s="1">
        <v>0</v>
      </c>
      <c r="BQ35" s="1">
        <v>0</v>
      </c>
      <c r="BR35" s="1">
        <v>0</v>
      </c>
      <c r="BS35" s="1">
        <v>0</v>
      </c>
      <c r="BT35" s="1">
        <v>0</v>
      </c>
      <c r="BU35" s="1">
        <v>0</v>
      </c>
      <c r="BV35" s="1">
        <v>0</v>
      </c>
      <c r="BW35" s="1">
        <v>1</v>
      </c>
      <c r="BX35" s="1">
        <v>0</v>
      </c>
      <c r="BY35" s="1">
        <v>0</v>
      </c>
      <c r="BZ35" s="1">
        <v>0</v>
      </c>
      <c r="CA35" s="1">
        <v>1</v>
      </c>
      <c r="CB35" s="1">
        <v>1</v>
      </c>
      <c r="CC35" s="1">
        <f t="shared" si="9"/>
        <v>34</v>
      </c>
      <c r="CD35" s="1">
        <v>31</v>
      </c>
      <c r="CE35" s="1">
        <v>21</v>
      </c>
      <c r="CF35" s="1">
        <v>0</v>
      </c>
      <c r="CG35" s="1">
        <v>0</v>
      </c>
      <c r="CH35" s="1">
        <v>0</v>
      </c>
      <c r="CI35" s="1">
        <v>0</v>
      </c>
      <c r="CJ35" s="1">
        <f t="shared" si="12"/>
        <v>0</v>
      </c>
      <c r="CK35" s="1">
        <f t="shared" si="12"/>
        <v>0</v>
      </c>
      <c r="CL35" s="1">
        <f t="shared" si="12"/>
        <v>0</v>
      </c>
      <c r="CM35" s="1">
        <f t="shared" si="12"/>
        <v>0</v>
      </c>
      <c r="CN35" s="1">
        <f t="shared" si="12"/>
        <v>0</v>
      </c>
      <c r="CO35" s="1">
        <f t="shared" si="14"/>
        <v>0</v>
      </c>
      <c r="CP35" s="1">
        <f t="shared" si="14"/>
        <v>0</v>
      </c>
      <c r="CQ35" s="1">
        <f t="shared" si="14"/>
        <v>0</v>
      </c>
      <c r="CR35" s="1">
        <f t="shared" si="14"/>
        <v>0</v>
      </c>
      <c r="CS35" s="1">
        <f t="shared" si="14"/>
        <v>0</v>
      </c>
      <c r="CT35" s="1">
        <f t="shared" si="14"/>
        <v>0</v>
      </c>
      <c r="CU35" s="1">
        <f t="shared" si="14"/>
        <v>0</v>
      </c>
      <c r="CV35" s="1">
        <f t="shared" si="14"/>
        <v>0</v>
      </c>
      <c r="CW35" s="1">
        <f t="shared" si="14"/>
        <v>0</v>
      </c>
      <c r="CX35" s="1">
        <f t="shared" si="13"/>
        <v>0</v>
      </c>
      <c r="CY35" s="1">
        <f t="shared" si="13"/>
        <v>0</v>
      </c>
      <c r="CZ35" s="1">
        <f t="shared" si="13"/>
        <v>0</v>
      </c>
      <c r="DA35" s="1">
        <f t="shared" si="13"/>
        <v>0</v>
      </c>
      <c r="DB35" s="1">
        <f t="shared" si="13"/>
        <v>0</v>
      </c>
      <c r="DC35" s="1">
        <f t="shared" si="15"/>
        <v>0</v>
      </c>
      <c r="DD35" s="1">
        <f t="shared" si="15"/>
        <v>0</v>
      </c>
      <c r="DE35" s="1">
        <f t="shared" si="15"/>
        <v>0</v>
      </c>
      <c r="DF35" s="1">
        <f t="shared" si="15"/>
        <v>0</v>
      </c>
      <c r="DG35" s="1">
        <f t="shared" si="15"/>
        <v>0</v>
      </c>
      <c r="DH35" s="1">
        <f t="shared" si="15"/>
        <v>0</v>
      </c>
      <c r="DI35" s="1">
        <f t="shared" si="15"/>
        <v>0</v>
      </c>
      <c r="DJ35" s="1">
        <f t="shared" si="15"/>
        <v>0</v>
      </c>
      <c r="DK35" s="1">
        <f t="shared" si="15"/>
        <v>0</v>
      </c>
      <c r="DL35" s="25"/>
      <c r="DM35" s="25"/>
      <c r="DN35" s="24"/>
      <c r="DO35" s="25"/>
      <c r="DP35" s="25"/>
      <c r="DQ35" s="25"/>
      <c r="DR35" s="25"/>
      <c r="DS35" s="25"/>
      <c r="DT35" s="25"/>
      <c r="DU35" s="25"/>
      <c r="DV35" s="25"/>
    </row>
    <row r="36" spans="1:126" x14ac:dyDescent="0.25">
      <c r="A36" s="261">
        <v>43040</v>
      </c>
      <c r="B36" s="262">
        <f t="shared" si="0"/>
        <v>2017</v>
      </c>
      <c r="C36" s="262">
        <f t="shared" si="1"/>
        <v>11</v>
      </c>
      <c r="D36" s="263">
        <v>37031594.965397902</v>
      </c>
      <c r="E36" s="263">
        <f>IFERROR(VLOOKUP($B36-1,CDM!$L$7:$T$18,2,FALSE)/12,0)+IFERROR(VLOOKUP($B36,CDM!$L$36:$T$46,2,FALSE)/24,0)+IFERROR(VLOOKUP($B36,CDM!$L$36:$T$46,2,FALSE)/2*$C36/78,0)</f>
        <v>2145818.532051282</v>
      </c>
      <c r="F36" s="263">
        <f t="shared" si="2"/>
        <v>39177413.497449182</v>
      </c>
      <c r="G36" s="264">
        <v>53045</v>
      </c>
      <c r="H36" s="263">
        <v>10639089.875551227</v>
      </c>
      <c r="I36" s="263">
        <f>IFERROR(VLOOKUP($B36-1,CDM!$L$7:$T$18,3,FALSE)/12,0)+IFERROR(VLOOKUP($B36,CDM!$L$36:$T$46,3,FALSE)/24,0)+IFERROR(VLOOKUP($B36,CDM!$L$36:$T$46,3,FALSE)/2*$C36/78,0)</f>
        <v>463900.42129928316</v>
      </c>
      <c r="J36" s="263">
        <f t="shared" si="6"/>
        <v>11102990.29685051</v>
      </c>
      <c r="K36" s="265">
        <v>4189</v>
      </c>
      <c r="L36" s="4">
        <v>28482842.750196904</v>
      </c>
      <c r="M36" s="266">
        <f>IFERROR(VLOOKUP($B36-1,CDM!$L$7:$T$18,4,FALSE)/12,0)+IFERROR(VLOOKUP($B36,CDM!$L$36:$T$46,4,FALSE)/24,0)+IFERROR(VLOOKUP($B36,CDM!$L$36:$T$46,4,FALSE)/2*$C36/78,0)</f>
        <v>475802.1172498198</v>
      </c>
      <c r="N36" s="263">
        <f t="shared" si="3"/>
        <v>28958644.867446724</v>
      </c>
      <c r="O36" s="4">
        <v>67935</v>
      </c>
      <c r="P36" s="265">
        <v>524</v>
      </c>
      <c r="Q36" s="265">
        <v>6408371.9903740743</v>
      </c>
      <c r="R36" s="265">
        <f>IFERROR(VLOOKUP($B36-1,CDM!$L$7:$T$18,5,FALSE)/12,0)+IFERROR(VLOOKUP($B36,CDM!$L$36:$T$46,5,FALSE)/24,0)+IFERROR(VLOOKUP($B36,CDM!$L$36:$T$46,5,FALSE)/2*$C36/78,0)</f>
        <v>864314.65032027871</v>
      </c>
      <c r="S36" s="265">
        <f t="shared" si="7"/>
        <v>7272686.6406943528</v>
      </c>
      <c r="T36" s="265">
        <v>14238</v>
      </c>
      <c r="U36" s="265">
        <v>11</v>
      </c>
      <c r="V36" s="265">
        <v>2918187.1957343561</v>
      </c>
      <c r="W36" s="265">
        <f>IFERROR(VLOOKUP($B36-1,CDM!$L$7:$T$18,6,FALSE)/12,0)+IFERROR(VLOOKUP($B36,CDM!$L$36:$T$46,6,FALSE)/24,0)+IFERROR(VLOOKUP($B36,CDM!$L$36:$T$46,6,FALSE)/2*$C36/78,0)</f>
        <v>15642.719951923074</v>
      </c>
      <c r="X36" s="265">
        <f t="shared" si="8"/>
        <v>2933829.9156862791</v>
      </c>
      <c r="Y36" s="265">
        <v>6691</v>
      </c>
      <c r="Z36" s="265">
        <v>1</v>
      </c>
      <c r="AA36" s="4">
        <v>472604.26797127485</v>
      </c>
      <c r="AB36" s="4">
        <v>992</v>
      </c>
      <c r="AC36" s="265">
        <v>13605</v>
      </c>
      <c r="AD36" s="265">
        <v>2134.3887087545299</v>
      </c>
      <c r="AE36" s="265">
        <v>0</v>
      </c>
      <c r="AF36" s="265">
        <v>23</v>
      </c>
      <c r="AG36" s="4">
        <v>209644</v>
      </c>
      <c r="AH36" s="4">
        <v>247</v>
      </c>
      <c r="AI36" s="28">
        <f>Economic!H38</f>
        <v>764464.8</v>
      </c>
      <c r="AJ36" s="28">
        <f>Economic!I38</f>
        <v>590729.4</v>
      </c>
      <c r="AK36" s="28">
        <f>Economic!J38</f>
        <v>53985.7</v>
      </c>
      <c r="AL36" s="28">
        <f>Economic!K38</f>
        <v>771453</v>
      </c>
      <c r="AM36" s="28">
        <f>Economic!L38</f>
        <v>596813</v>
      </c>
      <c r="AN36" s="28">
        <f>Economic!M38</f>
        <v>31522</v>
      </c>
      <c r="AO36" s="28">
        <f>Economic!D38</f>
        <v>7184.7</v>
      </c>
      <c r="AP36" s="28">
        <f>Economic!E38</f>
        <v>7186</v>
      </c>
      <c r="AQ36" s="28">
        <f>Economic!F38</f>
        <v>209</v>
      </c>
      <c r="AR36" s="28">
        <f>Economic!G38</f>
        <v>207.6</v>
      </c>
      <c r="AS36" s="28">
        <f>Economic!N38</f>
        <v>206.89999999999964</v>
      </c>
      <c r="AT36" s="28">
        <f>Economic!O38</f>
        <v>202.60000000000036</v>
      </c>
      <c r="AU36" s="28">
        <f>Economic!P38</f>
        <v>-6.0999999999999943</v>
      </c>
      <c r="AV36" s="28">
        <f>Economic!Q38</f>
        <v>-6.5</v>
      </c>
      <c r="AW36" s="28">
        <f>Economic!R38</f>
        <v>20488.600000000093</v>
      </c>
      <c r="AX36" s="28">
        <f>Economic!S38</f>
        <v>6393</v>
      </c>
      <c r="AY36" s="7">
        <f>Weather!D36</f>
        <v>3.2462752525252521</v>
      </c>
      <c r="AZ36" s="7">
        <f>Weather!E36</f>
        <v>502.61174242424244</v>
      </c>
      <c r="BA36" s="7">
        <f>Weather!F36</f>
        <v>0</v>
      </c>
      <c r="BB36" s="7">
        <f>Weather!G36</f>
        <v>442.61174242424244</v>
      </c>
      <c r="BC36" s="7">
        <f>Weather!H36</f>
        <v>0</v>
      </c>
      <c r="BD36" s="7">
        <f>Weather!I36</f>
        <v>382.61174242424244</v>
      </c>
      <c r="BE36" s="7">
        <f>Weather!J36</f>
        <v>0</v>
      </c>
      <c r="BF36" s="7">
        <f>Weather!K36</f>
        <v>322.61174242424249</v>
      </c>
      <c r="BG36" s="7">
        <f>Weather!L36</f>
        <v>0</v>
      </c>
      <c r="BH36" s="7">
        <f>Weather!M36</f>
        <v>262.61174242424244</v>
      </c>
      <c r="BI36" s="7">
        <f>Weather!N36</f>
        <v>0</v>
      </c>
      <c r="BJ36" s="7">
        <f>Weather!O36</f>
        <v>203.9075757575757</v>
      </c>
      <c r="BK36" s="7">
        <f>Weather!P36</f>
        <v>1.2958333333333325</v>
      </c>
      <c r="BL36" s="7">
        <f>Weather!Q36</f>
        <v>148.02424242424243</v>
      </c>
      <c r="BM36" s="7">
        <f>Weather!R36</f>
        <v>5.4124999999999979</v>
      </c>
      <c r="BN36" s="1">
        <v>0</v>
      </c>
      <c r="BO36" s="1">
        <v>0</v>
      </c>
      <c r="BP36" s="1">
        <v>0</v>
      </c>
      <c r="BQ36" s="1">
        <v>0</v>
      </c>
      <c r="BR36" s="1">
        <v>0</v>
      </c>
      <c r="BS36" s="1">
        <v>0</v>
      </c>
      <c r="BT36" s="1">
        <v>0</v>
      </c>
      <c r="BU36" s="1">
        <v>0</v>
      </c>
      <c r="BV36" s="1">
        <v>0</v>
      </c>
      <c r="BW36" s="1">
        <v>0</v>
      </c>
      <c r="BX36" s="1">
        <v>1</v>
      </c>
      <c r="BY36" s="1">
        <v>0</v>
      </c>
      <c r="BZ36" s="1">
        <v>0</v>
      </c>
      <c r="CA36" s="1">
        <v>1</v>
      </c>
      <c r="CB36" s="1">
        <v>1</v>
      </c>
      <c r="CC36" s="1">
        <f t="shared" si="9"/>
        <v>35</v>
      </c>
      <c r="CD36" s="1">
        <v>30</v>
      </c>
      <c r="CE36" s="1">
        <v>22</v>
      </c>
      <c r="CF36" s="1">
        <v>0</v>
      </c>
      <c r="CG36" s="1">
        <v>0</v>
      </c>
      <c r="CH36" s="1">
        <v>0</v>
      </c>
      <c r="CI36" s="1">
        <v>0</v>
      </c>
      <c r="CJ36" s="1">
        <f t="shared" si="12"/>
        <v>0</v>
      </c>
      <c r="CK36" s="1">
        <f t="shared" si="12"/>
        <v>0</v>
      </c>
      <c r="CL36" s="1">
        <f t="shared" si="12"/>
        <v>0</v>
      </c>
      <c r="CM36" s="1">
        <f t="shared" si="12"/>
        <v>0</v>
      </c>
      <c r="CN36" s="1">
        <f t="shared" si="12"/>
        <v>0</v>
      </c>
      <c r="CO36" s="1">
        <f t="shared" si="14"/>
        <v>0</v>
      </c>
      <c r="CP36" s="1">
        <f t="shared" si="14"/>
        <v>0</v>
      </c>
      <c r="CQ36" s="1">
        <f t="shared" si="14"/>
        <v>0</v>
      </c>
      <c r="CR36" s="1">
        <f t="shared" si="14"/>
        <v>0</v>
      </c>
      <c r="CS36" s="1">
        <f t="shared" si="14"/>
        <v>0</v>
      </c>
      <c r="CT36" s="1">
        <f t="shared" si="14"/>
        <v>0</v>
      </c>
      <c r="CU36" s="1">
        <f t="shared" si="14"/>
        <v>0</v>
      </c>
      <c r="CV36" s="1">
        <f t="shared" si="14"/>
        <v>0</v>
      </c>
      <c r="CW36" s="1">
        <f t="shared" si="14"/>
        <v>0</v>
      </c>
      <c r="CX36" s="1">
        <f t="shared" si="13"/>
        <v>0</v>
      </c>
      <c r="CY36" s="1">
        <f t="shared" si="13"/>
        <v>0</v>
      </c>
      <c r="CZ36" s="1">
        <f t="shared" si="13"/>
        <v>0</v>
      </c>
      <c r="DA36" s="1">
        <f t="shared" si="13"/>
        <v>0</v>
      </c>
      <c r="DB36" s="1">
        <f t="shared" si="13"/>
        <v>0</v>
      </c>
      <c r="DC36" s="1">
        <f t="shared" si="15"/>
        <v>0</v>
      </c>
      <c r="DD36" s="1">
        <f t="shared" si="15"/>
        <v>0</v>
      </c>
      <c r="DE36" s="1">
        <f t="shared" si="15"/>
        <v>0</v>
      </c>
      <c r="DF36" s="1">
        <f t="shared" si="15"/>
        <v>0</v>
      </c>
      <c r="DG36" s="1">
        <f t="shared" si="15"/>
        <v>0</v>
      </c>
      <c r="DH36" s="1">
        <f t="shared" si="15"/>
        <v>0</v>
      </c>
      <c r="DI36" s="1">
        <f t="shared" si="15"/>
        <v>0</v>
      </c>
      <c r="DJ36" s="1">
        <f t="shared" si="15"/>
        <v>0</v>
      </c>
      <c r="DK36" s="1">
        <f t="shared" si="15"/>
        <v>0</v>
      </c>
      <c r="DL36" s="25"/>
      <c r="DM36" s="25"/>
      <c r="DN36" s="24"/>
      <c r="DO36" s="25"/>
      <c r="DP36" s="25"/>
      <c r="DQ36" s="25"/>
      <c r="DR36" s="25"/>
      <c r="DS36" s="25"/>
      <c r="DT36" s="25"/>
      <c r="DU36" s="25"/>
      <c r="DV36" s="25"/>
    </row>
    <row r="37" spans="1:126" x14ac:dyDescent="0.25">
      <c r="A37" s="261">
        <v>43070</v>
      </c>
      <c r="B37" s="262">
        <f t="shared" si="0"/>
        <v>2017</v>
      </c>
      <c r="C37" s="262">
        <f t="shared" si="1"/>
        <v>12</v>
      </c>
      <c r="D37" s="263">
        <v>43513372.098919183</v>
      </c>
      <c r="E37" s="263">
        <f>IFERROR(VLOOKUP($B37-1,CDM!$L$7:$T$18,2,FALSE)/12,0)+IFERROR(VLOOKUP($B37,CDM!$L$36:$T$46,2,FALSE)/24,0)+IFERROR(VLOOKUP($B37,CDM!$L$36:$T$46,2,FALSE)/2*$C37/78,0)</f>
        <v>2229724.807692308</v>
      </c>
      <c r="F37" s="263">
        <f t="shared" si="2"/>
        <v>45743096.906611487</v>
      </c>
      <c r="G37" s="264">
        <v>52993</v>
      </c>
      <c r="H37" s="263">
        <v>12258286.975480078</v>
      </c>
      <c r="I37" s="263">
        <f>IFERROR(VLOOKUP($B37-1,CDM!$L$7:$T$18,3,FALSE)/12,0)+IFERROR(VLOOKUP($B37,CDM!$L$36:$T$46,3,FALSE)/24,0)+IFERROR(VLOOKUP($B37,CDM!$L$36:$T$46,3,FALSE)/2*$C37/78,0)</f>
        <v>479731.53506400413</v>
      </c>
      <c r="J37" s="263">
        <f t="shared" si="6"/>
        <v>12738018.510544082</v>
      </c>
      <c r="K37" s="265">
        <v>4186</v>
      </c>
      <c r="L37" s="265">
        <v>32111403.075963803</v>
      </c>
      <c r="M37" s="266">
        <f>IFERROR(VLOOKUP($B37-1,CDM!$L$7:$T$18,4,FALSE)/12,0)+IFERROR(VLOOKUP($B37,CDM!$L$36:$T$46,4,FALSE)/24,0)+IFERROR(VLOOKUP($B37,CDM!$L$36:$T$46,4,FALSE)/2*$C37/78,0)</f>
        <v>492290.90333076194</v>
      </c>
      <c r="N37" s="263">
        <f t="shared" si="3"/>
        <v>32603693.979294565</v>
      </c>
      <c r="O37" s="265">
        <v>49950.649965205288</v>
      </c>
      <c r="P37" s="265">
        <v>524</v>
      </c>
      <c r="Q37" s="265">
        <v>6034717.9005977446</v>
      </c>
      <c r="R37" s="265">
        <f>IFERROR(VLOOKUP($B37-1,CDM!$L$7:$T$18,5,FALSE)/12,0)+IFERROR(VLOOKUP($B37,CDM!$L$36:$T$46,5,FALSE)/24,0)+IFERROR(VLOOKUP($B37,CDM!$L$36:$T$46,5,FALSE)/2*$C37/78,0)</f>
        <v>866284.38745762804</v>
      </c>
      <c r="S37" s="265">
        <f t="shared" si="7"/>
        <v>6901002.2880553724</v>
      </c>
      <c r="T37" s="265">
        <v>13840</v>
      </c>
      <c r="U37" s="265">
        <v>11</v>
      </c>
      <c r="V37" s="265">
        <v>3038979.2685842598</v>
      </c>
      <c r="W37" s="265">
        <f>IFERROR(VLOOKUP($B37-1,CDM!$L$7:$T$18,6,FALSE)/12,0)+IFERROR(VLOOKUP($B37,CDM!$L$36:$T$46,6,FALSE)/24,0)+IFERROR(VLOOKUP($B37,CDM!$L$36:$T$46,6,FALSE)/2*$C37/78,0)</f>
        <v>16536.589663461538</v>
      </c>
      <c r="X37" s="265">
        <f t="shared" si="8"/>
        <v>3055515.8582477211</v>
      </c>
      <c r="Y37" s="265">
        <v>6182.923849603063</v>
      </c>
      <c r="Z37" s="265">
        <v>1</v>
      </c>
      <c r="AA37" s="4">
        <v>512517.33142262639</v>
      </c>
      <c r="AB37" s="4">
        <v>992</v>
      </c>
      <c r="AC37" s="265">
        <v>13605</v>
      </c>
      <c r="AD37" s="265">
        <v>2155.2736982643523</v>
      </c>
      <c r="AE37" s="265">
        <v>85</v>
      </c>
      <c r="AF37" s="265">
        <v>23</v>
      </c>
      <c r="AG37" s="4">
        <v>209773</v>
      </c>
      <c r="AH37" s="4">
        <v>247</v>
      </c>
      <c r="AI37" s="28">
        <f>Economic!H39</f>
        <v>764464.8</v>
      </c>
      <c r="AJ37" s="28">
        <f>Economic!I39</f>
        <v>590729.4</v>
      </c>
      <c r="AK37" s="28">
        <f>Economic!J39</f>
        <v>53985.7</v>
      </c>
      <c r="AL37" s="28">
        <f>Economic!K39</f>
        <v>771453</v>
      </c>
      <c r="AM37" s="28">
        <f>Economic!L39</f>
        <v>596813</v>
      </c>
      <c r="AN37" s="28">
        <f>Economic!M39</f>
        <v>31522</v>
      </c>
      <c r="AO37" s="28">
        <f>Economic!D39</f>
        <v>7199.5</v>
      </c>
      <c r="AP37" s="28">
        <f>Economic!E39</f>
        <v>7206.8</v>
      </c>
      <c r="AQ37" s="28">
        <f>Economic!F39</f>
        <v>208</v>
      </c>
      <c r="AR37" s="28">
        <f>Economic!G39</f>
        <v>207.1</v>
      </c>
      <c r="AS37" s="28">
        <f>Economic!N39</f>
        <v>207.10000000000036</v>
      </c>
      <c r="AT37" s="28">
        <f>Economic!O39</f>
        <v>206.90000000000055</v>
      </c>
      <c r="AU37" s="28">
        <f>Economic!P39</f>
        <v>-7.6999999999999886</v>
      </c>
      <c r="AV37" s="28">
        <f>Economic!Q39</f>
        <v>-8.3000000000000114</v>
      </c>
      <c r="AW37" s="28">
        <f>Economic!R39</f>
        <v>20488.600000000093</v>
      </c>
      <c r="AX37" s="28">
        <f>Economic!S39</f>
        <v>6393</v>
      </c>
      <c r="AY37" s="7">
        <f>Weather!D37</f>
        <v>-5.7520161290322589</v>
      </c>
      <c r="AZ37" s="7">
        <f>Weather!E37</f>
        <v>798.31250000000011</v>
      </c>
      <c r="BA37" s="7">
        <f>Weather!F37</f>
        <v>0</v>
      </c>
      <c r="BB37" s="7">
        <f>Weather!G37</f>
        <v>736.31250000000011</v>
      </c>
      <c r="BC37" s="7">
        <f>Weather!H37</f>
        <v>0</v>
      </c>
      <c r="BD37" s="7">
        <f>Weather!I37</f>
        <v>674.31250000000011</v>
      </c>
      <c r="BE37" s="7">
        <f>Weather!J37</f>
        <v>0</v>
      </c>
      <c r="BF37" s="7">
        <f>Weather!K37</f>
        <v>612.31250000000011</v>
      </c>
      <c r="BG37" s="7">
        <f>Weather!L37</f>
        <v>0</v>
      </c>
      <c r="BH37" s="7">
        <f>Weather!M37</f>
        <v>550.3125</v>
      </c>
      <c r="BI37" s="7">
        <f>Weather!N37</f>
        <v>0</v>
      </c>
      <c r="BJ37" s="7">
        <f>Weather!O37</f>
        <v>488.31250000000011</v>
      </c>
      <c r="BK37" s="7">
        <f>Weather!P37</f>
        <v>0</v>
      </c>
      <c r="BL37" s="7">
        <f>Weather!Q37</f>
        <v>426.3125</v>
      </c>
      <c r="BM37" s="7">
        <f>Weather!R37</f>
        <v>0</v>
      </c>
      <c r="BN37" s="1">
        <v>0</v>
      </c>
      <c r="BO37" s="1">
        <v>0</v>
      </c>
      <c r="BP37" s="1">
        <v>0</v>
      </c>
      <c r="BQ37" s="1">
        <v>0</v>
      </c>
      <c r="BR37" s="1">
        <v>0</v>
      </c>
      <c r="BS37" s="1">
        <v>0</v>
      </c>
      <c r="BT37" s="1">
        <v>0</v>
      </c>
      <c r="BU37" s="1">
        <v>0</v>
      </c>
      <c r="BV37" s="1">
        <v>0</v>
      </c>
      <c r="BW37" s="1">
        <v>0</v>
      </c>
      <c r="BX37" s="1">
        <v>0</v>
      </c>
      <c r="BY37" s="1">
        <v>1</v>
      </c>
      <c r="BZ37" s="1">
        <v>0</v>
      </c>
      <c r="CA37" s="1">
        <v>0</v>
      </c>
      <c r="CB37" s="1">
        <v>0</v>
      </c>
      <c r="CC37" s="1">
        <f t="shared" si="9"/>
        <v>36</v>
      </c>
      <c r="CD37" s="1">
        <v>31</v>
      </c>
      <c r="CE37" s="1">
        <v>19</v>
      </c>
      <c r="CF37" s="1">
        <v>0</v>
      </c>
      <c r="CG37" s="1">
        <v>0</v>
      </c>
      <c r="CH37" s="1">
        <v>0</v>
      </c>
      <c r="CI37" s="1">
        <v>0</v>
      </c>
      <c r="CJ37" s="1">
        <f t="shared" si="12"/>
        <v>0</v>
      </c>
      <c r="CK37" s="1">
        <f t="shared" si="12"/>
        <v>0</v>
      </c>
      <c r="CL37" s="1">
        <f t="shared" si="12"/>
        <v>0</v>
      </c>
      <c r="CM37" s="1">
        <f t="shared" si="12"/>
        <v>0</v>
      </c>
      <c r="CN37" s="1">
        <f t="shared" si="12"/>
        <v>0</v>
      </c>
      <c r="CO37" s="1">
        <f t="shared" si="14"/>
        <v>0</v>
      </c>
      <c r="CP37" s="1">
        <f t="shared" si="14"/>
        <v>0</v>
      </c>
      <c r="CQ37" s="1">
        <f t="shared" si="14"/>
        <v>0</v>
      </c>
      <c r="CR37" s="1">
        <f t="shared" si="14"/>
        <v>0</v>
      </c>
      <c r="CS37" s="1">
        <f t="shared" si="14"/>
        <v>0</v>
      </c>
      <c r="CT37" s="1">
        <f t="shared" si="14"/>
        <v>0</v>
      </c>
      <c r="CU37" s="1">
        <f t="shared" si="14"/>
        <v>0</v>
      </c>
      <c r="CV37" s="1">
        <f t="shared" si="14"/>
        <v>0</v>
      </c>
      <c r="CW37" s="1">
        <f t="shared" si="14"/>
        <v>0</v>
      </c>
      <c r="CX37" s="1">
        <f t="shared" si="13"/>
        <v>0</v>
      </c>
      <c r="CY37" s="1">
        <f t="shared" si="13"/>
        <v>0</v>
      </c>
      <c r="CZ37" s="1">
        <f t="shared" si="13"/>
        <v>0</v>
      </c>
      <c r="DA37" s="1">
        <f t="shared" si="13"/>
        <v>0</v>
      </c>
      <c r="DB37" s="1">
        <f t="shared" si="13"/>
        <v>0</v>
      </c>
      <c r="DC37" s="1">
        <f t="shared" si="15"/>
        <v>0</v>
      </c>
      <c r="DD37" s="1">
        <f t="shared" si="15"/>
        <v>0</v>
      </c>
      <c r="DE37" s="1">
        <f t="shared" si="15"/>
        <v>0</v>
      </c>
      <c r="DF37" s="1">
        <f t="shared" si="15"/>
        <v>0</v>
      </c>
      <c r="DG37" s="1">
        <f t="shared" si="15"/>
        <v>0</v>
      </c>
      <c r="DH37" s="1">
        <f t="shared" si="15"/>
        <v>0</v>
      </c>
      <c r="DI37" s="1">
        <f t="shared" si="15"/>
        <v>0</v>
      </c>
      <c r="DJ37" s="1">
        <f t="shared" si="15"/>
        <v>0</v>
      </c>
      <c r="DK37" s="1">
        <f t="shared" si="15"/>
        <v>0</v>
      </c>
      <c r="DL37" s="25"/>
      <c r="DM37" s="25"/>
      <c r="DN37" s="24"/>
      <c r="DO37" s="25"/>
      <c r="DP37" s="25"/>
      <c r="DQ37" s="25"/>
      <c r="DR37" s="25"/>
      <c r="DS37" s="25"/>
      <c r="DT37" s="25"/>
      <c r="DU37" s="25"/>
      <c r="DV37" s="25"/>
    </row>
    <row r="38" spans="1:126" x14ac:dyDescent="0.25">
      <c r="A38" s="261">
        <v>43101</v>
      </c>
      <c r="B38" s="262">
        <f t="shared" si="0"/>
        <v>2018</v>
      </c>
      <c r="C38" s="262">
        <f t="shared" si="1"/>
        <v>1</v>
      </c>
      <c r="D38" s="263">
        <v>47104982.939729713</v>
      </c>
      <c r="E38" s="263">
        <f>IFERROR(VLOOKUP($B38-1,CDM!$L$7:$T$18,2,FALSE)/12,0)+IFERROR(VLOOKUP($B38,CDM!$L$36:$T$46,2,FALSE)/24,0)+IFERROR(VLOOKUP($B38,CDM!$L$36:$T$46,2,FALSE)/2*$C38/78,0)</f>
        <v>2077561.029937906</v>
      </c>
      <c r="F38" s="263">
        <f t="shared" si="2"/>
        <v>49182543.969667621</v>
      </c>
      <c r="G38" s="264">
        <v>53059</v>
      </c>
      <c r="H38" s="263">
        <v>13270090.801917937</v>
      </c>
      <c r="I38" s="263">
        <f>IFERROR(VLOOKUP($B38-1,CDM!$L$7:$T$18,3,FALSE)/12,0)+IFERROR(VLOOKUP($B38,CDM!$L$36:$T$46,3,FALSE)/24,0)+IFERROR(VLOOKUP($B38,CDM!$L$36:$T$46,3,FALSE)/2*$C38/78,0)</f>
        <v>473756.43431905116</v>
      </c>
      <c r="J38" s="263">
        <f t="shared" si="6"/>
        <v>13743847.236236988</v>
      </c>
      <c r="K38" s="265">
        <v>4200</v>
      </c>
      <c r="L38" s="265">
        <v>33355385.943731386</v>
      </c>
      <c r="M38" s="266">
        <f>IFERROR(VLOOKUP($B38-1,CDM!$L$7:$T$18,4,FALSE)/12,0)+IFERROR(VLOOKUP($B38,CDM!$L$36:$T$46,4,FALSE)/24,0)+IFERROR(VLOOKUP($B38,CDM!$L$36:$T$46,4,FALSE)/2*$C38/78,0)</f>
        <v>517317.14637805161</v>
      </c>
      <c r="N38" s="263">
        <f t="shared" si="3"/>
        <v>33872703.090109438</v>
      </c>
      <c r="O38" s="265">
        <v>53776.350034794712</v>
      </c>
      <c r="P38" s="265">
        <v>521</v>
      </c>
      <c r="Q38" s="265">
        <v>6268500.4501299141</v>
      </c>
      <c r="R38" s="265">
        <f>IFERROR(VLOOKUP($B38-1,CDM!$L$7:$T$18,5,FALSE)/12,0)+IFERROR(VLOOKUP($B38,CDM!$L$36:$T$46,5,FALSE)/24,0)+IFERROR(VLOOKUP($B38,CDM!$L$36:$T$46,5,FALSE)/2*$C38/78,0)</f>
        <v>855530.44954836089</v>
      </c>
      <c r="S38" s="265">
        <f t="shared" si="7"/>
        <v>7124030.899678275</v>
      </c>
      <c r="T38" s="265">
        <v>14900</v>
      </c>
      <c r="U38" s="265">
        <v>11</v>
      </c>
      <c r="V38" s="265">
        <v>3601834.996090522</v>
      </c>
      <c r="W38" s="265">
        <f>IFERROR(VLOOKUP($B38-1,CDM!$L$7:$T$18,6,FALSE)/12,0)+IFERROR(VLOOKUP($B38,CDM!$L$36:$T$46,6,FALSE)/24,0)+IFERROR(VLOOKUP($B38,CDM!$L$36:$T$46,6,FALSE)/2*$C38/78,0)</f>
        <v>18325.615945512825</v>
      </c>
      <c r="X38" s="265">
        <f t="shared" si="8"/>
        <v>3620160.6120360349</v>
      </c>
      <c r="Y38" s="265">
        <v>7328.0761503969379</v>
      </c>
      <c r="Z38" s="265">
        <v>1</v>
      </c>
      <c r="AA38" s="4">
        <v>447794.21742972912</v>
      </c>
      <c r="AB38" s="4">
        <v>992</v>
      </c>
      <c r="AC38" s="265">
        <v>13605</v>
      </c>
      <c r="AD38" s="265">
        <v>2179.9923707800876</v>
      </c>
      <c r="AE38" s="265">
        <v>0</v>
      </c>
      <c r="AF38" s="265">
        <v>23</v>
      </c>
      <c r="AG38" s="4">
        <v>209837</v>
      </c>
      <c r="AH38" s="4">
        <v>247</v>
      </c>
      <c r="AI38" s="28">
        <f>Economic!H40</f>
        <v>789531.6</v>
      </c>
      <c r="AJ38" s="28">
        <f>Economic!I40</f>
        <v>608429.30000000005</v>
      </c>
      <c r="AK38" s="28">
        <f>Economic!J40</f>
        <v>57334.6</v>
      </c>
      <c r="AL38" s="28">
        <f>Economic!K40</f>
        <v>779459</v>
      </c>
      <c r="AM38" s="28">
        <f>Economic!L40</f>
        <v>600187</v>
      </c>
      <c r="AN38" s="28">
        <f>Economic!M40</f>
        <v>31723</v>
      </c>
      <c r="AO38" s="28">
        <f>Economic!D40</f>
        <v>7199.4</v>
      </c>
      <c r="AP38" s="28">
        <f>Economic!E40</f>
        <v>7167.3</v>
      </c>
      <c r="AQ38" s="28">
        <f>Economic!F40</f>
        <v>206.9</v>
      </c>
      <c r="AR38" s="28">
        <f>Economic!G40</f>
        <v>205.4</v>
      </c>
      <c r="AS38" s="28">
        <f>Economic!N40</f>
        <v>184.79999999999927</v>
      </c>
      <c r="AT38" s="28">
        <f>Economic!O40</f>
        <v>184.80000000000018</v>
      </c>
      <c r="AU38" s="28">
        <f>Economic!P40</f>
        <v>-8.5999999999999943</v>
      </c>
      <c r="AV38" s="28">
        <f>Economic!Q40</f>
        <v>-9</v>
      </c>
      <c r="AW38" s="28">
        <f>Economic!R40</f>
        <v>25066.79999999993</v>
      </c>
      <c r="AX38" s="28">
        <f>Economic!S40</f>
        <v>8006</v>
      </c>
      <c r="AY38" s="7">
        <f>Weather!D38</f>
        <v>-6.2108870967741945</v>
      </c>
      <c r="AZ38" s="7">
        <f>Weather!E38</f>
        <v>812.53750000000002</v>
      </c>
      <c r="BA38" s="7">
        <f>Weather!F38</f>
        <v>0</v>
      </c>
      <c r="BB38" s="7">
        <f>Weather!G38</f>
        <v>750.53750000000002</v>
      </c>
      <c r="BC38" s="7">
        <f>Weather!H38</f>
        <v>0</v>
      </c>
      <c r="BD38" s="7">
        <f>Weather!I38</f>
        <v>688.53749999999991</v>
      </c>
      <c r="BE38" s="7">
        <f>Weather!J38</f>
        <v>0</v>
      </c>
      <c r="BF38" s="7">
        <f>Weather!K38</f>
        <v>626.53750000000002</v>
      </c>
      <c r="BG38" s="7">
        <f>Weather!L38</f>
        <v>0</v>
      </c>
      <c r="BH38" s="7">
        <f>Weather!M38</f>
        <v>564.53750000000002</v>
      </c>
      <c r="BI38" s="7">
        <f>Weather!N38</f>
        <v>0</v>
      </c>
      <c r="BJ38" s="7">
        <f>Weather!O38</f>
        <v>502.53750000000002</v>
      </c>
      <c r="BK38" s="7">
        <f>Weather!P38</f>
        <v>0</v>
      </c>
      <c r="BL38" s="7">
        <f>Weather!Q38</f>
        <v>440.53750000000002</v>
      </c>
      <c r="BM38" s="7">
        <f>Weather!R38</f>
        <v>0</v>
      </c>
      <c r="BN38" s="1">
        <v>1</v>
      </c>
      <c r="BO38" s="1">
        <v>0</v>
      </c>
      <c r="BP38" s="1">
        <v>0</v>
      </c>
      <c r="BQ38" s="1">
        <v>0</v>
      </c>
      <c r="BR38" s="1">
        <v>0</v>
      </c>
      <c r="BS38" s="1">
        <v>0</v>
      </c>
      <c r="BT38" s="1">
        <v>0</v>
      </c>
      <c r="BU38" s="1">
        <v>0</v>
      </c>
      <c r="BV38" s="1">
        <v>0</v>
      </c>
      <c r="BW38" s="1">
        <v>0</v>
      </c>
      <c r="BX38" s="1">
        <v>0</v>
      </c>
      <c r="BY38" s="1">
        <v>0</v>
      </c>
      <c r="BZ38" s="1">
        <v>0</v>
      </c>
      <c r="CA38" s="1">
        <v>0</v>
      </c>
      <c r="CB38" s="1">
        <v>0</v>
      </c>
      <c r="CC38" s="1">
        <f t="shared" si="9"/>
        <v>37</v>
      </c>
      <c r="CD38" s="1">
        <v>31</v>
      </c>
      <c r="CE38" s="1">
        <v>22</v>
      </c>
      <c r="CF38" s="1">
        <v>0</v>
      </c>
      <c r="CG38" s="1">
        <v>0</v>
      </c>
      <c r="CH38" s="1">
        <v>0</v>
      </c>
      <c r="CI38" s="1">
        <v>0</v>
      </c>
      <c r="CJ38" s="1">
        <f t="shared" si="12"/>
        <v>0</v>
      </c>
      <c r="CK38" s="1">
        <f t="shared" si="12"/>
        <v>0</v>
      </c>
      <c r="CL38" s="1">
        <f t="shared" si="12"/>
        <v>0</v>
      </c>
      <c r="CM38" s="1">
        <f t="shared" si="12"/>
        <v>0</v>
      </c>
      <c r="CN38" s="1">
        <f t="shared" si="12"/>
        <v>0</v>
      </c>
      <c r="CO38" s="1">
        <f t="shared" si="14"/>
        <v>0</v>
      </c>
      <c r="CP38" s="1">
        <f t="shared" si="14"/>
        <v>0</v>
      </c>
      <c r="CQ38" s="1">
        <f t="shared" si="14"/>
        <v>0</v>
      </c>
      <c r="CR38" s="1">
        <f t="shared" si="14"/>
        <v>0</v>
      </c>
      <c r="CS38" s="1">
        <f t="shared" si="14"/>
        <v>0</v>
      </c>
      <c r="CT38" s="1">
        <f t="shared" si="14"/>
        <v>0</v>
      </c>
      <c r="CU38" s="1">
        <f t="shared" si="14"/>
        <v>0</v>
      </c>
      <c r="CV38" s="1">
        <f t="shared" si="14"/>
        <v>0</v>
      </c>
      <c r="CW38" s="1">
        <f t="shared" si="14"/>
        <v>0</v>
      </c>
      <c r="CX38" s="1">
        <f t="shared" si="13"/>
        <v>0</v>
      </c>
      <c r="CY38" s="1">
        <f t="shared" si="13"/>
        <v>0</v>
      </c>
      <c r="CZ38" s="1">
        <f t="shared" si="13"/>
        <v>0</v>
      </c>
      <c r="DA38" s="1">
        <f t="shared" si="13"/>
        <v>0</v>
      </c>
      <c r="DB38" s="1">
        <f t="shared" si="13"/>
        <v>0</v>
      </c>
      <c r="DC38" s="1">
        <f t="shared" si="15"/>
        <v>0</v>
      </c>
      <c r="DD38" s="1">
        <f t="shared" si="15"/>
        <v>0</v>
      </c>
      <c r="DE38" s="1">
        <f t="shared" si="15"/>
        <v>0</v>
      </c>
      <c r="DF38" s="1">
        <f t="shared" si="15"/>
        <v>0</v>
      </c>
      <c r="DG38" s="1">
        <f t="shared" si="15"/>
        <v>0</v>
      </c>
      <c r="DH38" s="1">
        <f t="shared" si="15"/>
        <v>0</v>
      </c>
      <c r="DI38" s="1">
        <f t="shared" si="15"/>
        <v>0</v>
      </c>
      <c r="DJ38" s="1">
        <f t="shared" si="15"/>
        <v>0</v>
      </c>
      <c r="DK38" s="1">
        <f t="shared" si="15"/>
        <v>0</v>
      </c>
      <c r="DL38" s="25"/>
      <c r="DM38" s="25"/>
      <c r="DN38" s="24"/>
      <c r="DO38" s="25"/>
      <c r="DP38" s="25"/>
      <c r="DQ38" s="25"/>
      <c r="DR38" s="25"/>
      <c r="DS38" s="25"/>
      <c r="DT38" s="25"/>
      <c r="DU38" s="25"/>
      <c r="DV38" s="25"/>
    </row>
    <row r="39" spans="1:126" x14ac:dyDescent="0.25">
      <c r="A39" s="261">
        <v>43132</v>
      </c>
      <c r="B39" s="262">
        <f t="shared" si="0"/>
        <v>2018</v>
      </c>
      <c r="C39" s="262">
        <f t="shared" si="1"/>
        <v>2</v>
      </c>
      <c r="D39" s="263">
        <v>40135686.845506817</v>
      </c>
      <c r="E39" s="263">
        <f>IFERROR(VLOOKUP($B39-1,CDM!$L$7:$T$18,2,FALSE)/12,0)+IFERROR(VLOOKUP($B39,CDM!$L$36:$T$46,2,FALSE)/24,0)+IFERROR(VLOOKUP($B39,CDM!$L$36:$T$46,2,FALSE)/2*$C39/78,0)</f>
        <v>2118803.7950407378</v>
      </c>
      <c r="F39" s="263">
        <f t="shared" si="2"/>
        <v>42254490.640547559</v>
      </c>
      <c r="G39" s="264">
        <v>53149</v>
      </c>
      <c r="H39" s="263">
        <v>11306748.789585166</v>
      </c>
      <c r="I39" s="263">
        <f>IFERROR(VLOOKUP($B39-1,CDM!$L$7:$T$18,3,FALSE)/12,0)+IFERROR(VLOOKUP($B39,CDM!$L$36:$T$46,3,FALSE)/24,0)+IFERROR(VLOOKUP($B39,CDM!$L$36:$T$46,3,FALSE)/2*$C39/78,0)</f>
        <v>484569.23764718615</v>
      </c>
      <c r="J39" s="263">
        <f t="shared" si="6"/>
        <v>11791318.027232353</v>
      </c>
      <c r="K39" s="265">
        <v>4210</v>
      </c>
      <c r="L39" s="4">
        <v>26506993.414944962</v>
      </c>
      <c r="M39" s="266">
        <f>IFERROR(VLOOKUP($B39-1,CDM!$L$7:$T$18,4,FALSE)/12,0)+IFERROR(VLOOKUP($B39,CDM!$L$36:$T$46,4,FALSE)/24,0)+IFERROR(VLOOKUP($B39,CDM!$L$36:$T$46,4,FALSE)/2*$C39/78,0)</f>
        <v>532745.75524371443</v>
      </c>
      <c r="N39" s="263">
        <f t="shared" si="3"/>
        <v>27039739.170188677</v>
      </c>
      <c r="O39" s="4">
        <v>69850</v>
      </c>
      <c r="P39" s="265">
        <v>521</v>
      </c>
      <c r="Q39" s="265">
        <v>5543973.6384187602</v>
      </c>
      <c r="R39" s="265">
        <f>IFERROR(VLOOKUP($B39-1,CDM!$L$7:$T$18,5,FALSE)/12,0)+IFERROR(VLOOKUP($B39,CDM!$L$36:$T$46,5,FALSE)/24,0)+IFERROR(VLOOKUP($B39,CDM!$L$36:$T$46,5,FALSE)/2*$C39/78,0)</f>
        <v>855541.06506118132</v>
      </c>
      <c r="S39" s="265">
        <f t="shared" si="7"/>
        <v>6399514.7034799419</v>
      </c>
      <c r="T39" s="265">
        <v>14216</v>
      </c>
      <c r="U39" s="265">
        <v>11</v>
      </c>
      <c r="V39" s="265">
        <v>3368081.2940163556</v>
      </c>
      <c r="W39" s="265">
        <f>IFERROR(VLOOKUP($B39-1,CDM!$L$7:$T$18,6,FALSE)/12,0)+IFERROR(VLOOKUP($B39,CDM!$L$36:$T$46,6,FALSE)/24,0)+IFERROR(VLOOKUP($B39,CDM!$L$36:$T$46,6,FALSE)/2*$C39/78,0)</f>
        <v>19219.657238247866</v>
      </c>
      <c r="X39" s="265">
        <f t="shared" si="8"/>
        <v>3387300.9512546035</v>
      </c>
      <c r="Y39" s="265">
        <v>6766</v>
      </c>
      <c r="Z39" s="265">
        <v>1</v>
      </c>
      <c r="AA39" s="4">
        <v>374015.20529359969</v>
      </c>
      <c r="AB39" s="4">
        <v>999</v>
      </c>
      <c r="AC39" s="265">
        <v>13605</v>
      </c>
      <c r="AD39" s="265">
        <v>2043.18138470341</v>
      </c>
      <c r="AE39" s="265">
        <v>0</v>
      </c>
      <c r="AF39" s="265">
        <v>23</v>
      </c>
      <c r="AG39" s="4">
        <v>209837</v>
      </c>
      <c r="AH39" s="4">
        <v>247</v>
      </c>
      <c r="AI39" s="28">
        <f>Economic!H41</f>
        <v>789531.6</v>
      </c>
      <c r="AJ39" s="28">
        <f>Economic!I41</f>
        <v>608429.30000000005</v>
      </c>
      <c r="AK39" s="28">
        <f>Economic!J41</f>
        <v>57334.6</v>
      </c>
      <c r="AL39" s="28">
        <f>Economic!K41</f>
        <v>779459</v>
      </c>
      <c r="AM39" s="28">
        <f>Economic!L41</f>
        <v>600187</v>
      </c>
      <c r="AN39" s="28">
        <f>Economic!M41</f>
        <v>31723</v>
      </c>
      <c r="AO39" s="28">
        <f>Economic!D41</f>
        <v>7188.9</v>
      </c>
      <c r="AP39" s="28">
        <f>Economic!E41</f>
        <v>7120.1</v>
      </c>
      <c r="AQ39" s="28">
        <f>Economic!F41</f>
        <v>207.4</v>
      </c>
      <c r="AR39" s="28">
        <f>Economic!G41</f>
        <v>205.6</v>
      </c>
      <c r="AS39" s="28">
        <f>Economic!N41</f>
        <v>157.59999999999945</v>
      </c>
      <c r="AT39" s="28">
        <f>Economic!O41</f>
        <v>157.60000000000036</v>
      </c>
      <c r="AU39" s="28">
        <f>Economic!P41</f>
        <v>-2.4000000000000057</v>
      </c>
      <c r="AV39" s="28">
        <f>Economic!Q41</f>
        <v>-2.4000000000000057</v>
      </c>
      <c r="AW39" s="28">
        <f>Economic!R41</f>
        <v>25066.79999999993</v>
      </c>
      <c r="AX39" s="28">
        <f>Economic!S41</f>
        <v>8006</v>
      </c>
      <c r="AY39" s="7">
        <f>Weather!D39</f>
        <v>-2.5891369047619053</v>
      </c>
      <c r="AZ39" s="7">
        <f>Weather!E39</f>
        <v>632.49583333333328</v>
      </c>
      <c r="BA39" s="7">
        <f>Weather!F39</f>
        <v>0</v>
      </c>
      <c r="BB39" s="7">
        <f>Weather!G39</f>
        <v>576.49583333333317</v>
      </c>
      <c r="BC39" s="7">
        <f>Weather!H39</f>
        <v>0</v>
      </c>
      <c r="BD39" s="7">
        <f>Weather!I39</f>
        <v>520.49583333333328</v>
      </c>
      <c r="BE39" s="7">
        <f>Weather!J39</f>
        <v>0</v>
      </c>
      <c r="BF39" s="7">
        <f>Weather!K39</f>
        <v>464.49583333333334</v>
      </c>
      <c r="BG39" s="7">
        <f>Weather!L39</f>
        <v>0</v>
      </c>
      <c r="BH39" s="7">
        <f>Weather!M39</f>
        <v>408.49583333333334</v>
      </c>
      <c r="BI39" s="7">
        <f>Weather!N39</f>
        <v>0</v>
      </c>
      <c r="BJ39" s="7">
        <f>Weather!O39</f>
        <v>352.49583333333334</v>
      </c>
      <c r="BK39" s="7">
        <f>Weather!P39</f>
        <v>0</v>
      </c>
      <c r="BL39" s="7">
        <f>Weather!Q39</f>
        <v>296.49583333333334</v>
      </c>
      <c r="BM39" s="7">
        <f>Weather!R39</f>
        <v>0</v>
      </c>
      <c r="BN39" s="1">
        <v>0</v>
      </c>
      <c r="BO39" s="1">
        <v>1</v>
      </c>
      <c r="BP39" s="1">
        <v>0</v>
      </c>
      <c r="BQ39" s="1">
        <v>0</v>
      </c>
      <c r="BR39" s="1">
        <v>0</v>
      </c>
      <c r="BS39" s="1">
        <v>0</v>
      </c>
      <c r="BT39" s="1">
        <v>0</v>
      </c>
      <c r="BU39" s="1">
        <v>0</v>
      </c>
      <c r="BV39" s="1">
        <v>0</v>
      </c>
      <c r="BW39" s="1">
        <v>0</v>
      </c>
      <c r="BX39" s="1">
        <v>0</v>
      </c>
      <c r="BY39" s="1">
        <v>0</v>
      </c>
      <c r="BZ39" s="1">
        <v>0</v>
      </c>
      <c r="CA39" s="1">
        <v>0</v>
      </c>
      <c r="CB39" s="1">
        <v>0</v>
      </c>
      <c r="CC39" s="1">
        <f t="shared" si="9"/>
        <v>38</v>
      </c>
      <c r="CD39" s="1">
        <v>28</v>
      </c>
      <c r="CE39" s="1">
        <v>19</v>
      </c>
      <c r="CF39" s="1">
        <v>0</v>
      </c>
      <c r="CG39" s="1">
        <v>0</v>
      </c>
      <c r="CH39" s="1">
        <v>0</v>
      </c>
      <c r="CI39" s="1">
        <v>0</v>
      </c>
      <c r="CJ39" s="1">
        <f t="shared" si="12"/>
        <v>0</v>
      </c>
      <c r="CK39" s="1">
        <f t="shared" si="12"/>
        <v>0</v>
      </c>
      <c r="CL39" s="1">
        <f t="shared" si="12"/>
        <v>0</v>
      </c>
      <c r="CM39" s="1">
        <f t="shared" si="12"/>
        <v>0</v>
      </c>
      <c r="CN39" s="1">
        <f t="shared" si="12"/>
        <v>0</v>
      </c>
      <c r="CO39" s="1">
        <f t="shared" si="14"/>
        <v>0</v>
      </c>
      <c r="CP39" s="1">
        <f t="shared" si="14"/>
        <v>0</v>
      </c>
      <c r="CQ39" s="1">
        <f t="shared" si="14"/>
        <v>0</v>
      </c>
      <c r="CR39" s="1">
        <f t="shared" si="14"/>
        <v>0</v>
      </c>
      <c r="CS39" s="1">
        <f t="shared" si="14"/>
        <v>0</v>
      </c>
      <c r="CT39" s="1">
        <f t="shared" si="14"/>
        <v>0</v>
      </c>
      <c r="CU39" s="1">
        <f t="shared" si="14"/>
        <v>0</v>
      </c>
      <c r="CV39" s="1">
        <f t="shared" si="14"/>
        <v>0</v>
      </c>
      <c r="CW39" s="1">
        <f t="shared" si="14"/>
        <v>0</v>
      </c>
      <c r="CX39" s="1">
        <f t="shared" si="13"/>
        <v>0</v>
      </c>
      <c r="CY39" s="1">
        <f t="shared" si="13"/>
        <v>0</v>
      </c>
      <c r="CZ39" s="1">
        <f t="shared" si="13"/>
        <v>0</v>
      </c>
      <c r="DA39" s="1">
        <f t="shared" si="13"/>
        <v>0</v>
      </c>
      <c r="DB39" s="1">
        <f t="shared" si="13"/>
        <v>0</v>
      </c>
      <c r="DC39" s="1">
        <f t="shared" si="15"/>
        <v>0</v>
      </c>
      <c r="DD39" s="1">
        <f t="shared" si="15"/>
        <v>0</v>
      </c>
      <c r="DE39" s="1">
        <f t="shared" si="15"/>
        <v>0</v>
      </c>
      <c r="DF39" s="1">
        <f t="shared" si="15"/>
        <v>0</v>
      </c>
      <c r="DG39" s="1">
        <f t="shared" si="15"/>
        <v>0</v>
      </c>
      <c r="DH39" s="1">
        <f t="shared" si="15"/>
        <v>0</v>
      </c>
      <c r="DI39" s="1">
        <f t="shared" si="15"/>
        <v>0</v>
      </c>
      <c r="DJ39" s="1">
        <f t="shared" si="15"/>
        <v>0</v>
      </c>
      <c r="DK39" s="1">
        <f t="shared" si="15"/>
        <v>0</v>
      </c>
      <c r="DL39" s="25"/>
      <c r="DM39" s="25"/>
      <c r="DN39" s="24"/>
      <c r="DO39" s="25"/>
      <c r="DP39" s="25"/>
      <c r="DQ39" s="25"/>
      <c r="DR39" s="25"/>
      <c r="DS39" s="25"/>
      <c r="DT39" s="25"/>
      <c r="DU39" s="25"/>
      <c r="DV39" s="25"/>
    </row>
    <row r="40" spans="1:126" x14ac:dyDescent="0.25">
      <c r="A40" s="261">
        <v>43160</v>
      </c>
      <c r="B40" s="262">
        <f t="shared" si="0"/>
        <v>2018</v>
      </c>
      <c r="C40" s="262">
        <f t="shared" si="1"/>
        <v>3</v>
      </c>
      <c r="D40" s="263">
        <v>41272519.576900333</v>
      </c>
      <c r="E40" s="263">
        <f>IFERROR(VLOOKUP($B40-1,CDM!$L$7:$T$18,2,FALSE)/12,0)+IFERROR(VLOOKUP($B40,CDM!$L$36:$T$46,2,FALSE)/24,0)+IFERROR(VLOOKUP($B40,CDM!$L$36:$T$46,2,FALSE)/2*$C40/78,0)</f>
        <v>2160046.56014357</v>
      </c>
      <c r="F40" s="263">
        <f t="shared" si="2"/>
        <v>43432566.137043901</v>
      </c>
      <c r="G40" s="264">
        <v>53273</v>
      </c>
      <c r="H40" s="263">
        <v>11627009.46331233</v>
      </c>
      <c r="I40" s="263">
        <f>IFERROR(VLOOKUP($B40-1,CDM!$L$7:$T$18,3,FALSE)/12,0)+IFERROR(VLOOKUP($B40,CDM!$L$36:$T$46,3,FALSE)/24,0)+IFERROR(VLOOKUP($B40,CDM!$L$36:$T$46,3,FALSE)/2*$C40/78,0)</f>
        <v>495382.04097532108</v>
      </c>
      <c r="J40" s="263">
        <f t="shared" si="6"/>
        <v>12122391.504287651</v>
      </c>
      <c r="K40" s="265">
        <v>4215</v>
      </c>
      <c r="L40" s="4">
        <v>28441162.948277812</v>
      </c>
      <c r="M40" s="266">
        <f>IFERROR(VLOOKUP($B40-1,CDM!$L$7:$T$18,4,FALSE)/12,0)+IFERROR(VLOOKUP($B40,CDM!$L$36:$T$46,4,FALSE)/24,0)+IFERROR(VLOOKUP($B40,CDM!$L$36:$T$46,4,FALSE)/2*$C40/78,0)</f>
        <v>548174.36410937726</v>
      </c>
      <c r="N40" s="263">
        <f t="shared" si="3"/>
        <v>28989337.312387191</v>
      </c>
      <c r="O40" s="4">
        <v>66844</v>
      </c>
      <c r="P40" s="265">
        <v>523</v>
      </c>
      <c r="Q40" s="265">
        <v>6024705.7843564888</v>
      </c>
      <c r="R40" s="265">
        <f>IFERROR(VLOOKUP($B40-1,CDM!$L$7:$T$18,5,FALSE)/12,0)+IFERROR(VLOOKUP($B40,CDM!$L$36:$T$46,5,FALSE)/24,0)+IFERROR(VLOOKUP($B40,CDM!$L$36:$T$46,5,FALSE)/2*$C40/78,0)</f>
        <v>855551.68057400186</v>
      </c>
      <c r="S40" s="265">
        <f t="shared" si="7"/>
        <v>6880257.4649304906</v>
      </c>
      <c r="T40" s="265">
        <v>14166</v>
      </c>
      <c r="U40" s="265">
        <v>11</v>
      </c>
      <c r="V40" s="265">
        <v>3716883.3500913847</v>
      </c>
      <c r="W40" s="265">
        <f>IFERROR(VLOOKUP($B40-1,CDM!$L$7:$T$18,6,FALSE)/12,0)+IFERROR(VLOOKUP($B40,CDM!$L$36:$T$46,6,FALSE)/24,0)+IFERROR(VLOOKUP($B40,CDM!$L$36:$T$46,6,FALSE)/2*$C40/78,0)</f>
        <v>20113.698530982911</v>
      </c>
      <c r="X40" s="265">
        <f t="shared" si="8"/>
        <v>3736997.0486223674</v>
      </c>
      <c r="Y40" s="265">
        <v>6566</v>
      </c>
      <c r="Z40" s="265">
        <v>1</v>
      </c>
      <c r="AA40" s="4">
        <v>378310.1464706384</v>
      </c>
      <c r="AB40" s="4">
        <v>1008</v>
      </c>
      <c r="AC40" s="265">
        <v>13838</v>
      </c>
      <c r="AD40" s="265">
        <v>2081.1176807171469</v>
      </c>
      <c r="AE40" s="265">
        <v>0</v>
      </c>
      <c r="AF40" s="265">
        <v>23</v>
      </c>
      <c r="AG40" s="4">
        <v>209837</v>
      </c>
      <c r="AH40" s="4">
        <v>247</v>
      </c>
      <c r="AI40" s="28">
        <f>Economic!H42</f>
        <v>789531.6</v>
      </c>
      <c r="AJ40" s="28">
        <f>Economic!I42</f>
        <v>608429.30000000005</v>
      </c>
      <c r="AK40" s="28">
        <f>Economic!J42</f>
        <v>57334.6</v>
      </c>
      <c r="AL40" s="28">
        <f>Economic!K42</f>
        <v>779459</v>
      </c>
      <c r="AM40" s="28">
        <f>Economic!L42</f>
        <v>600187</v>
      </c>
      <c r="AN40" s="28">
        <f>Economic!M42</f>
        <v>31723</v>
      </c>
      <c r="AO40" s="28">
        <f>Economic!D42</f>
        <v>7188.8</v>
      </c>
      <c r="AP40" s="28">
        <f>Economic!E42</f>
        <v>7084.1</v>
      </c>
      <c r="AQ40" s="28">
        <f>Economic!F42</f>
        <v>210.4</v>
      </c>
      <c r="AR40" s="28">
        <f>Economic!G42</f>
        <v>208.3</v>
      </c>
      <c r="AS40" s="28">
        <f>Economic!N42</f>
        <v>139.80000000000018</v>
      </c>
      <c r="AT40" s="28">
        <f>Economic!O42</f>
        <v>138.10000000000036</v>
      </c>
      <c r="AU40" s="28">
        <f>Economic!P42</f>
        <v>7.2000000000000171</v>
      </c>
      <c r="AV40" s="28">
        <f>Economic!Q42</f>
        <v>7.4000000000000057</v>
      </c>
      <c r="AW40" s="28">
        <f>Economic!R42</f>
        <v>25066.79999999993</v>
      </c>
      <c r="AX40" s="28">
        <f>Economic!S42</f>
        <v>8006</v>
      </c>
      <c r="AY40" s="7">
        <f>Weather!D40</f>
        <v>-0.29932795698924713</v>
      </c>
      <c r="AZ40" s="7">
        <f>Weather!E40</f>
        <v>629.27916666666681</v>
      </c>
      <c r="BA40" s="7">
        <f>Weather!F40</f>
        <v>0</v>
      </c>
      <c r="BB40" s="7">
        <f>Weather!G40</f>
        <v>567.2791666666667</v>
      </c>
      <c r="BC40" s="7">
        <f>Weather!H40</f>
        <v>0</v>
      </c>
      <c r="BD40" s="7">
        <f>Weather!I40</f>
        <v>505.2791666666667</v>
      </c>
      <c r="BE40" s="7">
        <f>Weather!J40</f>
        <v>0</v>
      </c>
      <c r="BF40" s="7">
        <f>Weather!K40</f>
        <v>443.2791666666667</v>
      </c>
      <c r="BG40" s="7">
        <f>Weather!L40</f>
        <v>0</v>
      </c>
      <c r="BH40" s="7">
        <f>Weather!M40</f>
        <v>381.27916666666664</v>
      </c>
      <c r="BI40" s="7">
        <f>Weather!N40</f>
        <v>0</v>
      </c>
      <c r="BJ40" s="7">
        <f>Weather!O40</f>
        <v>319.2791666666667</v>
      </c>
      <c r="BK40" s="7">
        <f>Weather!P40</f>
        <v>0</v>
      </c>
      <c r="BL40" s="7">
        <f>Weather!Q40</f>
        <v>257.2791666666667</v>
      </c>
      <c r="BM40" s="7">
        <f>Weather!R40</f>
        <v>0</v>
      </c>
      <c r="BN40" s="1">
        <v>0</v>
      </c>
      <c r="BO40" s="1">
        <v>0</v>
      </c>
      <c r="BP40" s="1">
        <v>1</v>
      </c>
      <c r="BQ40" s="1">
        <v>0</v>
      </c>
      <c r="BR40" s="1">
        <v>0</v>
      </c>
      <c r="BS40" s="1">
        <v>0</v>
      </c>
      <c r="BT40" s="1">
        <v>0</v>
      </c>
      <c r="BU40" s="1">
        <v>0</v>
      </c>
      <c r="BV40" s="1">
        <v>0</v>
      </c>
      <c r="BW40" s="1">
        <v>0</v>
      </c>
      <c r="BX40" s="1">
        <v>0</v>
      </c>
      <c r="BY40" s="1">
        <v>0</v>
      </c>
      <c r="BZ40" s="1">
        <v>1</v>
      </c>
      <c r="CA40" s="1">
        <v>0</v>
      </c>
      <c r="CB40" s="1">
        <v>1</v>
      </c>
      <c r="CC40" s="1">
        <f t="shared" si="9"/>
        <v>39</v>
      </c>
      <c r="CD40" s="1">
        <v>31</v>
      </c>
      <c r="CE40" s="1">
        <v>21</v>
      </c>
      <c r="CF40" s="1">
        <v>0</v>
      </c>
      <c r="CG40" s="1">
        <v>0</v>
      </c>
      <c r="CH40" s="1">
        <v>0</v>
      </c>
      <c r="CI40" s="1">
        <v>0</v>
      </c>
      <c r="CJ40" s="1">
        <f t="shared" si="12"/>
        <v>0</v>
      </c>
      <c r="CK40" s="1">
        <f t="shared" si="12"/>
        <v>0</v>
      </c>
      <c r="CL40" s="1">
        <f t="shared" si="12"/>
        <v>0</v>
      </c>
      <c r="CM40" s="1">
        <f t="shared" si="12"/>
        <v>0</v>
      </c>
      <c r="CN40" s="1">
        <f t="shared" si="12"/>
        <v>0</v>
      </c>
      <c r="CO40" s="1">
        <f t="shared" si="14"/>
        <v>0</v>
      </c>
      <c r="CP40" s="1">
        <f t="shared" si="14"/>
        <v>0</v>
      </c>
      <c r="CQ40" s="1">
        <f t="shared" si="14"/>
        <v>0</v>
      </c>
      <c r="CR40" s="1">
        <f t="shared" si="14"/>
        <v>0</v>
      </c>
      <c r="CS40" s="1">
        <f t="shared" si="14"/>
        <v>0</v>
      </c>
      <c r="CT40" s="1">
        <f t="shared" si="14"/>
        <v>0</v>
      </c>
      <c r="CU40" s="1">
        <f t="shared" si="14"/>
        <v>0</v>
      </c>
      <c r="CV40" s="1">
        <f t="shared" si="14"/>
        <v>0</v>
      </c>
      <c r="CW40" s="1">
        <f t="shared" si="14"/>
        <v>0</v>
      </c>
      <c r="CX40" s="1">
        <f t="shared" si="13"/>
        <v>0</v>
      </c>
      <c r="CY40" s="1">
        <f t="shared" si="13"/>
        <v>0</v>
      </c>
      <c r="CZ40" s="1">
        <f t="shared" si="13"/>
        <v>0</v>
      </c>
      <c r="DA40" s="1">
        <f t="shared" si="13"/>
        <v>0</v>
      </c>
      <c r="DB40" s="1">
        <f t="shared" si="13"/>
        <v>0</v>
      </c>
      <c r="DC40" s="1">
        <f t="shared" si="15"/>
        <v>0</v>
      </c>
      <c r="DD40" s="1">
        <f t="shared" si="15"/>
        <v>0</v>
      </c>
      <c r="DE40" s="1">
        <f t="shared" si="15"/>
        <v>0</v>
      </c>
      <c r="DF40" s="1">
        <f t="shared" si="15"/>
        <v>0</v>
      </c>
      <c r="DG40" s="1">
        <f t="shared" si="15"/>
        <v>0</v>
      </c>
      <c r="DH40" s="1">
        <f t="shared" si="15"/>
        <v>0</v>
      </c>
      <c r="DI40" s="1">
        <f t="shared" si="15"/>
        <v>0</v>
      </c>
      <c r="DJ40" s="1">
        <f t="shared" si="15"/>
        <v>0</v>
      </c>
      <c r="DK40" s="1">
        <f t="shared" si="15"/>
        <v>0</v>
      </c>
      <c r="DL40" s="25"/>
      <c r="DM40" s="25"/>
      <c r="DN40" s="24"/>
      <c r="DO40" s="25"/>
      <c r="DP40" s="25"/>
      <c r="DQ40" s="25"/>
      <c r="DR40" s="25"/>
      <c r="DS40" s="25"/>
      <c r="DT40" s="25"/>
      <c r="DU40" s="25"/>
      <c r="DV40" s="25"/>
    </row>
    <row r="41" spans="1:126" x14ac:dyDescent="0.25">
      <c r="A41" s="261">
        <v>43191</v>
      </c>
      <c r="B41" s="262">
        <f t="shared" si="0"/>
        <v>2018</v>
      </c>
      <c r="C41" s="262">
        <f t="shared" si="1"/>
        <v>4</v>
      </c>
      <c r="D41" s="263">
        <v>38540195.979304031</v>
      </c>
      <c r="E41" s="263">
        <f>IFERROR(VLOOKUP($B41-1,CDM!$L$7:$T$18,2,FALSE)/12,0)+IFERROR(VLOOKUP($B41,CDM!$L$36:$T$46,2,FALSE)/24,0)+IFERROR(VLOOKUP($B41,CDM!$L$36:$T$46,2,FALSE)/2*$C41/78,0)</f>
        <v>2201289.3252464016</v>
      </c>
      <c r="F41" s="263">
        <f t="shared" si="2"/>
        <v>40741485.304550432</v>
      </c>
      <c r="G41" s="264">
        <v>53438</v>
      </c>
      <c r="H41" s="263">
        <v>10711692.214064522</v>
      </c>
      <c r="I41" s="263">
        <f>IFERROR(VLOOKUP($B41-1,CDM!$L$7:$T$18,3,FALSE)/12,0)+IFERROR(VLOOKUP($B41,CDM!$L$36:$T$46,3,FALSE)/24,0)+IFERROR(VLOOKUP($B41,CDM!$L$36:$T$46,3,FALSE)/2*$C41/78,0)</f>
        <v>506194.84430345608</v>
      </c>
      <c r="J41" s="263">
        <f t="shared" si="6"/>
        <v>11217887.058367977</v>
      </c>
      <c r="K41" s="265">
        <v>4218</v>
      </c>
      <c r="L41" s="4">
        <v>26729032.386794578</v>
      </c>
      <c r="M41" s="266">
        <f>IFERROR(VLOOKUP($B41-1,CDM!$L$7:$T$18,4,FALSE)/12,0)+IFERROR(VLOOKUP($B41,CDM!$L$36:$T$46,4,FALSE)/24,0)+IFERROR(VLOOKUP($B41,CDM!$L$36:$T$46,4,FALSE)/2*$C41/78,0)</f>
        <v>563602.97297504009</v>
      </c>
      <c r="N41" s="263">
        <f t="shared" si="3"/>
        <v>27292635.35976962</v>
      </c>
      <c r="O41" s="4">
        <v>69821</v>
      </c>
      <c r="P41" s="265">
        <v>523</v>
      </c>
      <c r="Q41" s="265">
        <v>6190102.7128541749</v>
      </c>
      <c r="R41" s="265">
        <f>IFERROR(VLOOKUP($B41-1,CDM!$L$7:$T$18,5,FALSE)/12,0)+IFERROR(VLOOKUP($B41,CDM!$L$36:$T$46,5,FALSE)/24,0)+IFERROR(VLOOKUP($B41,CDM!$L$36:$T$46,5,FALSE)/2*$C41/78,0)</f>
        <v>855562.2960868224</v>
      </c>
      <c r="S41" s="265">
        <f t="shared" si="7"/>
        <v>7045665.0089409975</v>
      </c>
      <c r="T41" s="265">
        <v>14513</v>
      </c>
      <c r="U41" s="265">
        <v>11</v>
      </c>
      <c r="V41" s="265">
        <v>3398029.7079421505</v>
      </c>
      <c r="W41" s="265">
        <f>IFERROR(VLOOKUP($B41-1,CDM!$L$7:$T$18,6,FALSE)/12,0)+IFERROR(VLOOKUP($B41,CDM!$L$36:$T$46,6,FALSE)/24,0)+IFERROR(VLOOKUP($B41,CDM!$L$36:$T$46,6,FALSE)/2*$C41/78,0)</f>
        <v>21007.739823717951</v>
      </c>
      <c r="X41" s="265">
        <f t="shared" si="8"/>
        <v>3419037.4477658686</v>
      </c>
      <c r="Y41" s="265">
        <v>6521</v>
      </c>
      <c r="Z41" s="265">
        <v>1</v>
      </c>
      <c r="AA41" s="4">
        <v>321678.86173279909</v>
      </c>
      <c r="AB41" s="4">
        <v>1008</v>
      </c>
      <c r="AC41" s="265">
        <v>13838</v>
      </c>
      <c r="AD41" s="265">
        <v>2134.3887087545299</v>
      </c>
      <c r="AE41" s="265">
        <v>0</v>
      </c>
      <c r="AF41" s="265">
        <v>23</v>
      </c>
      <c r="AG41" s="4">
        <v>209837</v>
      </c>
      <c r="AH41" s="4">
        <v>247</v>
      </c>
      <c r="AI41" s="28">
        <f>Economic!H43</f>
        <v>789531.6</v>
      </c>
      <c r="AJ41" s="28">
        <f>Economic!I43</f>
        <v>608429.30000000005</v>
      </c>
      <c r="AK41" s="28">
        <f>Economic!J43</f>
        <v>57334.6</v>
      </c>
      <c r="AL41" s="28">
        <f>Economic!K43</f>
        <v>784896</v>
      </c>
      <c r="AM41" s="28">
        <f>Economic!L43</f>
        <v>604446</v>
      </c>
      <c r="AN41" s="28">
        <f>Economic!M43</f>
        <v>31589</v>
      </c>
      <c r="AO41" s="28">
        <f>Economic!D43</f>
        <v>7201.1</v>
      </c>
      <c r="AP41" s="28">
        <f>Economic!E43</f>
        <v>7111.6</v>
      </c>
      <c r="AQ41" s="28">
        <f>Economic!F43</f>
        <v>214.5</v>
      </c>
      <c r="AR41" s="28">
        <f>Economic!G43</f>
        <v>213.3</v>
      </c>
      <c r="AS41" s="28">
        <f>Economic!N43</f>
        <v>146</v>
      </c>
      <c r="AT41" s="28">
        <f>Economic!O43</f>
        <v>148</v>
      </c>
      <c r="AU41" s="28">
        <f>Economic!P43</f>
        <v>14.5</v>
      </c>
      <c r="AV41" s="28">
        <f>Economic!Q43</f>
        <v>14.400000000000006</v>
      </c>
      <c r="AW41" s="28">
        <f>Economic!R43</f>
        <v>25066.79999999993</v>
      </c>
      <c r="AX41" s="28">
        <f>Economic!S43</f>
        <v>5437</v>
      </c>
      <c r="AY41" s="7">
        <f>Weather!D41</f>
        <v>2.9161111111111113</v>
      </c>
      <c r="AZ41" s="7">
        <f>Weather!E41</f>
        <v>512.51666666666677</v>
      </c>
      <c r="BA41" s="7">
        <f>Weather!F41</f>
        <v>0</v>
      </c>
      <c r="BB41" s="7">
        <f>Weather!G41</f>
        <v>452.51666666666677</v>
      </c>
      <c r="BC41" s="7">
        <f>Weather!H41</f>
        <v>0</v>
      </c>
      <c r="BD41" s="7">
        <f>Weather!I41</f>
        <v>392.51666666666677</v>
      </c>
      <c r="BE41" s="7">
        <f>Weather!J41</f>
        <v>0</v>
      </c>
      <c r="BF41" s="7">
        <f>Weather!K41</f>
        <v>332.51666666666671</v>
      </c>
      <c r="BG41" s="7">
        <f>Weather!L41</f>
        <v>0</v>
      </c>
      <c r="BH41" s="7">
        <f>Weather!M41</f>
        <v>272.51666666666665</v>
      </c>
      <c r="BI41" s="7">
        <f>Weather!N41</f>
        <v>0</v>
      </c>
      <c r="BJ41" s="7">
        <f>Weather!O41</f>
        <v>212.57916666666659</v>
      </c>
      <c r="BK41" s="7">
        <f>Weather!P41</f>
        <v>6.2499999999998224E-2</v>
      </c>
      <c r="BL41" s="7">
        <f>Weather!Q41</f>
        <v>158.6666666666666</v>
      </c>
      <c r="BM41" s="7">
        <f>Weather!R41</f>
        <v>6.15</v>
      </c>
      <c r="BN41" s="1">
        <v>0</v>
      </c>
      <c r="BO41" s="1">
        <v>0</v>
      </c>
      <c r="BP41" s="1">
        <v>0</v>
      </c>
      <c r="BQ41" s="1">
        <v>1</v>
      </c>
      <c r="BR41" s="1">
        <v>0</v>
      </c>
      <c r="BS41" s="1">
        <v>0</v>
      </c>
      <c r="BT41" s="1">
        <v>0</v>
      </c>
      <c r="BU41" s="1">
        <v>0</v>
      </c>
      <c r="BV41" s="1">
        <v>0</v>
      </c>
      <c r="BW41" s="1">
        <v>0</v>
      </c>
      <c r="BX41" s="1">
        <v>0</v>
      </c>
      <c r="BY41" s="1">
        <v>0</v>
      </c>
      <c r="BZ41" s="1">
        <v>1</v>
      </c>
      <c r="CA41" s="1">
        <v>0</v>
      </c>
      <c r="CB41" s="1">
        <v>1</v>
      </c>
      <c r="CC41" s="1">
        <f t="shared" si="9"/>
        <v>40</v>
      </c>
      <c r="CD41" s="1">
        <v>30</v>
      </c>
      <c r="CE41" s="1">
        <v>21</v>
      </c>
      <c r="CF41" s="1">
        <v>0</v>
      </c>
      <c r="CG41" s="1">
        <v>0</v>
      </c>
      <c r="CH41" s="1">
        <v>0</v>
      </c>
      <c r="CI41" s="1">
        <v>0</v>
      </c>
      <c r="CJ41" s="1">
        <f t="shared" si="12"/>
        <v>0</v>
      </c>
      <c r="CK41" s="1">
        <f t="shared" si="12"/>
        <v>0</v>
      </c>
      <c r="CL41" s="1">
        <f t="shared" si="12"/>
        <v>0</v>
      </c>
      <c r="CM41" s="1">
        <f t="shared" si="12"/>
        <v>0</v>
      </c>
      <c r="CN41" s="1">
        <f t="shared" si="12"/>
        <v>0</v>
      </c>
      <c r="CO41" s="1">
        <f t="shared" si="14"/>
        <v>0</v>
      </c>
      <c r="CP41" s="1">
        <f t="shared" si="14"/>
        <v>0</v>
      </c>
      <c r="CQ41" s="1">
        <f t="shared" si="14"/>
        <v>0</v>
      </c>
      <c r="CR41" s="1">
        <f t="shared" si="14"/>
        <v>0</v>
      </c>
      <c r="CS41" s="1">
        <f t="shared" si="14"/>
        <v>0</v>
      </c>
      <c r="CT41" s="1">
        <f t="shared" si="14"/>
        <v>0</v>
      </c>
      <c r="CU41" s="1">
        <f t="shared" si="14"/>
        <v>0</v>
      </c>
      <c r="CV41" s="1">
        <f t="shared" si="14"/>
        <v>0</v>
      </c>
      <c r="CW41" s="1">
        <f t="shared" si="14"/>
        <v>0</v>
      </c>
      <c r="CX41" s="1">
        <f t="shared" si="13"/>
        <v>0</v>
      </c>
      <c r="CY41" s="1">
        <f t="shared" si="13"/>
        <v>0</v>
      </c>
      <c r="CZ41" s="1">
        <f t="shared" si="13"/>
        <v>0</v>
      </c>
      <c r="DA41" s="1">
        <f t="shared" si="13"/>
        <v>0</v>
      </c>
      <c r="DB41" s="1">
        <f t="shared" si="13"/>
        <v>0</v>
      </c>
      <c r="DC41" s="1">
        <f t="shared" si="15"/>
        <v>0</v>
      </c>
      <c r="DD41" s="1">
        <f t="shared" si="15"/>
        <v>0</v>
      </c>
      <c r="DE41" s="1">
        <f t="shared" si="15"/>
        <v>0</v>
      </c>
      <c r="DF41" s="1">
        <f t="shared" si="15"/>
        <v>0</v>
      </c>
      <c r="DG41" s="1">
        <f t="shared" si="15"/>
        <v>0</v>
      </c>
      <c r="DH41" s="1">
        <f t="shared" si="15"/>
        <v>0</v>
      </c>
      <c r="DI41" s="1">
        <f t="shared" si="15"/>
        <v>0</v>
      </c>
      <c r="DJ41" s="1">
        <f t="shared" si="15"/>
        <v>0</v>
      </c>
      <c r="DK41" s="1">
        <f t="shared" si="15"/>
        <v>0</v>
      </c>
      <c r="DL41" s="25"/>
      <c r="DM41" s="25"/>
      <c r="DN41" s="24"/>
      <c r="DO41" s="25"/>
      <c r="DP41" s="25"/>
      <c r="DQ41" s="25"/>
      <c r="DR41" s="25"/>
      <c r="DS41" s="25"/>
      <c r="DT41" s="25"/>
      <c r="DU41" s="25"/>
      <c r="DV41" s="25"/>
    </row>
    <row r="42" spans="1:126" x14ac:dyDescent="0.25">
      <c r="A42" s="261">
        <v>43221</v>
      </c>
      <c r="B42" s="262">
        <f t="shared" si="0"/>
        <v>2018</v>
      </c>
      <c r="C42" s="262">
        <f t="shared" si="1"/>
        <v>5</v>
      </c>
      <c r="D42" s="263">
        <v>30413800.927757658</v>
      </c>
      <c r="E42" s="263">
        <f>IFERROR(VLOOKUP($B42-1,CDM!$L$7:$T$18,2,FALSE)/12,0)+IFERROR(VLOOKUP($B42,CDM!$L$36:$T$46,2,FALSE)/24,0)+IFERROR(VLOOKUP($B42,CDM!$L$36:$T$46,2,FALSE)/2*$C42/78,0)</f>
        <v>2242532.0903492337</v>
      </c>
      <c r="F42" s="263">
        <f t="shared" si="2"/>
        <v>32656333.018106893</v>
      </c>
      <c r="G42" s="264">
        <v>53654</v>
      </c>
      <c r="H42" s="263">
        <v>10019307.538069537</v>
      </c>
      <c r="I42" s="263">
        <f>IFERROR(VLOOKUP($B42-1,CDM!$L$7:$T$18,3,FALSE)/12,0)+IFERROR(VLOOKUP($B42,CDM!$L$36:$T$46,3,FALSE)/24,0)+IFERROR(VLOOKUP($B42,CDM!$L$36:$T$46,3,FALSE)/2*$C42/78,0)</f>
        <v>517007.64763159101</v>
      </c>
      <c r="J42" s="263">
        <f t="shared" si="6"/>
        <v>10536315.185701128</v>
      </c>
      <c r="K42" s="265">
        <v>4162</v>
      </c>
      <c r="L42" s="4">
        <v>22529842.467323054</v>
      </c>
      <c r="M42" s="266">
        <f>IFERROR(VLOOKUP($B42-1,CDM!$L$7:$T$18,4,FALSE)/12,0)+IFERROR(VLOOKUP($B42,CDM!$L$36:$T$46,4,FALSE)/24,0)+IFERROR(VLOOKUP($B42,CDM!$L$36:$T$46,4,FALSE)/2*$C42/78,0)</f>
        <v>579031.58184070291</v>
      </c>
      <c r="N42" s="263">
        <f t="shared" si="3"/>
        <v>23108874.049163755</v>
      </c>
      <c r="O42" s="4">
        <v>65013</v>
      </c>
      <c r="P42" s="265">
        <v>521</v>
      </c>
      <c r="Q42" s="265">
        <v>6642974.7170314845</v>
      </c>
      <c r="R42" s="265">
        <f>IFERROR(VLOOKUP($B42-1,CDM!$L$7:$T$18,5,FALSE)/12,0)+IFERROR(VLOOKUP($B42,CDM!$L$36:$T$46,5,FALSE)/24,0)+IFERROR(VLOOKUP($B42,CDM!$L$36:$T$46,5,FALSE)/2*$C42/78,0)</f>
        <v>855572.91159964295</v>
      </c>
      <c r="S42" s="265">
        <f t="shared" si="7"/>
        <v>7498547.6286311271</v>
      </c>
      <c r="T42" s="265">
        <v>16828</v>
      </c>
      <c r="U42" s="265">
        <v>11</v>
      </c>
      <c r="V42" s="265">
        <v>3765155.0246874741</v>
      </c>
      <c r="W42" s="265">
        <f>IFERROR(VLOOKUP($B42-1,CDM!$L$7:$T$18,6,FALSE)/12,0)+IFERROR(VLOOKUP($B42,CDM!$L$36:$T$46,6,FALSE)/24,0)+IFERROR(VLOOKUP($B42,CDM!$L$36:$T$46,6,FALSE)/2*$C42/78,0)</f>
        <v>21901.781116452996</v>
      </c>
      <c r="X42" s="265">
        <f t="shared" si="8"/>
        <v>3787056.8058039271</v>
      </c>
      <c r="Y42" s="265">
        <v>7507</v>
      </c>
      <c r="Z42" s="265">
        <v>1</v>
      </c>
      <c r="AA42" s="4">
        <v>278140.15762641199</v>
      </c>
      <c r="AB42" s="4">
        <v>1008</v>
      </c>
      <c r="AC42" s="265">
        <v>13838</v>
      </c>
      <c r="AD42" s="265">
        <v>2155.2736982643523</v>
      </c>
      <c r="AE42" s="265">
        <v>0</v>
      </c>
      <c r="AF42" s="265">
        <v>23</v>
      </c>
      <c r="AG42" s="4">
        <v>207106.72131147541</v>
      </c>
      <c r="AH42" s="4">
        <v>247</v>
      </c>
      <c r="AI42" s="28">
        <f>Economic!H44</f>
        <v>789531.6</v>
      </c>
      <c r="AJ42" s="28">
        <f>Economic!I44</f>
        <v>608429.30000000005</v>
      </c>
      <c r="AK42" s="28">
        <f>Economic!J44</f>
        <v>57334.6</v>
      </c>
      <c r="AL42" s="28">
        <f>Economic!K44</f>
        <v>784896</v>
      </c>
      <c r="AM42" s="28">
        <f>Economic!L44</f>
        <v>604446</v>
      </c>
      <c r="AN42" s="28">
        <f>Economic!M44</f>
        <v>31589</v>
      </c>
      <c r="AO42" s="28">
        <f>Economic!D44</f>
        <v>7208.5</v>
      </c>
      <c r="AP42" s="28">
        <f>Economic!E44</f>
        <v>7176</v>
      </c>
      <c r="AQ42" s="28">
        <f>Economic!F44</f>
        <v>218.3</v>
      </c>
      <c r="AR42" s="28">
        <f>Economic!G44</f>
        <v>219.3</v>
      </c>
      <c r="AS42" s="28">
        <f>Economic!N44</f>
        <v>141.80000000000018</v>
      </c>
      <c r="AT42" s="28">
        <f>Economic!O44</f>
        <v>142.60000000000036</v>
      </c>
      <c r="AU42" s="28">
        <f>Economic!P44</f>
        <v>15.400000000000006</v>
      </c>
      <c r="AV42" s="28">
        <f>Economic!Q44</f>
        <v>15.400000000000006</v>
      </c>
      <c r="AW42" s="28">
        <f>Economic!R44</f>
        <v>25066.79999999993</v>
      </c>
      <c r="AX42" s="28">
        <f>Economic!S44</f>
        <v>5437</v>
      </c>
      <c r="AY42" s="7">
        <f>Weather!D42</f>
        <v>15.888323907275522</v>
      </c>
      <c r="AZ42" s="7">
        <f>Weather!E42</f>
        <v>140.84469696969697</v>
      </c>
      <c r="BA42" s="7">
        <f>Weather!F42</f>
        <v>13.3827380952381</v>
      </c>
      <c r="BB42" s="7">
        <f>Weather!G42</f>
        <v>95.407196969696969</v>
      </c>
      <c r="BC42" s="7">
        <f>Weather!H42</f>
        <v>29.9452380952381</v>
      </c>
      <c r="BD42" s="7">
        <f>Weather!I42</f>
        <v>53.462500000000013</v>
      </c>
      <c r="BE42" s="7">
        <f>Weather!J42</f>
        <v>50.000541125541133</v>
      </c>
      <c r="BF42" s="7">
        <f>Weather!K42</f>
        <v>22.062500000000014</v>
      </c>
      <c r="BG42" s="7">
        <f>Weather!L42</f>
        <v>80.600541125541127</v>
      </c>
      <c r="BH42" s="7">
        <f>Weather!M42</f>
        <v>6.9291666666666698</v>
      </c>
      <c r="BI42" s="7">
        <f>Weather!N42</f>
        <v>127.46720779220779</v>
      </c>
      <c r="BJ42" s="7">
        <f>Weather!O42</f>
        <v>2.7874999999999988</v>
      </c>
      <c r="BK42" s="7">
        <f>Weather!P42</f>
        <v>185.32554112554109</v>
      </c>
      <c r="BL42" s="7">
        <f>Weather!Q42</f>
        <v>0.50416666666666554</v>
      </c>
      <c r="BM42" s="7">
        <f>Weather!R42</f>
        <v>245.04220779220779</v>
      </c>
      <c r="BN42" s="1">
        <v>0</v>
      </c>
      <c r="BO42" s="1">
        <v>0</v>
      </c>
      <c r="BP42" s="1">
        <v>0</v>
      </c>
      <c r="BQ42" s="1">
        <v>0</v>
      </c>
      <c r="BR42" s="1">
        <v>1</v>
      </c>
      <c r="BS42" s="1">
        <v>0</v>
      </c>
      <c r="BT42" s="1">
        <v>0</v>
      </c>
      <c r="BU42" s="1">
        <v>0</v>
      </c>
      <c r="BV42" s="1">
        <v>0</v>
      </c>
      <c r="BW42" s="1">
        <v>0</v>
      </c>
      <c r="BX42" s="1">
        <v>0</v>
      </c>
      <c r="BY42" s="1">
        <v>0</v>
      </c>
      <c r="BZ42" s="1">
        <v>1</v>
      </c>
      <c r="CA42" s="1">
        <v>0</v>
      </c>
      <c r="CB42" s="1">
        <v>1</v>
      </c>
      <c r="CC42" s="1">
        <f t="shared" si="9"/>
        <v>41</v>
      </c>
      <c r="CD42" s="1">
        <v>31</v>
      </c>
      <c r="CE42" s="1">
        <v>22</v>
      </c>
      <c r="CF42" s="1">
        <v>0</v>
      </c>
      <c r="CG42" s="1">
        <v>0</v>
      </c>
      <c r="CH42" s="1">
        <v>0</v>
      </c>
      <c r="CI42" s="1">
        <v>0</v>
      </c>
      <c r="CJ42" s="1">
        <f t="shared" si="12"/>
        <v>0</v>
      </c>
      <c r="CK42" s="1">
        <f t="shared" si="12"/>
        <v>0</v>
      </c>
      <c r="CL42" s="1">
        <f t="shared" si="12"/>
        <v>0</v>
      </c>
      <c r="CM42" s="1">
        <f t="shared" si="12"/>
        <v>0</v>
      </c>
      <c r="CN42" s="1">
        <f t="shared" si="12"/>
        <v>0</v>
      </c>
      <c r="CO42" s="1">
        <f t="shared" si="14"/>
        <v>0</v>
      </c>
      <c r="CP42" s="1">
        <f t="shared" si="14"/>
        <v>0</v>
      </c>
      <c r="CQ42" s="1">
        <f t="shared" si="14"/>
        <v>0</v>
      </c>
      <c r="CR42" s="1">
        <f t="shared" si="14"/>
        <v>0</v>
      </c>
      <c r="CS42" s="1">
        <f t="shared" si="14"/>
        <v>0</v>
      </c>
      <c r="CT42" s="1">
        <f t="shared" si="14"/>
        <v>0</v>
      </c>
      <c r="CU42" s="1">
        <f t="shared" si="14"/>
        <v>0</v>
      </c>
      <c r="CV42" s="1">
        <f t="shared" si="14"/>
        <v>0</v>
      </c>
      <c r="CW42" s="1">
        <f t="shared" si="14"/>
        <v>0</v>
      </c>
      <c r="CX42" s="1">
        <f t="shared" si="13"/>
        <v>0</v>
      </c>
      <c r="CY42" s="1">
        <f t="shared" si="13"/>
        <v>0</v>
      </c>
      <c r="CZ42" s="1">
        <f t="shared" si="13"/>
        <v>0</v>
      </c>
      <c r="DA42" s="1">
        <f t="shared" si="13"/>
        <v>0</v>
      </c>
      <c r="DB42" s="1">
        <f t="shared" si="13"/>
        <v>0</v>
      </c>
      <c r="DC42" s="1">
        <f t="shared" si="15"/>
        <v>0</v>
      </c>
      <c r="DD42" s="1">
        <f t="shared" si="15"/>
        <v>0</v>
      </c>
      <c r="DE42" s="1">
        <f t="shared" si="15"/>
        <v>0</v>
      </c>
      <c r="DF42" s="1">
        <f t="shared" si="15"/>
        <v>0</v>
      </c>
      <c r="DG42" s="1">
        <f t="shared" si="15"/>
        <v>0</v>
      </c>
      <c r="DH42" s="1">
        <f t="shared" si="15"/>
        <v>0</v>
      </c>
      <c r="DI42" s="1">
        <f t="shared" si="15"/>
        <v>0</v>
      </c>
      <c r="DJ42" s="1">
        <f t="shared" si="15"/>
        <v>0</v>
      </c>
      <c r="DK42" s="1">
        <f t="shared" si="15"/>
        <v>0</v>
      </c>
      <c r="DL42" s="25"/>
      <c r="DM42" s="25"/>
      <c r="DN42" s="24"/>
      <c r="DO42" s="25"/>
      <c r="DP42" s="25"/>
      <c r="DQ42" s="25"/>
      <c r="DR42" s="25"/>
      <c r="DS42" s="25"/>
      <c r="DT42" s="25"/>
      <c r="DU42" s="25"/>
      <c r="DV42" s="25"/>
    </row>
    <row r="43" spans="1:126" x14ac:dyDescent="0.25">
      <c r="A43" s="261">
        <v>43252</v>
      </c>
      <c r="B43" s="262">
        <f t="shared" si="0"/>
        <v>2018</v>
      </c>
      <c r="C43" s="262">
        <f t="shared" si="1"/>
        <v>6</v>
      </c>
      <c r="D43" s="263">
        <v>37143809.244124122</v>
      </c>
      <c r="E43" s="263">
        <f>IFERROR(VLOOKUP($B43-1,CDM!$L$7:$T$18,2,FALSE)/12,0)+IFERROR(VLOOKUP($B43,CDM!$L$36:$T$46,2,FALSE)/24,0)+IFERROR(VLOOKUP($B43,CDM!$L$36:$T$46,2,FALSE)/2*$C43/78,0)</f>
        <v>2283774.8554520654</v>
      </c>
      <c r="F43" s="263">
        <f t="shared" si="2"/>
        <v>39427584.09957619</v>
      </c>
      <c r="G43" s="264">
        <v>53773</v>
      </c>
      <c r="H43" s="263">
        <v>10206822.921257066</v>
      </c>
      <c r="I43" s="263">
        <f>IFERROR(VLOOKUP($B43-1,CDM!$L$7:$T$18,3,FALSE)/12,0)+IFERROR(VLOOKUP($B43,CDM!$L$36:$T$46,3,FALSE)/24,0)+IFERROR(VLOOKUP($B43,CDM!$L$36:$T$46,3,FALSE)/2*$C43/78,0)</f>
        <v>527820.450959726</v>
      </c>
      <c r="J43" s="263">
        <f t="shared" si="6"/>
        <v>10734643.372216791</v>
      </c>
      <c r="K43" s="265">
        <v>4160</v>
      </c>
      <c r="L43" s="4">
        <v>26404358.700618006</v>
      </c>
      <c r="M43" s="266">
        <f>IFERROR(VLOOKUP($B43-1,CDM!$L$7:$T$18,4,FALSE)/12,0)+IFERROR(VLOOKUP($B43,CDM!$L$36:$T$46,4,FALSE)/24,0)+IFERROR(VLOOKUP($B43,CDM!$L$36:$T$46,4,FALSE)/2*$C43/78,0)</f>
        <v>594460.19070636574</v>
      </c>
      <c r="N43" s="263">
        <f t="shared" si="3"/>
        <v>26998818.891324371</v>
      </c>
      <c r="O43" s="4">
        <v>74560</v>
      </c>
      <c r="P43" s="265">
        <v>521</v>
      </c>
      <c r="Q43" s="265">
        <v>6363309.0500700744</v>
      </c>
      <c r="R43" s="265">
        <f>IFERROR(VLOOKUP($B43-1,CDM!$L$7:$T$18,5,FALSE)/12,0)+IFERROR(VLOOKUP($B43,CDM!$L$36:$T$46,5,FALSE)/24,0)+IFERROR(VLOOKUP($B43,CDM!$L$36:$T$46,5,FALSE)/2*$C43/78,0)</f>
        <v>855583.52711246337</v>
      </c>
      <c r="S43" s="265">
        <f t="shared" si="7"/>
        <v>7218892.5771825379</v>
      </c>
      <c r="T43" s="265">
        <v>17159</v>
      </c>
      <c r="U43" s="265">
        <v>12</v>
      </c>
      <c r="V43" s="265">
        <v>3542268.7592087607</v>
      </c>
      <c r="W43" s="265">
        <f>IFERROR(VLOOKUP($B43-1,CDM!$L$7:$T$18,6,FALSE)/12,0)+IFERROR(VLOOKUP($B43,CDM!$L$36:$T$46,6,FALSE)/24,0)+IFERROR(VLOOKUP($B43,CDM!$L$36:$T$46,6,FALSE)/2*$C43/78,0)</f>
        <v>22795.82240918804</v>
      </c>
      <c r="X43" s="265">
        <f t="shared" si="8"/>
        <v>3565064.5816179486</v>
      </c>
      <c r="Y43" s="265">
        <v>7064</v>
      </c>
      <c r="Z43" s="265">
        <v>1</v>
      </c>
      <c r="AA43" s="4">
        <v>267609.59095657943</v>
      </c>
      <c r="AB43" s="4">
        <v>1012</v>
      </c>
      <c r="AC43" s="265">
        <v>13838</v>
      </c>
      <c r="AD43" s="265">
        <v>2134.3887087545299</v>
      </c>
      <c r="AE43" s="265">
        <v>0</v>
      </c>
      <c r="AF43" s="265">
        <v>23</v>
      </c>
      <c r="AG43" s="4">
        <v>214010.27868852459</v>
      </c>
      <c r="AH43" s="4">
        <v>248</v>
      </c>
      <c r="AI43" s="28">
        <f>Economic!H45</f>
        <v>789531.6</v>
      </c>
      <c r="AJ43" s="28">
        <f>Economic!I45</f>
        <v>608429.30000000005</v>
      </c>
      <c r="AK43" s="28">
        <f>Economic!J45</f>
        <v>57334.6</v>
      </c>
      <c r="AL43" s="28">
        <f>Economic!K45</f>
        <v>784896</v>
      </c>
      <c r="AM43" s="28">
        <f>Economic!L45</f>
        <v>604446</v>
      </c>
      <c r="AN43" s="28">
        <f>Economic!M45</f>
        <v>31589</v>
      </c>
      <c r="AO43" s="28">
        <f>Economic!D45</f>
        <v>7221.1</v>
      </c>
      <c r="AP43" s="28">
        <f>Economic!E45</f>
        <v>7264.3</v>
      </c>
      <c r="AQ43" s="28">
        <f>Economic!F45</f>
        <v>220.4</v>
      </c>
      <c r="AR43" s="28">
        <f>Economic!G45</f>
        <v>223.6</v>
      </c>
      <c r="AS43" s="28">
        <f>Economic!N45</f>
        <v>141.30000000000018</v>
      </c>
      <c r="AT43" s="28">
        <f>Economic!O45</f>
        <v>141.30000000000018</v>
      </c>
      <c r="AU43" s="28">
        <f>Economic!P45</f>
        <v>13.700000000000017</v>
      </c>
      <c r="AV43" s="28">
        <f>Economic!Q45</f>
        <v>13.799999999999983</v>
      </c>
      <c r="AW43" s="28">
        <f>Economic!R45</f>
        <v>25066.79999999993</v>
      </c>
      <c r="AX43" s="28">
        <f>Economic!S45</f>
        <v>5437</v>
      </c>
      <c r="AY43" s="7">
        <f>Weather!D43</f>
        <v>18.606464646464644</v>
      </c>
      <c r="AZ43" s="7">
        <f>Weather!E43</f>
        <v>63.468560606060585</v>
      </c>
      <c r="BA43" s="7">
        <f>Weather!F43</f>
        <v>21.662499999999998</v>
      </c>
      <c r="BB43" s="7">
        <f>Weather!G43</f>
        <v>23.060227272727261</v>
      </c>
      <c r="BC43" s="7">
        <f>Weather!H43</f>
        <v>41.254166666666663</v>
      </c>
      <c r="BD43" s="7">
        <f>Weather!I43</f>
        <v>7.645833333333325</v>
      </c>
      <c r="BE43" s="7">
        <f>Weather!J43</f>
        <v>85.839772727272717</v>
      </c>
      <c r="BF43" s="7">
        <f>Weather!K43</f>
        <v>3.3208333333333275</v>
      </c>
      <c r="BG43" s="7">
        <f>Weather!L43</f>
        <v>141.51477272727271</v>
      </c>
      <c r="BH43" s="7">
        <f>Weather!M43</f>
        <v>0</v>
      </c>
      <c r="BI43" s="7">
        <f>Weather!N43</f>
        <v>198.19393939393944</v>
      </c>
      <c r="BJ43" s="7">
        <f>Weather!O43</f>
        <v>0</v>
      </c>
      <c r="BK43" s="7">
        <f>Weather!P43</f>
        <v>258.19393939393944</v>
      </c>
      <c r="BL43" s="7">
        <f>Weather!Q43</f>
        <v>0</v>
      </c>
      <c r="BM43" s="7">
        <f>Weather!R43</f>
        <v>318.19393939393939</v>
      </c>
      <c r="BN43" s="1">
        <v>0</v>
      </c>
      <c r="BO43" s="1">
        <v>0</v>
      </c>
      <c r="BP43" s="1">
        <v>0</v>
      </c>
      <c r="BQ43" s="1">
        <v>0</v>
      </c>
      <c r="BR43" s="1">
        <v>0</v>
      </c>
      <c r="BS43" s="1">
        <v>1</v>
      </c>
      <c r="BT43" s="1">
        <v>0</v>
      </c>
      <c r="BU43" s="1">
        <v>0</v>
      </c>
      <c r="BV43" s="1">
        <v>0</v>
      </c>
      <c r="BW43" s="1">
        <v>0</v>
      </c>
      <c r="BX43" s="1">
        <v>0</v>
      </c>
      <c r="BY43" s="1">
        <v>0</v>
      </c>
      <c r="BZ43" s="1">
        <v>0</v>
      </c>
      <c r="CA43" s="1">
        <v>0</v>
      </c>
      <c r="CB43" s="1">
        <v>0</v>
      </c>
      <c r="CC43" s="1">
        <f t="shared" si="9"/>
        <v>42</v>
      </c>
      <c r="CD43" s="1">
        <v>30</v>
      </c>
      <c r="CE43" s="1">
        <v>21</v>
      </c>
      <c r="CF43" s="1">
        <v>0</v>
      </c>
      <c r="CG43" s="1">
        <v>0</v>
      </c>
      <c r="CH43" s="1">
        <v>0</v>
      </c>
      <c r="CI43" s="1">
        <v>0</v>
      </c>
      <c r="CJ43" s="1">
        <f t="shared" si="12"/>
        <v>0</v>
      </c>
      <c r="CK43" s="1">
        <f t="shared" si="12"/>
        <v>0</v>
      </c>
      <c r="CL43" s="1">
        <f t="shared" si="12"/>
        <v>0</v>
      </c>
      <c r="CM43" s="1">
        <f t="shared" si="12"/>
        <v>0</v>
      </c>
      <c r="CN43" s="1">
        <f t="shared" si="12"/>
        <v>0</v>
      </c>
      <c r="CO43" s="1">
        <f t="shared" si="14"/>
        <v>0</v>
      </c>
      <c r="CP43" s="1">
        <f t="shared" si="14"/>
        <v>0</v>
      </c>
      <c r="CQ43" s="1">
        <f t="shared" si="14"/>
        <v>0</v>
      </c>
      <c r="CR43" s="1">
        <f t="shared" si="14"/>
        <v>0</v>
      </c>
      <c r="CS43" s="1">
        <f t="shared" si="14"/>
        <v>0</v>
      </c>
      <c r="CT43" s="1">
        <f t="shared" si="14"/>
        <v>0</v>
      </c>
      <c r="CU43" s="1">
        <f t="shared" si="14"/>
        <v>0</v>
      </c>
      <c r="CV43" s="1">
        <f t="shared" si="14"/>
        <v>0</v>
      </c>
      <c r="CW43" s="1">
        <f t="shared" si="14"/>
        <v>0</v>
      </c>
      <c r="CX43" s="1">
        <f t="shared" si="13"/>
        <v>0</v>
      </c>
      <c r="CY43" s="1">
        <f t="shared" si="13"/>
        <v>0</v>
      </c>
      <c r="CZ43" s="1">
        <f t="shared" si="13"/>
        <v>0</v>
      </c>
      <c r="DA43" s="1">
        <f t="shared" si="13"/>
        <v>0</v>
      </c>
      <c r="DB43" s="1">
        <f t="shared" si="13"/>
        <v>0</v>
      </c>
      <c r="DC43" s="1">
        <f t="shared" si="15"/>
        <v>0</v>
      </c>
      <c r="DD43" s="1">
        <f t="shared" si="15"/>
        <v>0</v>
      </c>
      <c r="DE43" s="1">
        <f t="shared" si="15"/>
        <v>0</v>
      </c>
      <c r="DF43" s="1">
        <f t="shared" si="15"/>
        <v>0</v>
      </c>
      <c r="DG43" s="1">
        <f t="shared" si="15"/>
        <v>0</v>
      </c>
      <c r="DH43" s="1">
        <f t="shared" si="15"/>
        <v>0</v>
      </c>
      <c r="DI43" s="1">
        <f t="shared" si="15"/>
        <v>0</v>
      </c>
      <c r="DJ43" s="1">
        <f t="shared" si="15"/>
        <v>0</v>
      </c>
      <c r="DK43" s="1">
        <f t="shared" si="15"/>
        <v>0</v>
      </c>
      <c r="DL43" s="25"/>
      <c r="DM43" s="25"/>
      <c r="DN43" s="24"/>
      <c r="DO43" s="25"/>
      <c r="DP43" s="25"/>
      <c r="DQ43" s="25"/>
      <c r="DR43" s="25"/>
      <c r="DS43" s="25"/>
      <c r="DT43" s="25"/>
      <c r="DU43" s="25"/>
      <c r="DV43" s="25"/>
    </row>
    <row r="44" spans="1:126" x14ac:dyDescent="0.25">
      <c r="A44" s="261">
        <v>43282</v>
      </c>
      <c r="B44" s="262">
        <f t="shared" si="0"/>
        <v>2018</v>
      </c>
      <c r="C44" s="262">
        <f t="shared" si="1"/>
        <v>7</v>
      </c>
      <c r="D44" s="263">
        <v>46557899.268803574</v>
      </c>
      <c r="E44" s="263">
        <f>IFERROR(VLOOKUP($B44-1,CDM!$L$7:$T$18,2,FALSE)/12,0)+IFERROR(VLOOKUP($B44,CDM!$L$36:$T$46,2,FALSE)/24,0)+IFERROR(VLOOKUP($B44,CDM!$L$36:$T$46,2,FALSE)/2*$C44/78,0)</f>
        <v>2325017.6205548975</v>
      </c>
      <c r="F44" s="263">
        <f t="shared" si="2"/>
        <v>48882916.889358468</v>
      </c>
      <c r="G44" s="264">
        <v>53843</v>
      </c>
      <c r="H44" s="263">
        <v>11728627.771998335</v>
      </c>
      <c r="I44" s="263">
        <f>IFERROR(VLOOKUP($B44-1,CDM!$L$7:$T$18,3,FALSE)/12,0)+IFERROR(VLOOKUP($B44,CDM!$L$36:$T$46,3,FALSE)/24,0)+IFERROR(VLOOKUP($B44,CDM!$L$36:$T$46,3,FALSE)/2*$C44/78,0)</f>
        <v>538633.25428786094</v>
      </c>
      <c r="J44" s="263">
        <f t="shared" si="6"/>
        <v>12267261.026286196</v>
      </c>
      <c r="K44" s="265">
        <v>4168</v>
      </c>
      <c r="L44" s="4">
        <v>28731743.312940642</v>
      </c>
      <c r="M44" s="266">
        <f>IFERROR(VLOOKUP($B44-1,CDM!$L$7:$T$18,4,FALSE)/12,0)+IFERROR(VLOOKUP($B44,CDM!$L$36:$T$46,4,FALSE)/24,0)+IFERROR(VLOOKUP($B44,CDM!$L$36:$T$46,4,FALSE)/2*$C44/78,0)</f>
        <v>609888.79957202857</v>
      </c>
      <c r="N44" s="263">
        <f t="shared" si="3"/>
        <v>29341632.11251267</v>
      </c>
      <c r="O44" s="4">
        <v>74338</v>
      </c>
      <c r="P44" s="265">
        <v>521</v>
      </c>
      <c r="Q44" s="265">
        <v>6819249.9838342695</v>
      </c>
      <c r="R44" s="265">
        <f>IFERROR(VLOOKUP($B44-1,CDM!$L$7:$T$18,5,FALSE)/12,0)+IFERROR(VLOOKUP($B44,CDM!$L$36:$T$46,5,FALSE)/24,0)+IFERROR(VLOOKUP($B44,CDM!$L$36:$T$46,5,FALSE)/2*$C44/78,0)</f>
        <v>855594.14262528392</v>
      </c>
      <c r="S44" s="265">
        <f t="shared" si="7"/>
        <v>7674844.1264595538</v>
      </c>
      <c r="T44" s="265">
        <v>17317</v>
      </c>
      <c r="U44" s="265">
        <v>12</v>
      </c>
      <c r="V44" s="265">
        <v>3944834.7222399656</v>
      </c>
      <c r="W44" s="265">
        <f>IFERROR(VLOOKUP($B44-1,CDM!$L$7:$T$18,6,FALSE)/12,0)+IFERROR(VLOOKUP($B44,CDM!$L$36:$T$46,6,FALSE)/24,0)+IFERROR(VLOOKUP($B44,CDM!$L$36:$T$46,6,FALSE)/2*$C44/78,0)</f>
        <v>23689.863701923081</v>
      </c>
      <c r="X44" s="265">
        <f t="shared" si="8"/>
        <v>3968524.5859418889</v>
      </c>
      <c r="Y44" s="265">
        <v>7648</v>
      </c>
      <c r="Z44" s="265">
        <v>1</v>
      </c>
      <c r="AA44" s="4">
        <v>285289.33186414104</v>
      </c>
      <c r="AB44" s="4">
        <v>1012</v>
      </c>
      <c r="AC44" s="265">
        <v>13895</v>
      </c>
      <c r="AD44" s="265">
        <v>2155.2736982643523</v>
      </c>
      <c r="AE44" s="265">
        <v>0</v>
      </c>
      <c r="AF44" s="265">
        <v>23</v>
      </c>
      <c r="AG44" s="4">
        <v>210418</v>
      </c>
      <c r="AH44" s="4">
        <v>248</v>
      </c>
      <c r="AI44" s="28">
        <f>Economic!H46</f>
        <v>789531.6</v>
      </c>
      <c r="AJ44" s="28">
        <f>Economic!I46</f>
        <v>608429.30000000005</v>
      </c>
      <c r="AK44" s="28">
        <f>Economic!J46</f>
        <v>57334.6</v>
      </c>
      <c r="AL44" s="28">
        <f>Economic!K46</f>
        <v>794140</v>
      </c>
      <c r="AM44" s="28">
        <f>Economic!L46</f>
        <v>611579</v>
      </c>
      <c r="AN44" s="28">
        <f>Economic!M46</f>
        <v>31769</v>
      </c>
      <c r="AO44" s="28">
        <f>Economic!D46</f>
        <v>7255</v>
      </c>
      <c r="AP44" s="28">
        <f>Economic!E46</f>
        <v>7345.7</v>
      </c>
      <c r="AQ44" s="28">
        <f>Economic!F46</f>
        <v>219.9</v>
      </c>
      <c r="AR44" s="28">
        <f>Economic!G46</f>
        <v>224.7</v>
      </c>
      <c r="AS44" s="28">
        <f>Economic!N46</f>
        <v>153.10000000000036</v>
      </c>
      <c r="AT44" s="28">
        <f>Economic!O46</f>
        <v>149.69999999999982</v>
      </c>
      <c r="AU44" s="28">
        <f>Economic!P46</f>
        <v>12.900000000000006</v>
      </c>
      <c r="AV44" s="28">
        <f>Economic!Q46</f>
        <v>14.799999999999983</v>
      </c>
      <c r="AW44" s="28">
        <f>Economic!R46</f>
        <v>25066.79999999993</v>
      </c>
      <c r="AX44" s="28">
        <f>Economic!S46</f>
        <v>9244</v>
      </c>
      <c r="AY44" s="7">
        <f>Weather!D44</f>
        <v>22.270923040260342</v>
      </c>
      <c r="AZ44" s="7">
        <f>Weather!E44</f>
        <v>4.9668995859213254</v>
      </c>
      <c r="BA44" s="7">
        <f>Weather!F44</f>
        <v>75.365513833992097</v>
      </c>
      <c r="BB44" s="7">
        <f>Weather!G44</f>
        <v>0.19999999999999574</v>
      </c>
      <c r="BC44" s="7">
        <f>Weather!H44</f>
        <v>132.59861424807079</v>
      </c>
      <c r="BD44" s="7">
        <f>Weather!I44</f>
        <v>0</v>
      </c>
      <c r="BE44" s="7">
        <f>Weather!J44</f>
        <v>194.39861424807077</v>
      </c>
      <c r="BF44" s="7">
        <f>Weather!K44</f>
        <v>0</v>
      </c>
      <c r="BG44" s="7">
        <f>Weather!L44</f>
        <v>256.39861424807077</v>
      </c>
      <c r="BH44" s="7">
        <f>Weather!M44</f>
        <v>0</v>
      </c>
      <c r="BI44" s="7">
        <f>Weather!N44</f>
        <v>318.39861424807077</v>
      </c>
      <c r="BJ44" s="7">
        <f>Weather!O44</f>
        <v>0</v>
      </c>
      <c r="BK44" s="7">
        <f>Weather!P44</f>
        <v>380.39861424807083</v>
      </c>
      <c r="BL44" s="7">
        <f>Weather!Q44</f>
        <v>0</v>
      </c>
      <c r="BM44" s="7">
        <f>Weather!R44</f>
        <v>442.39861424807088</v>
      </c>
      <c r="BN44" s="1">
        <v>0</v>
      </c>
      <c r="BO44" s="1">
        <v>0</v>
      </c>
      <c r="BP44" s="1">
        <v>0</v>
      </c>
      <c r="BQ44" s="1">
        <v>0</v>
      </c>
      <c r="BR44" s="1">
        <v>0</v>
      </c>
      <c r="BS44" s="1">
        <v>0</v>
      </c>
      <c r="BT44" s="1">
        <v>1</v>
      </c>
      <c r="BU44" s="1">
        <v>0</v>
      </c>
      <c r="BV44" s="1">
        <v>0</v>
      </c>
      <c r="BW44" s="1">
        <v>0</v>
      </c>
      <c r="BX44" s="1">
        <v>0</v>
      </c>
      <c r="BY44" s="1">
        <v>0</v>
      </c>
      <c r="BZ44" s="1">
        <v>0</v>
      </c>
      <c r="CA44" s="1">
        <v>0</v>
      </c>
      <c r="CB44" s="1">
        <v>0</v>
      </c>
      <c r="CC44" s="1">
        <f t="shared" si="9"/>
        <v>43</v>
      </c>
      <c r="CD44" s="1">
        <v>31</v>
      </c>
      <c r="CE44" s="1">
        <v>21</v>
      </c>
      <c r="CF44" s="1">
        <v>0</v>
      </c>
      <c r="CG44" s="1">
        <v>0</v>
      </c>
      <c r="CH44" s="1">
        <v>0</v>
      </c>
      <c r="CI44" s="1">
        <v>0</v>
      </c>
      <c r="CJ44" s="1">
        <f t="shared" si="12"/>
        <v>0</v>
      </c>
      <c r="CK44" s="1">
        <f t="shared" si="12"/>
        <v>0</v>
      </c>
      <c r="CL44" s="1">
        <f t="shared" si="12"/>
        <v>0</v>
      </c>
      <c r="CM44" s="1">
        <f t="shared" si="12"/>
        <v>0</v>
      </c>
      <c r="CN44" s="1">
        <f t="shared" si="12"/>
        <v>0</v>
      </c>
      <c r="CO44" s="1">
        <f t="shared" si="14"/>
        <v>0</v>
      </c>
      <c r="CP44" s="1">
        <f t="shared" si="14"/>
        <v>0</v>
      </c>
      <c r="CQ44" s="1">
        <f t="shared" si="14"/>
        <v>0</v>
      </c>
      <c r="CR44" s="1">
        <f t="shared" si="14"/>
        <v>0</v>
      </c>
      <c r="CS44" s="1">
        <f t="shared" si="14"/>
        <v>0</v>
      </c>
      <c r="CT44" s="1">
        <f t="shared" si="14"/>
        <v>0</v>
      </c>
      <c r="CU44" s="1">
        <f t="shared" si="14"/>
        <v>0</v>
      </c>
      <c r="CV44" s="1">
        <f t="shared" si="14"/>
        <v>0</v>
      </c>
      <c r="CW44" s="1">
        <f t="shared" si="14"/>
        <v>0</v>
      </c>
      <c r="CX44" s="1">
        <f t="shared" si="13"/>
        <v>0</v>
      </c>
      <c r="CY44" s="1">
        <f t="shared" si="13"/>
        <v>0</v>
      </c>
      <c r="CZ44" s="1">
        <f t="shared" si="13"/>
        <v>0</v>
      </c>
      <c r="DA44" s="1">
        <f t="shared" si="13"/>
        <v>0</v>
      </c>
      <c r="DB44" s="1">
        <f t="shared" si="13"/>
        <v>0</v>
      </c>
      <c r="DC44" s="1">
        <f t="shared" si="15"/>
        <v>0</v>
      </c>
      <c r="DD44" s="1">
        <f t="shared" si="15"/>
        <v>0</v>
      </c>
      <c r="DE44" s="1">
        <f t="shared" si="15"/>
        <v>0</v>
      </c>
      <c r="DF44" s="1">
        <f t="shared" si="15"/>
        <v>0</v>
      </c>
      <c r="DG44" s="1">
        <f t="shared" si="15"/>
        <v>0</v>
      </c>
      <c r="DH44" s="1">
        <f t="shared" si="15"/>
        <v>0</v>
      </c>
      <c r="DI44" s="1">
        <f t="shared" si="15"/>
        <v>0</v>
      </c>
      <c r="DJ44" s="1">
        <f t="shared" si="15"/>
        <v>0</v>
      </c>
      <c r="DK44" s="1">
        <f t="shared" si="15"/>
        <v>0</v>
      </c>
      <c r="DL44" s="25"/>
      <c r="DM44" s="25"/>
      <c r="DN44" s="24"/>
      <c r="DO44" s="25"/>
      <c r="DP44" s="25"/>
      <c r="DQ44" s="25"/>
      <c r="DR44" s="25"/>
      <c r="DS44" s="25"/>
      <c r="DT44" s="25"/>
      <c r="DU44" s="25"/>
      <c r="DV44" s="25"/>
    </row>
    <row r="45" spans="1:126" x14ac:dyDescent="0.25">
      <c r="A45" s="261">
        <v>43313</v>
      </c>
      <c r="B45" s="262">
        <f t="shared" si="0"/>
        <v>2018</v>
      </c>
      <c r="C45" s="262">
        <f t="shared" si="1"/>
        <v>8</v>
      </c>
      <c r="D45" s="263">
        <v>48985491.792184487</v>
      </c>
      <c r="E45" s="263">
        <f>IFERROR(VLOOKUP($B45-1,CDM!$L$7:$T$18,2,FALSE)/12,0)+IFERROR(VLOOKUP($B45,CDM!$L$36:$T$46,2,FALSE)/24,0)+IFERROR(VLOOKUP($B45,CDM!$L$36:$T$46,2,FALSE)/2*$C45/78,0)</f>
        <v>2366260.3856577296</v>
      </c>
      <c r="F45" s="263">
        <f t="shared" si="2"/>
        <v>51351752.177842215</v>
      </c>
      <c r="G45" s="264">
        <v>54153</v>
      </c>
      <c r="H45" s="263">
        <v>12155213.527342433</v>
      </c>
      <c r="I45" s="263">
        <f>IFERROR(VLOOKUP($B45-1,CDM!$L$7:$T$18,3,FALSE)/12,0)+IFERROR(VLOOKUP($B45,CDM!$L$36:$T$46,3,FALSE)/24,0)+IFERROR(VLOOKUP($B45,CDM!$L$36:$T$46,3,FALSE)/2*$C45/78,0)</f>
        <v>549446.05761599587</v>
      </c>
      <c r="J45" s="263">
        <f t="shared" si="6"/>
        <v>12704659.584958429</v>
      </c>
      <c r="K45" s="265">
        <v>4184</v>
      </c>
      <c r="L45" s="4">
        <v>25744132.989959773</v>
      </c>
      <c r="M45" s="266">
        <f>IFERROR(VLOOKUP($B45-1,CDM!$L$7:$T$18,4,FALSE)/12,0)+IFERROR(VLOOKUP($B45,CDM!$L$36:$T$46,4,FALSE)/24,0)+IFERROR(VLOOKUP($B45,CDM!$L$36:$T$46,4,FALSE)/2*$C45/78,0)</f>
        <v>625317.4084376914</v>
      </c>
      <c r="N45" s="263">
        <f t="shared" si="3"/>
        <v>26369450.398397464</v>
      </c>
      <c r="O45" s="4">
        <v>70604</v>
      </c>
      <c r="P45" s="265">
        <v>522</v>
      </c>
      <c r="Q45" s="265">
        <v>7703736.5202633347</v>
      </c>
      <c r="R45" s="265">
        <f>IFERROR(VLOOKUP($B45-1,CDM!$L$7:$T$18,5,FALSE)/12,0)+IFERROR(VLOOKUP($B45,CDM!$L$36:$T$46,5,FALSE)/24,0)+IFERROR(VLOOKUP($B45,CDM!$L$36:$T$46,5,FALSE)/2*$C45/78,0)</f>
        <v>855604.75813810446</v>
      </c>
      <c r="S45" s="265">
        <f t="shared" si="7"/>
        <v>8559341.27840144</v>
      </c>
      <c r="T45" s="265">
        <v>18310</v>
      </c>
      <c r="U45" s="265">
        <v>13</v>
      </c>
      <c r="V45" s="265">
        <v>4464883.9792863484</v>
      </c>
      <c r="W45" s="265">
        <f>IFERROR(VLOOKUP($B45-1,CDM!$L$7:$T$18,6,FALSE)/12,0)+IFERROR(VLOOKUP($B45,CDM!$L$36:$T$46,6,FALSE)/24,0)+IFERROR(VLOOKUP($B45,CDM!$L$36:$T$46,6,FALSE)/2*$C45/78,0)</f>
        <v>24583.904994658125</v>
      </c>
      <c r="X45" s="265">
        <f t="shared" si="8"/>
        <v>4489467.8842810066</v>
      </c>
      <c r="Y45" s="265">
        <v>9061</v>
      </c>
      <c r="Z45" s="265">
        <v>1</v>
      </c>
      <c r="AA45" s="4">
        <v>274173.35616859543</v>
      </c>
      <c r="AB45" s="4">
        <v>1012</v>
      </c>
      <c r="AC45" s="265">
        <v>13895</v>
      </c>
      <c r="AD45" s="265">
        <v>2179.9923707800881</v>
      </c>
      <c r="AE45" s="265">
        <v>0</v>
      </c>
      <c r="AF45" s="265">
        <v>23</v>
      </c>
      <c r="AG45" s="4">
        <v>210418</v>
      </c>
      <c r="AH45" s="4">
        <v>248</v>
      </c>
      <c r="AI45" s="28">
        <f>Economic!H47</f>
        <v>789531.6</v>
      </c>
      <c r="AJ45" s="28">
        <f>Economic!I47</f>
        <v>608429.30000000005</v>
      </c>
      <c r="AK45" s="28">
        <f>Economic!J47</f>
        <v>57334.6</v>
      </c>
      <c r="AL45" s="28">
        <f>Economic!K47</f>
        <v>794140</v>
      </c>
      <c r="AM45" s="28">
        <f>Economic!L47</f>
        <v>611579</v>
      </c>
      <c r="AN45" s="28">
        <f>Economic!M47</f>
        <v>31769</v>
      </c>
      <c r="AO45" s="28">
        <f>Economic!D47</f>
        <v>7266.2</v>
      </c>
      <c r="AP45" s="28">
        <f>Economic!E47</f>
        <v>7359.5</v>
      </c>
      <c r="AQ45" s="28">
        <f>Economic!F47</f>
        <v>218.3</v>
      </c>
      <c r="AR45" s="28">
        <f>Economic!G47</f>
        <v>221.7</v>
      </c>
      <c r="AS45" s="28">
        <f>Economic!N47</f>
        <v>145.09999999999945</v>
      </c>
      <c r="AT45" s="28">
        <f>Economic!O47</f>
        <v>142.80000000000018</v>
      </c>
      <c r="AU45" s="28">
        <f>Economic!P47</f>
        <v>10.200000000000017</v>
      </c>
      <c r="AV45" s="28">
        <f>Economic!Q47</f>
        <v>11.699999999999989</v>
      </c>
      <c r="AW45" s="28">
        <f>Economic!R47</f>
        <v>25066.79999999993</v>
      </c>
      <c r="AX45" s="28">
        <f>Economic!S47</f>
        <v>9244</v>
      </c>
      <c r="AY45" s="7">
        <f>Weather!D45</f>
        <v>22.136962365591401</v>
      </c>
      <c r="AZ45" s="7">
        <f>Weather!E45</f>
        <v>7.2291666666666679</v>
      </c>
      <c r="BA45" s="7">
        <f>Weather!F45</f>
        <v>73.474999999999994</v>
      </c>
      <c r="BB45" s="7">
        <f>Weather!G45</f>
        <v>0.90833333333333144</v>
      </c>
      <c r="BC45" s="7">
        <f>Weather!H45</f>
        <v>129.1541666666667</v>
      </c>
      <c r="BD45" s="7">
        <f>Weather!I45</f>
        <v>0</v>
      </c>
      <c r="BE45" s="7">
        <f>Weather!J45</f>
        <v>190.24583333333339</v>
      </c>
      <c r="BF45" s="7">
        <f>Weather!K45</f>
        <v>0</v>
      </c>
      <c r="BG45" s="7">
        <f>Weather!L45</f>
        <v>252.24583333333339</v>
      </c>
      <c r="BH45" s="7">
        <f>Weather!M45</f>
        <v>0</v>
      </c>
      <c r="BI45" s="7">
        <f>Weather!N45</f>
        <v>314.24583333333334</v>
      </c>
      <c r="BJ45" s="7">
        <f>Weather!O45</f>
        <v>0</v>
      </c>
      <c r="BK45" s="7">
        <f>Weather!P45</f>
        <v>376.24583333333334</v>
      </c>
      <c r="BL45" s="7">
        <f>Weather!Q45</f>
        <v>0</v>
      </c>
      <c r="BM45" s="7">
        <f>Weather!R45</f>
        <v>438.24583333333322</v>
      </c>
      <c r="BN45" s="1">
        <v>0</v>
      </c>
      <c r="BO45" s="1">
        <v>0</v>
      </c>
      <c r="BP45" s="1">
        <v>0</v>
      </c>
      <c r="BQ45" s="1">
        <v>0</v>
      </c>
      <c r="BR45" s="1">
        <v>0</v>
      </c>
      <c r="BS45" s="1">
        <v>0</v>
      </c>
      <c r="BT45" s="1">
        <v>0</v>
      </c>
      <c r="BU45" s="1">
        <v>1</v>
      </c>
      <c r="BV45" s="1">
        <v>0</v>
      </c>
      <c r="BW45" s="1">
        <v>0</v>
      </c>
      <c r="BX45" s="1">
        <v>0</v>
      </c>
      <c r="BY45" s="1">
        <v>0</v>
      </c>
      <c r="BZ45" s="1">
        <v>0</v>
      </c>
      <c r="CA45" s="1">
        <v>0</v>
      </c>
      <c r="CB45" s="1">
        <v>0</v>
      </c>
      <c r="CC45" s="1">
        <f t="shared" si="9"/>
        <v>44</v>
      </c>
      <c r="CD45" s="1">
        <v>31</v>
      </c>
      <c r="CE45" s="1">
        <v>22</v>
      </c>
      <c r="CF45" s="1">
        <v>0</v>
      </c>
      <c r="CG45" s="1">
        <v>0</v>
      </c>
      <c r="CH45" s="1">
        <v>0</v>
      </c>
      <c r="CI45" s="1">
        <v>0</v>
      </c>
      <c r="CJ45" s="1">
        <f t="shared" si="12"/>
        <v>0</v>
      </c>
      <c r="CK45" s="1">
        <f t="shared" si="12"/>
        <v>0</v>
      </c>
      <c r="CL45" s="1">
        <f t="shared" si="12"/>
        <v>0</v>
      </c>
      <c r="CM45" s="1">
        <f t="shared" si="12"/>
        <v>0</v>
      </c>
      <c r="CN45" s="1">
        <f t="shared" si="12"/>
        <v>0</v>
      </c>
      <c r="CO45" s="1">
        <f t="shared" si="14"/>
        <v>0</v>
      </c>
      <c r="CP45" s="1">
        <f t="shared" si="14"/>
        <v>0</v>
      </c>
      <c r="CQ45" s="1">
        <f t="shared" si="14"/>
        <v>0</v>
      </c>
      <c r="CR45" s="1">
        <f t="shared" si="14"/>
        <v>0</v>
      </c>
      <c r="CS45" s="1">
        <f t="shared" si="14"/>
        <v>0</v>
      </c>
      <c r="CT45" s="1">
        <f t="shared" si="14"/>
        <v>0</v>
      </c>
      <c r="CU45" s="1">
        <f t="shared" si="14"/>
        <v>0</v>
      </c>
      <c r="CV45" s="1">
        <f t="shared" si="14"/>
        <v>0</v>
      </c>
      <c r="CW45" s="1">
        <f t="shared" si="14"/>
        <v>0</v>
      </c>
      <c r="CX45" s="1">
        <f t="shared" si="13"/>
        <v>0</v>
      </c>
      <c r="CY45" s="1">
        <f t="shared" si="13"/>
        <v>0</v>
      </c>
      <c r="CZ45" s="1">
        <f t="shared" si="13"/>
        <v>0</v>
      </c>
      <c r="DA45" s="1">
        <f t="shared" si="13"/>
        <v>0</v>
      </c>
      <c r="DB45" s="1">
        <f t="shared" si="13"/>
        <v>0</v>
      </c>
      <c r="DC45" s="1">
        <f t="shared" si="15"/>
        <v>0</v>
      </c>
      <c r="DD45" s="1">
        <f t="shared" si="15"/>
        <v>0</v>
      </c>
      <c r="DE45" s="1">
        <f t="shared" si="15"/>
        <v>0</v>
      </c>
      <c r="DF45" s="1">
        <f t="shared" si="15"/>
        <v>0</v>
      </c>
      <c r="DG45" s="1">
        <f t="shared" si="15"/>
        <v>0</v>
      </c>
      <c r="DH45" s="1">
        <f t="shared" si="15"/>
        <v>0</v>
      </c>
      <c r="DI45" s="1">
        <f t="shared" si="15"/>
        <v>0</v>
      </c>
      <c r="DJ45" s="1">
        <f t="shared" si="15"/>
        <v>0</v>
      </c>
      <c r="DK45" s="1">
        <f t="shared" si="15"/>
        <v>0</v>
      </c>
      <c r="DL45" s="25"/>
      <c r="DM45" s="25"/>
      <c r="DN45" s="24"/>
      <c r="DO45" s="25"/>
      <c r="DP45" s="25"/>
      <c r="DQ45" s="25"/>
      <c r="DR45" s="25"/>
      <c r="DS45" s="25"/>
      <c r="DT45" s="25"/>
      <c r="DU45" s="25"/>
      <c r="DV45" s="25"/>
    </row>
    <row r="46" spans="1:126" x14ac:dyDescent="0.25">
      <c r="A46" s="261">
        <v>43344</v>
      </c>
      <c r="B46" s="262">
        <f t="shared" si="0"/>
        <v>2018</v>
      </c>
      <c r="C46" s="262">
        <f t="shared" si="1"/>
        <v>9</v>
      </c>
      <c r="D46" s="263">
        <v>42687286.884268224</v>
      </c>
      <c r="E46" s="263">
        <f>IFERROR(VLOOKUP($B46-1,CDM!$L$7:$T$18,2,FALSE)/12,0)+IFERROR(VLOOKUP($B46,CDM!$L$36:$T$46,2,FALSE)/24,0)+IFERROR(VLOOKUP($B46,CDM!$L$36:$T$46,2,FALSE)/2*$C46/78,0)</f>
        <v>2407503.1507605612</v>
      </c>
      <c r="F46" s="263">
        <f t="shared" si="2"/>
        <v>45094790.035028785</v>
      </c>
      <c r="G46" s="264">
        <v>54087</v>
      </c>
      <c r="H46" s="263">
        <v>10619042.298746258</v>
      </c>
      <c r="I46" s="263">
        <f>IFERROR(VLOOKUP($B46-1,CDM!$L$7:$T$18,3,FALSE)/12,0)+IFERROR(VLOOKUP($B46,CDM!$L$36:$T$46,3,FALSE)/24,0)+IFERROR(VLOOKUP($B46,CDM!$L$36:$T$46,3,FALSE)/2*$C46/78,0)</f>
        <v>560258.86094413092</v>
      </c>
      <c r="J46" s="263">
        <f t="shared" si="6"/>
        <v>11179301.159690389</v>
      </c>
      <c r="K46" s="265">
        <v>4221</v>
      </c>
      <c r="L46" s="4">
        <v>24577708.815642342</v>
      </c>
      <c r="M46" s="266">
        <f>IFERROR(VLOOKUP($B46-1,CDM!$L$7:$T$18,4,FALSE)/12,0)+IFERROR(VLOOKUP($B46,CDM!$L$36:$T$46,4,FALSE)/24,0)+IFERROR(VLOOKUP($B46,CDM!$L$36:$T$46,4,FALSE)/2*$C46/78,0)</f>
        <v>640746.01730335422</v>
      </c>
      <c r="N46" s="263">
        <f t="shared" si="3"/>
        <v>25218454.832945697</v>
      </c>
      <c r="O46" s="4">
        <v>71965</v>
      </c>
      <c r="P46" s="265">
        <v>490</v>
      </c>
      <c r="Q46" s="265">
        <v>7008020.1080489168</v>
      </c>
      <c r="R46" s="265">
        <f>IFERROR(VLOOKUP($B46-1,CDM!$L$7:$T$18,5,FALSE)/12,0)+IFERROR(VLOOKUP($B46,CDM!$L$36:$T$46,5,FALSE)/24,0)+IFERROR(VLOOKUP($B46,CDM!$L$36:$T$46,5,FALSE)/2*$C46/78,0)</f>
        <v>855615.37365092488</v>
      </c>
      <c r="S46" s="265">
        <f t="shared" si="7"/>
        <v>7863635.481699842</v>
      </c>
      <c r="T46" s="265">
        <v>17872</v>
      </c>
      <c r="U46" s="265">
        <v>13</v>
      </c>
      <c r="V46" s="265">
        <v>4269800.7918802854</v>
      </c>
      <c r="W46" s="265">
        <f>IFERROR(VLOOKUP($B46-1,CDM!$L$7:$T$18,6,FALSE)/12,0)+IFERROR(VLOOKUP($B46,CDM!$L$36:$T$46,6,FALSE)/24,0)+IFERROR(VLOOKUP($B46,CDM!$L$36:$T$46,6,FALSE)/2*$C46/78,0)</f>
        <v>25477.94628739317</v>
      </c>
      <c r="X46" s="265">
        <f t="shared" si="8"/>
        <v>4295278.7381676789</v>
      </c>
      <c r="Y46" s="265">
        <v>9155</v>
      </c>
      <c r="Z46" s="265">
        <v>1</v>
      </c>
      <c r="AA46" s="4">
        <v>290903.62771107029</v>
      </c>
      <c r="AB46" s="4">
        <v>1012</v>
      </c>
      <c r="AC46" s="265">
        <v>13895</v>
      </c>
      <c r="AD46" s="265">
        <v>2134.3887087545299</v>
      </c>
      <c r="AE46" s="265">
        <v>0</v>
      </c>
      <c r="AF46" s="265">
        <v>23</v>
      </c>
      <c r="AG46" s="4">
        <v>210418</v>
      </c>
      <c r="AH46" s="4">
        <v>249</v>
      </c>
      <c r="AI46" s="28">
        <f>Economic!H48</f>
        <v>789531.6</v>
      </c>
      <c r="AJ46" s="28">
        <f>Economic!I48</f>
        <v>608429.30000000005</v>
      </c>
      <c r="AK46" s="28">
        <f>Economic!J48</f>
        <v>57334.6</v>
      </c>
      <c r="AL46" s="28">
        <f>Economic!K48</f>
        <v>794140</v>
      </c>
      <c r="AM46" s="28">
        <f>Economic!L48</f>
        <v>611579</v>
      </c>
      <c r="AN46" s="28">
        <f>Economic!M48</f>
        <v>31769</v>
      </c>
      <c r="AO46" s="28">
        <f>Economic!D48</f>
        <v>7279.6</v>
      </c>
      <c r="AP46" s="28">
        <f>Economic!E48</f>
        <v>7324.4</v>
      </c>
      <c r="AQ46" s="28">
        <f>Economic!F48</f>
        <v>216.6</v>
      </c>
      <c r="AR46" s="28">
        <f>Economic!G48</f>
        <v>217.3</v>
      </c>
      <c r="AS46" s="28">
        <f>Economic!N48</f>
        <v>134.80000000000018</v>
      </c>
      <c r="AT46" s="28">
        <f>Economic!O48</f>
        <v>131</v>
      </c>
      <c r="AU46" s="28">
        <f>Economic!P48</f>
        <v>8.5</v>
      </c>
      <c r="AV46" s="28">
        <f>Economic!Q48</f>
        <v>9.6000000000000227</v>
      </c>
      <c r="AW46" s="28">
        <f>Economic!R48</f>
        <v>25066.79999999993</v>
      </c>
      <c r="AX46" s="28">
        <f>Economic!S48</f>
        <v>9244</v>
      </c>
      <c r="AY46" s="7">
        <f>Weather!D46</f>
        <v>18.045555555555556</v>
      </c>
      <c r="AZ46" s="7">
        <f>Weather!E46</f>
        <v>92.370833333333337</v>
      </c>
      <c r="BA46" s="7">
        <f>Weather!F46</f>
        <v>33.737500000000011</v>
      </c>
      <c r="BB46" s="7">
        <f>Weather!G46</f>
        <v>59.1875</v>
      </c>
      <c r="BC46" s="7">
        <f>Weather!H46</f>
        <v>60.55416666666666</v>
      </c>
      <c r="BD46" s="7">
        <f>Weather!I46</f>
        <v>33.279166666666669</v>
      </c>
      <c r="BE46" s="7">
        <f>Weather!J46</f>
        <v>94.645833333333329</v>
      </c>
      <c r="BF46" s="7">
        <f>Weather!K46</f>
        <v>13.695833333333338</v>
      </c>
      <c r="BG46" s="7">
        <f>Weather!L46</f>
        <v>135.06250000000003</v>
      </c>
      <c r="BH46" s="7">
        <f>Weather!M46</f>
        <v>2.1166666666666636</v>
      </c>
      <c r="BI46" s="7">
        <f>Weather!N46</f>
        <v>183.48333333333329</v>
      </c>
      <c r="BJ46" s="7">
        <f>Weather!O46</f>
        <v>0</v>
      </c>
      <c r="BK46" s="7">
        <f>Weather!P46</f>
        <v>241.36666666666665</v>
      </c>
      <c r="BL46" s="7">
        <f>Weather!Q46</f>
        <v>0</v>
      </c>
      <c r="BM46" s="7">
        <f>Weather!R46</f>
        <v>301.3666666666665</v>
      </c>
      <c r="BN46" s="1">
        <v>0</v>
      </c>
      <c r="BO46" s="1">
        <v>0</v>
      </c>
      <c r="BP46" s="1">
        <v>0</v>
      </c>
      <c r="BQ46" s="1">
        <v>0</v>
      </c>
      <c r="BR46" s="1">
        <v>0</v>
      </c>
      <c r="BS46" s="1">
        <v>0</v>
      </c>
      <c r="BT46" s="1">
        <v>0</v>
      </c>
      <c r="BU46" s="1">
        <v>0</v>
      </c>
      <c r="BV46" s="1">
        <v>1</v>
      </c>
      <c r="BW46" s="1">
        <v>0</v>
      </c>
      <c r="BX46" s="1">
        <v>0</v>
      </c>
      <c r="BY46" s="1">
        <v>0</v>
      </c>
      <c r="BZ46" s="1">
        <v>0</v>
      </c>
      <c r="CA46" s="1">
        <v>1</v>
      </c>
      <c r="CB46" s="1">
        <v>1</v>
      </c>
      <c r="CC46" s="1">
        <f t="shared" si="9"/>
        <v>45</v>
      </c>
      <c r="CD46" s="1">
        <v>30</v>
      </c>
      <c r="CE46" s="1">
        <v>19</v>
      </c>
      <c r="CF46" s="1">
        <v>0</v>
      </c>
      <c r="CG46" s="1">
        <v>0</v>
      </c>
      <c r="CH46" s="1">
        <v>0</v>
      </c>
      <c r="CI46" s="1">
        <v>0</v>
      </c>
      <c r="CJ46" s="1">
        <f t="shared" si="12"/>
        <v>0</v>
      </c>
      <c r="CK46" s="1">
        <f t="shared" si="12"/>
        <v>0</v>
      </c>
      <c r="CL46" s="1">
        <f t="shared" si="12"/>
        <v>0</v>
      </c>
      <c r="CM46" s="1">
        <f t="shared" si="12"/>
        <v>0</v>
      </c>
      <c r="CN46" s="1">
        <f t="shared" si="12"/>
        <v>0</v>
      </c>
      <c r="CO46" s="1">
        <f t="shared" si="14"/>
        <v>0</v>
      </c>
      <c r="CP46" s="1">
        <f t="shared" si="14"/>
        <v>0</v>
      </c>
      <c r="CQ46" s="1">
        <f t="shared" si="14"/>
        <v>0</v>
      </c>
      <c r="CR46" s="1">
        <f t="shared" si="14"/>
        <v>0</v>
      </c>
      <c r="CS46" s="1">
        <f t="shared" si="14"/>
        <v>0</v>
      </c>
      <c r="CT46" s="1">
        <f t="shared" si="14"/>
        <v>0</v>
      </c>
      <c r="CU46" s="1">
        <f t="shared" si="14"/>
        <v>0</v>
      </c>
      <c r="CV46" s="1">
        <f t="shared" si="14"/>
        <v>0</v>
      </c>
      <c r="CW46" s="1">
        <f t="shared" si="14"/>
        <v>0</v>
      </c>
      <c r="CX46" s="1">
        <f t="shared" si="13"/>
        <v>0</v>
      </c>
      <c r="CY46" s="1">
        <f t="shared" si="13"/>
        <v>0</v>
      </c>
      <c r="CZ46" s="1">
        <f t="shared" si="13"/>
        <v>0</v>
      </c>
      <c r="DA46" s="1">
        <f t="shared" si="13"/>
        <v>0</v>
      </c>
      <c r="DB46" s="1">
        <f t="shared" si="13"/>
        <v>0</v>
      </c>
      <c r="DC46" s="1">
        <f t="shared" si="15"/>
        <v>0</v>
      </c>
      <c r="DD46" s="1">
        <f t="shared" si="15"/>
        <v>0</v>
      </c>
      <c r="DE46" s="1">
        <f t="shared" si="15"/>
        <v>0</v>
      </c>
      <c r="DF46" s="1">
        <f t="shared" si="15"/>
        <v>0</v>
      </c>
      <c r="DG46" s="1">
        <f t="shared" si="15"/>
        <v>0</v>
      </c>
      <c r="DH46" s="1">
        <f t="shared" si="15"/>
        <v>0</v>
      </c>
      <c r="DI46" s="1">
        <f t="shared" si="15"/>
        <v>0</v>
      </c>
      <c r="DJ46" s="1">
        <f t="shared" si="15"/>
        <v>0</v>
      </c>
      <c r="DK46" s="1">
        <f t="shared" si="15"/>
        <v>0</v>
      </c>
      <c r="DL46" s="25"/>
      <c r="DM46" s="25"/>
      <c r="DN46" s="24"/>
      <c r="DO46" s="25"/>
      <c r="DP46" s="25"/>
      <c r="DQ46" s="25"/>
      <c r="DR46" s="25"/>
      <c r="DS46" s="25"/>
      <c r="DT46" s="25"/>
      <c r="DU46" s="25"/>
      <c r="DV46" s="25"/>
    </row>
    <row r="47" spans="1:126" x14ac:dyDescent="0.25">
      <c r="A47" s="261">
        <v>43374</v>
      </c>
      <c r="B47" s="262">
        <f t="shared" si="0"/>
        <v>2018</v>
      </c>
      <c r="C47" s="262">
        <f t="shared" si="1"/>
        <v>10</v>
      </c>
      <c r="D47" s="263">
        <v>32423829.897117812</v>
      </c>
      <c r="E47" s="263">
        <f>IFERROR(VLOOKUP($B47-1,CDM!$L$7:$T$18,2,FALSE)/12,0)+IFERROR(VLOOKUP($B47,CDM!$L$36:$T$46,2,FALSE)/24,0)+IFERROR(VLOOKUP($B47,CDM!$L$36:$T$46,2,FALSE)/2*$C47/78,0)</f>
        <v>2448745.9158633933</v>
      </c>
      <c r="F47" s="263">
        <f t="shared" si="2"/>
        <v>34872575.812981203</v>
      </c>
      <c r="G47" s="264">
        <v>54386</v>
      </c>
      <c r="H47" s="263">
        <v>10446929.600252006</v>
      </c>
      <c r="I47" s="263">
        <f>IFERROR(VLOOKUP($B47-1,CDM!$L$7:$T$18,3,FALSE)/12,0)+IFERROR(VLOOKUP($B47,CDM!$L$36:$T$46,3,FALSE)/24,0)+IFERROR(VLOOKUP($B47,CDM!$L$36:$T$46,3,FALSE)/2*$C47/78,0)</f>
        <v>571071.66427226586</v>
      </c>
      <c r="J47" s="263">
        <f t="shared" si="6"/>
        <v>11018001.264524272</v>
      </c>
      <c r="K47" s="265">
        <v>4238</v>
      </c>
      <c r="L47" s="4">
        <v>24711135.025222406</v>
      </c>
      <c r="M47" s="266">
        <f>IFERROR(VLOOKUP($B47-1,CDM!$L$7:$T$18,4,FALSE)/12,0)+IFERROR(VLOOKUP($B47,CDM!$L$36:$T$46,4,FALSE)/24,0)+IFERROR(VLOOKUP($B47,CDM!$L$36:$T$46,4,FALSE)/2*$C47/78,0)</f>
        <v>656174.62616901705</v>
      </c>
      <c r="N47" s="263">
        <f t="shared" si="3"/>
        <v>25367309.651391424</v>
      </c>
      <c r="O47" s="4">
        <v>69051</v>
      </c>
      <c r="P47" s="265">
        <v>476</v>
      </c>
      <c r="Q47" s="265">
        <v>6383879.6242110515</v>
      </c>
      <c r="R47" s="265">
        <f>IFERROR(VLOOKUP($B47-1,CDM!$L$7:$T$18,5,FALSE)/12,0)+IFERROR(VLOOKUP($B47,CDM!$L$36:$T$46,5,FALSE)/24,0)+IFERROR(VLOOKUP($B47,CDM!$L$36:$T$46,5,FALSE)/2*$C47/78,0)</f>
        <v>855625.98916374543</v>
      </c>
      <c r="S47" s="265">
        <f t="shared" si="7"/>
        <v>7239505.6133747967</v>
      </c>
      <c r="T47" s="265">
        <v>16248</v>
      </c>
      <c r="U47" s="265">
        <v>13</v>
      </c>
      <c r="V47" s="265">
        <v>3882440.9348609606</v>
      </c>
      <c r="W47" s="265">
        <f>IFERROR(VLOOKUP($B47-1,CDM!$L$7:$T$18,6,FALSE)/12,0)+IFERROR(VLOOKUP($B47,CDM!$L$36:$T$46,6,FALSE)/24,0)+IFERROR(VLOOKUP($B47,CDM!$L$36:$T$46,6,FALSE)/2*$C47/78,0)</f>
        <v>26371.987580128211</v>
      </c>
      <c r="X47" s="265">
        <f t="shared" si="8"/>
        <v>3908812.9224410886</v>
      </c>
      <c r="Y47" s="265">
        <v>8030</v>
      </c>
      <c r="Z47" s="265">
        <v>1</v>
      </c>
      <c r="AA47" s="4">
        <v>402749.75975969207</v>
      </c>
      <c r="AB47" s="4">
        <v>1013</v>
      </c>
      <c r="AC47" s="265">
        <v>13895</v>
      </c>
      <c r="AD47" s="265">
        <v>2155.2736982643528</v>
      </c>
      <c r="AE47" s="265">
        <v>0</v>
      </c>
      <c r="AF47" s="265">
        <v>23</v>
      </c>
      <c r="AG47" s="4">
        <v>210615</v>
      </c>
      <c r="AH47" s="4">
        <v>249</v>
      </c>
      <c r="AI47" s="28">
        <f>Economic!H49</f>
        <v>789531.6</v>
      </c>
      <c r="AJ47" s="28">
        <f>Economic!I49</f>
        <v>608429.30000000005</v>
      </c>
      <c r="AK47" s="28">
        <f>Economic!J49</f>
        <v>57334.6</v>
      </c>
      <c r="AL47" s="28">
        <f>Economic!K49</f>
        <v>799632</v>
      </c>
      <c r="AM47" s="28">
        <f>Economic!L49</f>
        <v>617505</v>
      </c>
      <c r="AN47" s="28">
        <f>Economic!M49</f>
        <v>31552</v>
      </c>
      <c r="AO47" s="28">
        <f>Economic!D49</f>
        <v>7270.3</v>
      </c>
      <c r="AP47" s="28">
        <f>Economic!E49</f>
        <v>7290.6</v>
      </c>
      <c r="AQ47" s="28">
        <f>Economic!F49</f>
        <v>215.2</v>
      </c>
      <c r="AR47" s="28">
        <f>Economic!G49</f>
        <v>214</v>
      </c>
      <c r="AS47" s="28">
        <f>Economic!N49</f>
        <v>109.30000000000018</v>
      </c>
      <c r="AT47" s="28">
        <f>Economic!O49</f>
        <v>105.40000000000055</v>
      </c>
      <c r="AU47" s="28">
        <f>Economic!P49</f>
        <v>5.2999999999999829</v>
      </c>
      <c r="AV47" s="28">
        <f>Economic!Q49</f>
        <v>5.1999999999999886</v>
      </c>
      <c r="AW47" s="28">
        <f>Economic!R49</f>
        <v>25066.79999999993</v>
      </c>
      <c r="AX47" s="28">
        <f>Economic!S49</f>
        <v>5492</v>
      </c>
      <c r="AY47" s="7">
        <f>Weather!D47</f>
        <v>8.2325268817204318</v>
      </c>
      <c r="AZ47" s="7">
        <f>Weather!E47</f>
        <v>364.80833333333339</v>
      </c>
      <c r="BA47" s="7">
        <f>Weather!F47</f>
        <v>1.6666666666665719E-2</v>
      </c>
      <c r="BB47" s="7">
        <f>Weather!G47</f>
        <v>305.10000000000002</v>
      </c>
      <c r="BC47" s="7">
        <f>Weather!H47</f>
        <v>2.30833333333333</v>
      </c>
      <c r="BD47" s="7">
        <f>Weather!I47</f>
        <v>248.88749999999993</v>
      </c>
      <c r="BE47" s="7">
        <f>Weather!J47</f>
        <v>8.0958333333333314</v>
      </c>
      <c r="BF47" s="7">
        <f>Weather!K47</f>
        <v>194.17916666666662</v>
      </c>
      <c r="BG47" s="7">
        <f>Weather!L47</f>
        <v>15.387500000000001</v>
      </c>
      <c r="BH47" s="7">
        <f>Weather!M47</f>
        <v>142.14999999999998</v>
      </c>
      <c r="BI47" s="7">
        <f>Weather!N47</f>
        <v>25.358333333333334</v>
      </c>
      <c r="BJ47" s="7">
        <f>Weather!O47</f>
        <v>96.316666666666663</v>
      </c>
      <c r="BK47" s="7">
        <f>Weather!P47</f>
        <v>41.524999999999999</v>
      </c>
      <c r="BL47" s="7">
        <f>Weather!Q47</f>
        <v>55.56666666666667</v>
      </c>
      <c r="BM47" s="7">
        <f>Weather!R47</f>
        <v>62.774999999999991</v>
      </c>
      <c r="BN47" s="1">
        <v>0</v>
      </c>
      <c r="BO47" s="1">
        <v>0</v>
      </c>
      <c r="BP47" s="1">
        <v>0</v>
      </c>
      <c r="BQ47" s="1">
        <v>0</v>
      </c>
      <c r="BR47" s="1">
        <v>0</v>
      </c>
      <c r="BS47" s="1">
        <v>0</v>
      </c>
      <c r="BT47" s="1">
        <v>0</v>
      </c>
      <c r="BU47" s="1">
        <v>0</v>
      </c>
      <c r="BV47" s="1">
        <v>0</v>
      </c>
      <c r="BW47" s="1">
        <v>1</v>
      </c>
      <c r="BX47" s="1">
        <v>0</v>
      </c>
      <c r="BY47" s="1">
        <v>0</v>
      </c>
      <c r="BZ47" s="1">
        <v>0</v>
      </c>
      <c r="CA47" s="1">
        <v>1</v>
      </c>
      <c r="CB47" s="1">
        <v>1</v>
      </c>
      <c r="CC47" s="1">
        <f t="shared" si="9"/>
        <v>46</v>
      </c>
      <c r="CD47" s="1">
        <v>31</v>
      </c>
      <c r="CE47" s="1">
        <v>22</v>
      </c>
      <c r="CF47" s="1">
        <v>0</v>
      </c>
      <c r="CG47" s="1">
        <v>0</v>
      </c>
      <c r="CH47" s="1">
        <v>0</v>
      </c>
      <c r="CI47" s="1">
        <v>0</v>
      </c>
      <c r="CJ47" s="1">
        <f t="shared" si="12"/>
        <v>0</v>
      </c>
      <c r="CK47" s="1">
        <f t="shared" si="12"/>
        <v>0</v>
      </c>
      <c r="CL47" s="1">
        <f t="shared" si="12"/>
        <v>0</v>
      </c>
      <c r="CM47" s="1">
        <f t="shared" si="12"/>
        <v>0</v>
      </c>
      <c r="CN47" s="1">
        <f t="shared" si="12"/>
        <v>0</v>
      </c>
      <c r="CO47" s="1">
        <f t="shared" si="14"/>
        <v>0</v>
      </c>
      <c r="CP47" s="1">
        <f t="shared" si="14"/>
        <v>0</v>
      </c>
      <c r="CQ47" s="1">
        <f t="shared" si="14"/>
        <v>0</v>
      </c>
      <c r="CR47" s="1">
        <f t="shared" si="14"/>
        <v>0</v>
      </c>
      <c r="CS47" s="1">
        <f t="shared" si="14"/>
        <v>0</v>
      </c>
      <c r="CT47" s="1">
        <f t="shared" si="14"/>
        <v>0</v>
      </c>
      <c r="CU47" s="1">
        <f t="shared" si="14"/>
        <v>0</v>
      </c>
      <c r="CV47" s="1">
        <f t="shared" si="14"/>
        <v>0</v>
      </c>
      <c r="CW47" s="1">
        <f t="shared" si="14"/>
        <v>0</v>
      </c>
      <c r="CX47" s="1">
        <f t="shared" si="13"/>
        <v>0</v>
      </c>
      <c r="CY47" s="1">
        <f t="shared" si="13"/>
        <v>0</v>
      </c>
      <c r="CZ47" s="1">
        <f t="shared" si="13"/>
        <v>0</v>
      </c>
      <c r="DA47" s="1">
        <f t="shared" si="13"/>
        <v>0</v>
      </c>
      <c r="DB47" s="1">
        <f t="shared" si="13"/>
        <v>0</v>
      </c>
      <c r="DC47" s="1">
        <f t="shared" si="15"/>
        <v>0</v>
      </c>
      <c r="DD47" s="1">
        <f t="shared" si="15"/>
        <v>0</v>
      </c>
      <c r="DE47" s="1">
        <f t="shared" si="15"/>
        <v>0</v>
      </c>
      <c r="DF47" s="1">
        <f t="shared" si="15"/>
        <v>0</v>
      </c>
      <c r="DG47" s="1">
        <f t="shared" si="15"/>
        <v>0</v>
      </c>
      <c r="DH47" s="1">
        <f t="shared" si="15"/>
        <v>0</v>
      </c>
      <c r="DI47" s="1">
        <f t="shared" si="15"/>
        <v>0</v>
      </c>
      <c r="DJ47" s="1">
        <f t="shared" si="15"/>
        <v>0</v>
      </c>
      <c r="DK47" s="1">
        <f t="shared" si="15"/>
        <v>0</v>
      </c>
      <c r="DL47" s="25"/>
      <c r="DM47" s="25"/>
      <c r="DN47" s="24"/>
      <c r="DO47" s="25"/>
      <c r="DP47" s="25"/>
      <c r="DQ47" s="25"/>
      <c r="DR47" s="25"/>
      <c r="DS47" s="25"/>
      <c r="DT47" s="25"/>
      <c r="DU47" s="25"/>
      <c r="DV47" s="25"/>
    </row>
    <row r="48" spans="1:126" x14ac:dyDescent="0.25">
      <c r="A48" s="261">
        <v>43405</v>
      </c>
      <c r="B48" s="262">
        <f t="shared" si="0"/>
        <v>2018</v>
      </c>
      <c r="C48" s="262">
        <f t="shared" si="1"/>
        <v>11</v>
      </c>
      <c r="D48" s="263">
        <v>37206156.552890733</v>
      </c>
      <c r="E48" s="263">
        <f>IFERROR(VLOOKUP($B48-1,CDM!$L$7:$T$18,2,FALSE)/12,0)+IFERROR(VLOOKUP($B48,CDM!$L$36:$T$46,2,FALSE)/24,0)+IFERROR(VLOOKUP($B48,CDM!$L$36:$T$46,2,FALSE)/2*$C48/78,0)</f>
        <v>2489988.680966225</v>
      </c>
      <c r="F48" s="263">
        <f t="shared" si="2"/>
        <v>39696145.233856961</v>
      </c>
      <c r="G48" s="264">
        <v>54368</v>
      </c>
      <c r="H48" s="263">
        <v>10829221.661439378</v>
      </c>
      <c r="I48" s="263">
        <f>IFERROR(VLOOKUP($B48-1,CDM!$L$7:$T$18,3,FALSE)/12,0)+IFERROR(VLOOKUP($B48,CDM!$L$36:$T$46,3,FALSE)/24,0)+IFERROR(VLOOKUP($B48,CDM!$L$36:$T$46,3,FALSE)/2*$C48/78,0)</f>
        <v>581884.46760040079</v>
      </c>
      <c r="J48" s="263">
        <f t="shared" si="6"/>
        <v>11411106.129039779</v>
      </c>
      <c r="K48" s="265">
        <v>4206</v>
      </c>
      <c r="L48" s="4">
        <v>27781762.694184732</v>
      </c>
      <c r="M48" s="266">
        <f>IFERROR(VLOOKUP($B48-1,CDM!$L$7:$T$18,4,FALSE)/12,0)+IFERROR(VLOOKUP($B48,CDM!$L$36:$T$46,4,FALSE)/24,0)+IFERROR(VLOOKUP($B48,CDM!$L$36:$T$46,4,FALSE)/2*$C48/78,0)</f>
        <v>671603.23503467976</v>
      </c>
      <c r="N48" s="263">
        <f t="shared" si="3"/>
        <v>28453365.92921941</v>
      </c>
      <c r="O48" s="4">
        <v>71065</v>
      </c>
      <c r="P48" s="265">
        <v>522</v>
      </c>
      <c r="Q48" s="265">
        <v>6040173.2680893028</v>
      </c>
      <c r="R48" s="265">
        <f>IFERROR(VLOOKUP($B48-1,CDM!$L$7:$T$18,5,FALSE)/12,0)+IFERROR(VLOOKUP($B48,CDM!$L$36:$T$46,5,FALSE)/24,0)+IFERROR(VLOOKUP($B48,CDM!$L$36:$T$46,5,FALSE)/2*$C48/78,0)</f>
        <v>855636.60467656597</v>
      </c>
      <c r="S48" s="265">
        <f t="shared" si="7"/>
        <v>6895809.8727658689</v>
      </c>
      <c r="T48" s="265">
        <v>14782</v>
      </c>
      <c r="U48" s="265">
        <v>13</v>
      </c>
      <c r="V48" s="265">
        <v>3615531.6010835604</v>
      </c>
      <c r="W48" s="265">
        <f>IFERROR(VLOOKUP($B48-1,CDM!$L$7:$T$18,6,FALSE)/12,0)+IFERROR(VLOOKUP($B48,CDM!$L$36:$T$46,6,FALSE)/24,0)+IFERROR(VLOOKUP($B48,CDM!$L$36:$T$46,6,FALSE)/2*$C48/78,0)</f>
        <v>27266.028872863255</v>
      </c>
      <c r="X48" s="265">
        <f t="shared" si="8"/>
        <v>3642797.6299564238</v>
      </c>
      <c r="Y48" s="265">
        <v>6580</v>
      </c>
      <c r="Z48" s="265">
        <v>1</v>
      </c>
      <c r="AA48" s="4">
        <v>434706.49093613523</v>
      </c>
      <c r="AB48" s="4">
        <v>1017</v>
      </c>
      <c r="AC48" s="265">
        <v>13895</v>
      </c>
      <c r="AD48" s="265">
        <v>2134.3887087545299</v>
      </c>
      <c r="AE48" s="265">
        <v>0</v>
      </c>
      <c r="AF48" s="265">
        <v>23</v>
      </c>
      <c r="AG48" s="4">
        <v>210276</v>
      </c>
      <c r="AH48" s="4">
        <v>249</v>
      </c>
      <c r="AI48" s="28">
        <f>Economic!H50</f>
        <v>789531.6</v>
      </c>
      <c r="AJ48" s="28">
        <f>Economic!I50</f>
        <v>608429.30000000005</v>
      </c>
      <c r="AK48" s="28">
        <f>Economic!J50</f>
        <v>57334.6</v>
      </c>
      <c r="AL48" s="28">
        <f>Economic!K50</f>
        <v>799632</v>
      </c>
      <c r="AM48" s="28">
        <f>Economic!L50</f>
        <v>617505</v>
      </c>
      <c r="AN48" s="28">
        <f>Economic!M50</f>
        <v>31552</v>
      </c>
      <c r="AO48" s="28">
        <f>Economic!D50</f>
        <v>7290</v>
      </c>
      <c r="AP48" s="28">
        <f>Economic!E50</f>
        <v>7288.9</v>
      </c>
      <c r="AQ48" s="28">
        <f>Economic!F50</f>
        <v>215.3</v>
      </c>
      <c r="AR48" s="28">
        <f>Economic!G50</f>
        <v>213.5</v>
      </c>
      <c r="AS48" s="28">
        <f>Economic!N50</f>
        <v>105.30000000000018</v>
      </c>
      <c r="AT48" s="28">
        <f>Economic!O50</f>
        <v>102.89999999999964</v>
      </c>
      <c r="AU48" s="28">
        <f>Economic!P50</f>
        <v>6.3000000000000114</v>
      </c>
      <c r="AV48" s="28">
        <f>Economic!Q50</f>
        <v>5.9000000000000057</v>
      </c>
      <c r="AW48" s="28">
        <f>Economic!R50</f>
        <v>25066.79999999993</v>
      </c>
      <c r="AX48" s="28">
        <f>Economic!S50</f>
        <v>5492</v>
      </c>
      <c r="AY48" s="7">
        <f>Weather!D48</f>
        <v>1.2158333333333335</v>
      </c>
      <c r="AZ48" s="7">
        <f>Weather!E48</f>
        <v>563.52499999999998</v>
      </c>
      <c r="BA48" s="7">
        <f>Weather!F48</f>
        <v>0</v>
      </c>
      <c r="BB48" s="7">
        <f>Weather!G48</f>
        <v>503.52500000000003</v>
      </c>
      <c r="BC48" s="7">
        <f>Weather!H48</f>
        <v>0</v>
      </c>
      <c r="BD48" s="7">
        <f>Weather!I48</f>
        <v>443.52500000000003</v>
      </c>
      <c r="BE48" s="7">
        <f>Weather!J48</f>
        <v>0</v>
      </c>
      <c r="BF48" s="7">
        <f>Weather!K48</f>
        <v>383.52500000000003</v>
      </c>
      <c r="BG48" s="7">
        <f>Weather!L48</f>
        <v>0</v>
      </c>
      <c r="BH48" s="7">
        <f>Weather!M48</f>
        <v>323.52500000000003</v>
      </c>
      <c r="BI48" s="7">
        <f>Weather!N48</f>
        <v>0</v>
      </c>
      <c r="BJ48" s="7">
        <f>Weather!O48</f>
        <v>263.86666666666662</v>
      </c>
      <c r="BK48" s="7">
        <f>Weather!P48</f>
        <v>0.34166666666666856</v>
      </c>
      <c r="BL48" s="7">
        <f>Weather!Q48</f>
        <v>206.24583333333334</v>
      </c>
      <c r="BM48" s="7">
        <f>Weather!R48</f>
        <v>2.7208333333333368</v>
      </c>
      <c r="BN48" s="1">
        <v>0</v>
      </c>
      <c r="BO48" s="1">
        <v>0</v>
      </c>
      <c r="BP48" s="1">
        <v>0</v>
      </c>
      <c r="BQ48" s="1">
        <v>0</v>
      </c>
      <c r="BR48" s="1">
        <v>0</v>
      </c>
      <c r="BS48" s="1">
        <v>0</v>
      </c>
      <c r="BT48" s="1">
        <v>0</v>
      </c>
      <c r="BU48" s="1">
        <v>0</v>
      </c>
      <c r="BV48" s="1">
        <v>0</v>
      </c>
      <c r="BW48" s="1">
        <v>0</v>
      </c>
      <c r="BX48" s="1">
        <v>1</v>
      </c>
      <c r="BY48" s="1">
        <v>0</v>
      </c>
      <c r="BZ48" s="1">
        <v>0</v>
      </c>
      <c r="CA48" s="1">
        <v>1</v>
      </c>
      <c r="CB48" s="1">
        <v>1</v>
      </c>
      <c r="CC48" s="1">
        <f t="shared" si="9"/>
        <v>47</v>
      </c>
      <c r="CD48" s="1">
        <v>30</v>
      </c>
      <c r="CE48" s="1">
        <v>22</v>
      </c>
      <c r="CF48" s="1">
        <v>0</v>
      </c>
      <c r="CG48" s="1">
        <v>0</v>
      </c>
      <c r="CH48" s="1">
        <v>0</v>
      </c>
      <c r="CI48" s="1">
        <v>0</v>
      </c>
      <c r="CJ48" s="1">
        <f t="shared" si="12"/>
        <v>0</v>
      </c>
      <c r="CK48" s="1">
        <f t="shared" si="12"/>
        <v>0</v>
      </c>
      <c r="CL48" s="1">
        <f t="shared" si="12"/>
        <v>0</v>
      </c>
      <c r="CM48" s="1">
        <f t="shared" si="12"/>
        <v>0</v>
      </c>
      <c r="CN48" s="1">
        <f t="shared" si="12"/>
        <v>0</v>
      </c>
      <c r="CO48" s="1">
        <f t="shared" si="14"/>
        <v>0</v>
      </c>
      <c r="CP48" s="1">
        <f t="shared" si="14"/>
        <v>0</v>
      </c>
      <c r="CQ48" s="1">
        <f t="shared" si="14"/>
        <v>0</v>
      </c>
      <c r="CR48" s="1">
        <f t="shared" si="14"/>
        <v>0</v>
      </c>
      <c r="CS48" s="1">
        <f t="shared" si="14"/>
        <v>0</v>
      </c>
      <c r="CT48" s="1">
        <f t="shared" si="14"/>
        <v>0</v>
      </c>
      <c r="CU48" s="1">
        <f t="shared" si="14"/>
        <v>0</v>
      </c>
      <c r="CV48" s="1">
        <f t="shared" si="14"/>
        <v>0</v>
      </c>
      <c r="CW48" s="1">
        <f t="shared" si="14"/>
        <v>0</v>
      </c>
      <c r="CX48" s="1">
        <f t="shared" si="13"/>
        <v>0</v>
      </c>
      <c r="CY48" s="1">
        <f t="shared" si="13"/>
        <v>0</v>
      </c>
      <c r="CZ48" s="1">
        <f t="shared" si="13"/>
        <v>0</v>
      </c>
      <c r="DA48" s="1">
        <f t="shared" si="13"/>
        <v>0</v>
      </c>
      <c r="DB48" s="1">
        <f t="shared" si="13"/>
        <v>0</v>
      </c>
      <c r="DC48" s="1">
        <f t="shared" si="15"/>
        <v>0</v>
      </c>
      <c r="DD48" s="1">
        <f t="shared" si="15"/>
        <v>0</v>
      </c>
      <c r="DE48" s="1">
        <f t="shared" si="15"/>
        <v>0</v>
      </c>
      <c r="DF48" s="1">
        <f t="shared" si="15"/>
        <v>0</v>
      </c>
      <c r="DG48" s="1">
        <f t="shared" si="15"/>
        <v>0</v>
      </c>
      <c r="DH48" s="1">
        <f t="shared" si="15"/>
        <v>0</v>
      </c>
      <c r="DI48" s="1">
        <f t="shared" si="15"/>
        <v>0</v>
      </c>
      <c r="DJ48" s="1">
        <f t="shared" si="15"/>
        <v>0</v>
      </c>
      <c r="DK48" s="1">
        <f t="shared" si="15"/>
        <v>0</v>
      </c>
      <c r="DL48" s="25"/>
      <c r="DM48" s="25"/>
      <c r="DN48" s="24"/>
      <c r="DO48" s="25"/>
      <c r="DP48" s="25"/>
      <c r="DQ48" s="25"/>
      <c r="DR48" s="25"/>
      <c r="DS48" s="25"/>
      <c r="DT48" s="25"/>
      <c r="DU48" s="25"/>
      <c r="DV48" s="25"/>
    </row>
    <row r="49" spans="1:126" x14ac:dyDescent="0.25">
      <c r="A49" s="261">
        <v>43435</v>
      </c>
      <c r="B49" s="262">
        <f t="shared" si="0"/>
        <v>2018</v>
      </c>
      <c r="C49" s="262">
        <f t="shared" si="1"/>
        <v>12</v>
      </c>
      <c r="D49" s="263">
        <v>40939122.005612098</v>
      </c>
      <c r="E49" s="263">
        <f>IFERROR(VLOOKUP($B49-1,CDM!$L$7:$T$18,2,FALSE)/12,0)+IFERROR(VLOOKUP($B49,CDM!$L$36:$T$46,2,FALSE)/24,0)+IFERROR(VLOOKUP($B49,CDM!$L$36:$T$46,2,FALSE)/2*$C49/78,0)</f>
        <v>2531231.4460690571</v>
      </c>
      <c r="F49" s="263">
        <f t="shared" si="2"/>
        <v>43470353.451681152</v>
      </c>
      <c r="G49" s="264">
        <v>54178</v>
      </c>
      <c r="H49" s="263">
        <v>11286886.412015036</v>
      </c>
      <c r="I49" s="263">
        <f>IFERROR(VLOOKUP($B49-1,CDM!$L$7:$T$18,3,FALSE)/12,0)+IFERROR(VLOOKUP($B49,CDM!$L$36:$T$46,3,FALSE)/24,0)+IFERROR(VLOOKUP($B49,CDM!$L$36:$T$46,3,FALSE)/2*$C49/78,0)</f>
        <v>592697.27092853573</v>
      </c>
      <c r="J49" s="263">
        <f t="shared" si="6"/>
        <v>11879583.682943571</v>
      </c>
      <c r="K49" s="265">
        <v>4210</v>
      </c>
      <c r="L49" s="4">
        <v>29119823.855557878</v>
      </c>
      <c r="M49" s="266">
        <f>IFERROR(VLOOKUP($B49-1,CDM!$L$7:$T$18,4,FALSE)/12,0)+IFERROR(VLOOKUP($B49,CDM!$L$36:$T$46,4,FALSE)/24,0)+IFERROR(VLOOKUP($B49,CDM!$L$36:$T$46,4,FALSE)/2*$C49/78,0)</f>
        <v>687031.8439003427</v>
      </c>
      <c r="N49" s="263">
        <f t="shared" si="3"/>
        <v>29806855.699458219</v>
      </c>
      <c r="O49" s="4">
        <v>72947</v>
      </c>
      <c r="P49" s="265">
        <v>524</v>
      </c>
      <c r="Q49" s="265">
        <v>5776938.1175200548</v>
      </c>
      <c r="R49" s="265">
        <f>IFERROR(VLOOKUP($B49-1,CDM!$L$7:$T$18,5,FALSE)/12,0)+IFERROR(VLOOKUP($B49,CDM!$L$36:$T$46,5,FALSE)/24,0)+IFERROR(VLOOKUP($B49,CDM!$L$36:$T$46,5,FALSE)/2*$C49/78,0)</f>
        <v>855647.22018938651</v>
      </c>
      <c r="S49" s="265">
        <f t="shared" si="7"/>
        <v>6632585.3377094418</v>
      </c>
      <c r="T49" s="265">
        <v>13837</v>
      </c>
      <c r="U49" s="265">
        <v>13</v>
      </c>
      <c r="V49" s="265">
        <v>3303674.8386122286</v>
      </c>
      <c r="W49" s="265">
        <f>IFERROR(VLOOKUP($B49-1,CDM!$L$7:$T$18,6,FALSE)/12,0)+IFERROR(VLOOKUP($B49,CDM!$L$36:$T$46,6,FALSE)/24,0)+IFERROR(VLOOKUP($B49,CDM!$L$36:$T$46,6,FALSE)/2*$C49/78,0)</f>
        <v>28160.070165598299</v>
      </c>
      <c r="X49" s="265">
        <f t="shared" si="8"/>
        <v>3331834.9087778269</v>
      </c>
      <c r="Y49" s="265">
        <v>6664</v>
      </c>
      <c r="Z49" s="265">
        <v>1</v>
      </c>
      <c r="AA49" s="4">
        <v>466196.25405060826</v>
      </c>
      <c r="AB49" s="4">
        <v>1018</v>
      </c>
      <c r="AC49" s="265">
        <v>13895</v>
      </c>
      <c r="AD49" s="265">
        <v>2159.7367919130265</v>
      </c>
      <c r="AE49" s="265">
        <v>85</v>
      </c>
      <c r="AF49" s="265">
        <v>23</v>
      </c>
      <c r="AG49" s="4">
        <v>210276</v>
      </c>
      <c r="AH49" s="4">
        <v>249</v>
      </c>
      <c r="AI49" s="28">
        <f>Economic!H51</f>
        <v>789531.6</v>
      </c>
      <c r="AJ49" s="28">
        <f>Economic!I51</f>
        <v>608429.30000000005</v>
      </c>
      <c r="AK49" s="28">
        <f>Economic!J51</f>
        <v>57334.6</v>
      </c>
      <c r="AL49" s="28">
        <f>Economic!K51</f>
        <v>799632</v>
      </c>
      <c r="AM49" s="28">
        <f>Economic!L51</f>
        <v>617505</v>
      </c>
      <c r="AN49" s="28">
        <f>Economic!M51</f>
        <v>31552</v>
      </c>
      <c r="AO49" s="28">
        <f>Economic!D51</f>
        <v>7300.1</v>
      </c>
      <c r="AP49" s="28">
        <f>Economic!E51</f>
        <v>7310.7</v>
      </c>
      <c r="AQ49" s="28">
        <f>Economic!F51</f>
        <v>214.3</v>
      </c>
      <c r="AR49" s="28">
        <f>Economic!G51</f>
        <v>212.8</v>
      </c>
      <c r="AS49" s="28">
        <f>Economic!N51</f>
        <v>100.60000000000036</v>
      </c>
      <c r="AT49" s="28">
        <f>Economic!O51</f>
        <v>103.89999999999964</v>
      </c>
      <c r="AU49" s="28">
        <f>Economic!P51</f>
        <v>6.3000000000000114</v>
      </c>
      <c r="AV49" s="28">
        <f>Economic!Q51</f>
        <v>5.7000000000000171</v>
      </c>
      <c r="AW49" s="28">
        <f>Economic!R51</f>
        <v>25066.79999999993</v>
      </c>
      <c r="AX49" s="28">
        <f>Economic!S51</f>
        <v>5492</v>
      </c>
      <c r="AY49" s="7">
        <f>Weather!D49</f>
        <v>-0.86827956989247324</v>
      </c>
      <c r="AZ49" s="7">
        <f>Weather!E49</f>
        <v>646.91666666666663</v>
      </c>
      <c r="BA49" s="7">
        <f>Weather!F49</f>
        <v>0</v>
      </c>
      <c r="BB49" s="7">
        <f>Weather!G49</f>
        <v>584.91666666666663</v>
      </c>
      <c r="BC49" s="7">
        <f>Weather!H49</f>
        <v>0</v>
      </c>
      <c r="BD49" s="7">
        <f>Weather!I49</f>
        <v>522.91666666666663</v>
      </c>
      <c r="BE49" s="7">
        <f>Weather!J49</f>
        <v>0</v>
      </c>
      <c r="BF49" s="7">
        <f>Weather!K49</f>
        <v>460.91666666666657</v>
      </c>
      <c r="BG49" s="7">
        <f>Weather!L49</f>
        <v>0</v>
      </c>
      <c r="BH49" s="7">
        <f>Weather!M49</f>
        <v>398.91666666666657</v>
      </c>
      <c r="BI49" s="7">
        <f>Weather!N49</f>
        <v>0</v>
      </c>
      <c r="BJ49" s="7">
        <f>Weather!O49</f>
        <v>336.91666666666657</v>
      </c>
      <c r="BK49" s="7">
        <f>Weather!P49</f>
        <v>0</v>
      </c>
      <c r="BL49" s="7">
        <f>Weather!Q49</f>
        <v>274.91666666666663</v>
      </c>
      <c r="BM49" s="7">
        <f>Weather!R49</f>
        <v>0</v>
      </c>
      <c r="BN49" s="1">
        <v>0</v>
      </c>
      <c r="BO49" s="1">
        <v>0</v>
      </c>
      <c r="BP49" s="1">
        <v>0</v>
      </c>
      <c r="BQ49" s="1">
        <v>0</v>
      </c>
      <c r="BR49" s="1">
        <v>0</v>
      </c>
      <c r="BS49" s="1">
        <v>0</v>
      </c>
      <c r="BT49" s="1">
        <v>0</v>
      </c>
      <c r="BU49" s="1">
        <v>0</v>
      </c>
      <c r="BV49" s="1">
        <v>0</v>
      </c>
      <c r="BW49" s="1">
        <v>0</v>
      </c>
      <c r="BX49" s="1">
        <v>0</v>
      </c>
      <c r="BY49" s="1">
        <v>1</v>
      </c>
      <c r="BZ49" s="1">
        <v>0</v>
      </c>
      <c r="CA49" s="1">
        <v>0</v>
      </c>
      <c r="CB49" s="1">
        <v>0</v>
      </c>
      <c r="CC49" s="1">
        <f t="shared" si="9"/>
        <v>48</v>
      </c>
      <c r="CD49" s="1">
        <v>31</v>
      </c>
      <c r="CE49" s="1">
        <v>19</v>
      </c>
      <c r="CF49" s="1">
        <v>0</v>
      </c>
      <c r="CG49" s="1">
        <v>0</v>
      </c>
      <c r="CH49" s="1">
        <v>0</v>
      </c>
      <c r="CI49" s="1">
        <v>0</v>
      </c>
      <c r="CJ49" s="1">
        <f t="shared" si="12"/>
        <v>0</v>
      </c>
      <c r="CK49" s="1">
        <f t="shared" si="12"/>
        <v>0</v>
      </c>
      <c r="CL49" s="1">
        <f t="shared" si="12"/>
        <v>0</v>
      </c>
      <c r="CM49" s="1">
        <f t="shared" si="12"/>
        <v>0</v>
      </c>
      <c r="CN49" s="1">
        <f t="shared" si="12"/>
        <v>0</v>
      </c>
      <c r="CO49" s="1">
        <f t="shared" si="14"/>
        <v>0</v>
      </c>
      <c r="CP49" s="1">
        <f t="shared" si="14"/>
        <v>0</v>
      </c>
      <c r="CQ49" s="1">
        <f t="shared" si="14"/>
        <v>0</v>
      </c>
      <c r="CR49" s="1">
        <f t="shared" si="14"/>
        <v>0</v>
      </c>
      <c r="CS49" s="1">
        <f t="shared" si="14"/>
        <v>0</v>
      </c>
      <c r="CT49" s="1">
        <f t="shared" si="14"/>
        <v>0</v>
      </c>
      <c r="CU49" s="1">
        <f t="shared" si="14"/>
        <v>0</v>
      </c>
      <c r="CV49" s="1">
        <f t="shared" si="14"/>
        <v>0</v>
      </c>
      <c r="CW49" s="1">
        <f t="shared" si="14"/>
        <v>0</v>
      </c>
      <c r="CX49" s="1">
        <f t="shared" si="13"/>
        <v>0</v>
      </c>
      <c r="CY49" s="1">
        <f t="shared" si="13"/>
        <v>0</v>
      </c>
      <c r="CZ49" s="1">
        <f t="shared" si="13"/>
        <v>0</v>
      </c>
      <c r="DA49" s="1">
        <f t="shared" si="13"/>
        <v>0</v>
      </c>
      <c r="DB49" s="1">
        <f t="shared" si="13"/>
        <v>0</v>
      </c>
      <c r="DC49" s="1">
        <f t="shared" si="15"/>
        <v>0</v>
      </c>
      <c r="DD49" s="1">
        <f t="shared" si="15"/>
        <v>0</v>
      </c>
      <c r="DE49" s="1">
        <f t="shared" si="15"/>
        <v>0</v>
      </c>
      <c r="DF49" s="1">
        <f t="shared" si="15"/>
        <v>0</v>
      </c>
      <c r="DG49" s="1">
        <f t="shared" si="15"/>
        <v>0</v>
      </c>
      <c r="DH49" s="1">
        <f t="shared" si="15"/>
        <v>0</v>
      </c>
      <c r="DI49" s="1">
        <f t="shared" si="15"/>
        <v>0</v>
      </c>
      <c r="DJ49" s="1">
        <f t="shared" si="15"/>
        <v>0</v>
      </c>
      <c r="DK49" s="1">
        <f t="shared" si="15"/>
        <v>0</v>
      </c>
      <c r="DL49" s="25"/>
      <c r="DM49" s="25"/>
      <c r="DN49" s="24"/>
      <c r="DO49" s="25"/>
      <c r="DP49" s="25"/>
      <c r="DQ49" s="25"/>
      <c r="DR49" s="25"/>
      <c r="DS49" s="25"/>
      <c r="DT49" s="25"/>
      <c r="DU49" s="25"/>
      <c r="DV49" s="25"/>
    </row>
    <row r="50" spans="1:126" x14ac:dyDescent="0.25">
      <c r="A50" s="261">
        <v>43466</v>
      </c>
      <c r="B50" s="262">
        <f t="shared" si="0"/>
        <v>2019</v>
      </c>
      <c r="C50" s="262">
        <f t="shared" si="1"/>
        <v>1</v>
      </c>
      <c r="D50" s="263">
        <v>47406215.02522663</v>
      </c>
      <c r="E50" s="263">
        <f>IFERROR(VLOOKUP($B50-1,CDM!$L$7:$T$18,2,FALSE)/12,0)+IFERROR(VLOOKUP($B50,CDM!$L$36:$T$46,2,FALSE)/24,0)+IFERROR(VLOOKUP($B50,CDM!$L$36:$T$46,2,FALSE)/2*$C50/78,0)</f>
        <v>2380330.5718476269</v>
      </c>
      <c r="F50" s="263">
        <f t="shared" si="2"/>
        <v>49786545.597074255</v>
      </c>
      <c r="G50" s="264">
        <v>54222</v>
      </c>
      <c r="H50" s="263">
        <v>11880569.836559178</v>
      </c>
      <c r="I50" s="263">
        <f>IFERROR(VLOOKUP($B50-1,CDM!$L$7:$T$18,3,FALSE)/12,0)+IFERROR(VLOOKUP($B50,CDM!$L$36:$T$46,3,FALSE)/24,0)+IFERROR(VLOOKUP($B50,CDM!$L$36:$T$46,3,FALSE)/2*$C50/78,0)</f>
        <v>546449.5211962685</v>
      </c>
      <c r="J50" s="263">
        <f t="shared" si="6"/>
        <v>12427019.357755447</v>
      </c>
      <c r="K50" s="265">
        <v>4216</v>
      </c>
      <c r="L50" s="4">
        <v>33962270.109880403</v>
      </c>
      <c r="M50" s="266">
        <f>IFERROR(VLOOKUP($B50-1,CDM!$L$7:$T$18,4,FALSE)/12,0)+IFERROR(VLOOKUP($B50,CDM!$L$36:$T$46,4,FALSE)/24,0)+IFERROR(VLOOKUP($B50,CDM!$L$36:$T$46,4,FALSE)/2*$C50/78,0)</f>
        <v>630519.47361883929</v>
      </c>
      <c r="N50" s="263">
        <f t="shared" si="3"/>
        <v>34592789.583499245</v>
      </c>
      <c r="O50" s="4">
        <v>78759</v>
      </c>
      <c r="P50" s="265">
        <v>520</v>
      </c>
      <c r="Q50" s="265">
        <v>6507277.4201095467</v>
      </c>
      <c r="R50" s="265">
        <f>IFERROR(VLOOKUP($B50-1,CDM!$L$7:$T$18,5,FALSE)/12,0)+IFERROR(VLOOKUP($B50,CDM!$L$36:$T$46,5,FALSE)/24,0)+IFERROR(VLOOKUP($B50,CDM!$L$36:$T$46,5,FALSE)/2*$C50/78,0)</f>
        <v>855588.83486887359</v>
      </c>
      <c r="S50" s="265">
        <f t="shared" si="7"/>
        <v>7362866.2549784202</v>
      </c>
      <c r="T50" s="265">
        <v>15255</v>
      </c>
      <c r="U50" s="265">
        <v>14</v>
      </c>
      <c r="V50" s="265">
        <v>3372037.1290001231</v>
      </c>
      <c r="W50" s="265">
        <f>IFERROR(VLOOKUP($B50-1,CDM!$L$7:$T$18,6,FALSE)/12,0)+IFERROR(VLOOKUP($B50,CDM!$L$36:$T$46,6,FALSE)/24,0)+IFERROR(VLOOKUP($B50,CDM!$L$36:$T$46,6,FALSE)/2*$C50/78,0)</f>
        <v>23232.271741452994</v>
      </c>
      <c r="X50" s="265">
        <f t="shared" si="8"/>
        <v>3395269.4007415762</v>
      </c>
      <c r="Y50" s="265">
        <v>6426</v>
      </c>
      <c r="Z50" s="265">
        <v>1</v>
      </c>
      <c r="AA50" s="4">
        <v>462697.48187284026</v>
      </c>
      <c r="AB50" s="4">
        <v>1018</v>
      </c>
      <c r="AC50" s="265">
        <v>13895</v>
      </c>
      <c r="AD50" s="265">
        <v>2200.2479496471492</v>
      </c>
      <c r="AE50" s="265">
        <v>0</v>
      </c>
      <c r="AF50" s="265">
        <v>19</v>
      </c>
      <c r="AG50" s="4">
        <v>210484</v>
      </c>
      <c r="AH50" s="4">
        <v>246</v>
      </c>
      <c r="AI50" s="28">
        <f>Economic!H52</f>
        <v>807274.5</v>
      </c>
      <c r="AJ50" s="28">
        <f>Economic!I52</f>
        <v>626103.1</v>
      </c>
      <c r="AK50" s="28">
        <f>Economic!J52</f>
        <v>59751.3</v>
      </c>
      <c r="AL50" s="28">
        <f>Economic!K52</f>
        <v>800724</v>
      </c>
      <c r="AM50" s="28">
        <f>Economic!L52</f>
        <v>619045</v>
      </c>
      <c r="AN50" s="28">
        <f>Economic!M52</f>
        <v>31743</v>
      </c>
      <c r="AO50" s="28">
        <f>Economic!D52</f>
        <v>7318</v>
      </c>
      <c r="AP50" s="28">
        <f>Economic!E52</f>
        <v>7289.4</v>
      </c>
      <c r="AQ50" s="28">
        <f>Economic!F52</f>
        <v>217.1</v>
      </c>
      <c r="AR50" s="28">
        <f>Economic!G52</f>
        <v>215</v>
      </c>
      <c r="AS50" s="28">
        <f>Economic!N52</f>
        <v>118.60000000000036</v>
      </c>
      <c r="AT50" s="28">
        <f>Economic!O52</f>
        <v>122.09999999999945</v>
      </c>
      <c r="AU50" s="28">
        <f>Economic!P52</f>
        <v>10.199999999999989</v>
      </c>
      <c r="AV50" s="28">
        <f>Economic!Q52</f>
        <v>9.5999999999999943</v>
      </c>
      <c r="AW50" s="28">
        <f>Economic!R52</f>
        <v>17742.900000000023</v>
      </c>
      <c r="AX50" s="28">
        <f>Economic!S52</f>
        <v>1092</v>
      </c>
      <c r="AY50" s="7">
        <f>Weather!D50</f>
        <v>-7.1591397849462366</v>
      </c>
      <c r="AZ50" s="7">
        <f>Weather!E50</f>
        <v>841.93333333333351</v>
      </c>
      <c r="BA50" s="7">
        <f>Weather!F50</f>
        <v>0</v>
      </c>
      <c r="BB50" s="7">
        <f>Weather!G50</f>
        <v>779.93333333333351</v>
      </c>
      <c r="BC50" s="7">
        <f>Weather!H50</f>
        <v>0</v>
      </c>
      <c r="BD50" s="7">
        <f>Weather!I50</f>
        <v>717.93333333333339</v>
      </c>
      <c r="BE50" s="7">
        <f>Weather!J50</f>
        <v>0</v>
      </c>
      <c r="BF50" s="7">
        <f>Weather!K50</f>
        <v>655.93333333333339</v>
      </c>
      <c r="BG50" s="7">
        <f>Weather!L50</f>
        <v>0</v>
      </c>
      <c r="BH50" s="7">
        <f>Weather!M50</f>
        <v>593.93333333333339</v>
      </c>
      <c r="BI50" s="7">
        <f>Weather!N50</f>
        <v>0</v>
      </c>
      <c r="BJ50" s="7">
        <f>Weather!O50</f>
        <v>531.93333333333328</v>
      </c>
      <c r="BK50" s="7">
        <f>Weather!P50</f>
        <v>0</v>
      </c>
      <c r="BL50" s="7">
        <f>Weather!Q50</f>
        <v>469.93333333333328</v>
      </c>
      <c r="BM50" s="7">
        <f>Weather!R50</f>
        <v>0</v>
      </c>
      <c r="BN50" s="1">
        <v>1</v>
      </c>
      <c r="BO50" s="1">
        <v>0</v>
      </c>
      <c r="BP50" s="1">
        <v>0</v>
      </c>
      <c r="BQ50" s="1">
        <v>0</v>
      </c>
      <c r="BR50" s="1">
        <v>0</v>
      </c>
      <c r="BS50" s="1">
        <v>0</v>
      </c>
      <c r="BT50" s="1">
        <v>0</v>
      </c>
      <c r="BU50" s="1">
        <v>0</v>
      </c>
      <c r="BV50" s="1">
        <v>0</v>
      </c>
      <c r="BW50" s="1">
        <v>0</v>
      </c>
      <c r="BX50" s="1">
        <v>0</v>
      </c>
      <c r="BY50" s="1">
        <v>0</v>
      </c>
      <c r="BZ50" s="1">
        <f>BZ38</f>
        <v>0</v>
      </c>
      <c r="CA50" s="1">
        <f>CA38</f>
        <v>0</v>
      </c>
      <c r="CB50" s="1">
        <f>CB38</f>
        <v>0</v>
      </c>
      <c r="CC50" s="1">
        <f t="shared" si="9"/>
        <v>49</v>
      </c>
      <c r="CD50" s="1">
        <f>CD2</f>
        <v>31</v>
      </c>
      <c r="CE50" s="1">
        <v>22</v>
      </c>
      <c r="CF50" s="1">
        <v>0</v>
      </c>
      <c r="CG50" s="1">
        <v>0</v>
      </c>
      <c r="CH50" s="1">
        <v>0</v>
      </c>
      <c r="CI50" s="1">
        <v>0</v>
      </c>
      <c r="CJ50" s="1">
        <f t="shared" si="12"/>
        <v>0</v>
      </c>
      <c r="CK50" s="1">
        <f t="shared" si="12"/>
        <v>0</v>
      </c>
      <c r="CL50" s="1">
        <f t="shared" si="12"/>
        <v>0</v>
      </c>
      <c r="CM50" s="1">
        <f t="shared" si="12"/>
        <v>0</v>
      </c>
      <c r="CN50" s="1">
        <f t="shared" si="12"/>
        <v>0</v>
      </c>
      <c r="CO50" s="1">
        <f t="shared" si="14"/>
        <v>0</v>
      </c>
      <c r="CP50" s="1">
        <f t="shared" si="14"/>
        <v>0</v>
      </c>
      <c r="CQ50" s="1">
        <f t="shared" si="14"/>
        <v>0</v>
      </c>
      <c r="CR50" s="1">
        <f t="shared" si="14"/>
        <v>0</v>
      </c>
      <c r="CS50" s="1">
        <f t="shared" si="14"/>
        <v>0</v>
      </c>
      <c r="CT50" s="1">
        <f t="shared" si="14"/>
        <v>0</v>
      </c>
      <c r="CU50" s="1">
        <f t="shared" si="14"/>
        <v>0</v>
      </c>
      <c r="CV50" s="1">
        <f t="shared" si="14"/>
        <v>0</v>
      </c>
      <c r="CW50" s="1">
        <f t="shared" si="14"/>
        <v>0</v>
      </c>
      <c r="CX50" s="1">
        <f t="shared" si="13"/>
        <v>0</v>
      </c>
      <c r="CY50" s="1">
        <f t="shared" si="13"/>
        <v>0</v>
      </c>
      <c r="CZ50" s="1">
        <f t="shared" si="13"/>
        <v>0</v>
      </c>
      <c r="DA50" s="1">
        <f t="shared" si="13"/>
        <v>0</v>
      </c>
      <c r="DB50" s="1">
        <f t="shared" si="13"/>
        <v>0</v>
      </c>
      <c r="DC50" s="1">
        <f t="shared" si="15"/>
        <v>0</v>
      </c>
      <c r="DD50" s="1">
        <f t="shared" si="15"/>
        <v>0</v>
      </c>
      <c r="DE50" s="1">
        <f t="shared" si="15"/>
        <v>0</v>
      </c>
      <c r="DF50" s="1">
        <f t="shared" si="15"/>
        <v>0</v>
      </c>
      <c r="DG50" s="1">
        <f t="shared" si="15"/>
        <v>0</v>
      </c>
      <c r="DH50" s="1">
        <f t="shared" si="15"/>
        <v>0</v>
      </c>
      <c r="DI50" s="1">
        <f t="shared" si="15"/>
        <v>0</v>
      </c>
      <c r="DJ50" s="1">
        <f t="shared" si="15"/>
        <v>0</v>
      </c>
      <c r="DK50" s="1">
        <f t="shared" si="15"/>
        <v>0</v>
      </c>
      <c r="DL50" s="25"/>
      <c r="DM50" s="25"/>
      <c r="DN50" s="24"/>
      <c r="DO50" s="25"/>
      <c r="DP50" s="25"/>
      <c r="DQ50" s="25"/>
      <c r="DR50" s="25"/>
      <c r="DS50" s="25"/>
      <c r="DT50" s="25"/>
      <c r="DU50" s="25"/>
      <c r="DV50" s="25"/>
    </row>
    <row r="51" spans="1:126" x14ac:dyDescent="0.25">
      <c r="A51" s="261">
        <v>43497</v>
      </c>
      <c r="B51" s="262">
        <f t="shared" si="0"/>
        <v>2019</v>
      </c>
      <c r="C51" s="262">
        <f t="shared" si="1"/>
        <v>2</v>
      </c>
      <c r="D51" s="263">
        <v>44572482.950340904</v>
      </c>
      <c r="E51" s="263">
        <f>IFERROR(VLOOKUP($B51-1,CDM!$L$7:$T$18,2,FALSE)/12,0)+IFERROR(VLOOKUP($B51,CDM!$L$36:$T$46,2,FALSE)/24,0)+IFERROR(VLOOKUP($B51,CDM!$L$36:$T$46,2,FALSE)/2*$C51/78,0)</f>
        <v>2390455.1496935133</v>
      </c>
      <c r="F51" s="263">
        <f t="shared" si="2"/>
        <v>46962938.100034416</v>
      </c>
      <c r="G51" s="264">
        <v>54249</v>
      </c>
      <c r="H51" s="263">
        <v>10269721.470326371</v>
      </c>
      <c r="I51" s="263">
        <f>IFERROR(VLOOKUP($B51-1,CDM!$L$7:$T$18,3,FALSE)/12,0)+IFERROR(VLOOKUP($B51,CDM!$L$36:$T$46,3,FALSE)/24,0)+IFERROR(VLOOKUP($B51,CDM!$L$36:$T$46,3,FALSE)/2*$C51/78,0)</f>
        <v>548212.54367259843</v>
      </c>
      <c r="J51" s="263">
        <f t="shared" si="6"/>
        <v>10817934.01399897</v>
      </c>
      <c r="K51" s="265">
        <v>4209</v>
      </c>
      <c r="L51" s="4">
        <v>29467933.777831599</v>
      </c>
      <c r="M51" s="266">
        <f>IFERROR(VLOOKUP($B51-1,CDM!$L$7:$T$18,4,FALSE)/12,0)+IFERROR(VLOOKUP($B51,CDM!$L$36:$T$46,4,FALSE)/24,0)+IFERROR(VLOOKUP($B51,CDM!$L$36:$T$46,4,FALSE)/2*$C51/78,0)</f>
        <v>634298.80408279155</v>
      </c>
      <c r="N51" s="263">
        <f t="shared" si="3"/>
        <v>30102232.581914391</v>
      </c>
      <c r="O51" s="4">
        <v>73286</v>
      </c>
      <c r="P51" s="265">
        <v>522</v>
      </c>
      <c r="Q51" s="265">
        <v>5844706.2231507879</v>
      </c>
      <c r="R51" s="265">
        <f>IFERROR(VLOOKUP($B51-1,CDM!$L$7:$T$18,5,FALSE)/12,0)+IFERROR(VLOOKUP($B51,CDM!$L$36:$T$46,5,FALSE)/24,0)+IFERROR(VLOOKUP($B51,CDM!$L$36:$T$46,5,FALSE)/2*$C51/78,0)</f>
        <v>855588.83486887359</v>
      </c>
      <c r="S51" s="265">
        <f t="shared" si="7"/>
        <v>6700295.0580196613</v>
      </c>
      <c r="T51" s="265">
        <v>14867</v>
      </c>
      <c r="U51" s="265">
        <v>14</v>
      </c>
      <c r="V51" s="265">
        <v>2864073.6348337554</v>
      </c>
      <c r="W51" s="265">
        <f>IFERROR(VLOOKUP($B51-1,CDM!$L$7:$T$18,6,FALSE)/12,0)+IFERROR(VLOOKUP($B51,CDM!$L$36:$T$46,6,FALSE)/24,0)+IFERROR(VLOOKUP($B51,CDM!$L$36:$T$46,6,FALSE)/2*$C51/78,0)</f>
        <v>23230.862232905984</v>
      </c>
      <c r="X51" s="265">
        <f t="shared" si="8"/>
        <v>2887304.4970666612</v>
      </c>
      <c r="Y51" s="265">
        <v>7648</v>
      </c>
      <c r="Z51" s="265">
        <v>1</v>
      </c>
      <c r="AA51" s="4">
        <v>382526.50938625319</v>
      </c>
      <c r="AB51" s="4">
        <v>1018</v>
      </c>
      <c r="AC51" s="265">
        <v>13895</v>
      </c>
      <c r="AD51" s="265">
        <v>2043.1813847034146</v>
      </c>
      <c r="AE51" s="265">
        <v>0</v>
      </c>
      <c r="AF51" s="265">
        <v>19</v>
      </c>
      <c r="AG51" s="4">
        <v>211680</v>
      </c>
      <c r="AH51" s="4">
        <v>246</v>
      </c>
      <c r="AI51" s="28">
        <f>Economic!H53</f>
        <v>807274.5</v>
      </c>
      <c r="AJ51" s="28">
        <f>Economic!I53</f>
        <v>626103.1</v>
      </c>
      <c r="AK51" s="28">
        <f>Economic!J53</f>
        <v>59751.3</v>
      </c>
      <c r="AL51" s="28">
        <f>Economic!K53</f>
        <v>800724</v>
      </c>
      <c r="AM51" s="28">
        <f>Economic!L53</f>
        <v>619045</v>
      </c>
      <c r="AN51" s="28">
        <f>Economic!M53</f>
        <v>31743</v>
      </c>
      <c r="AO51" s="28">
        <f>Economic!D53</f>
        <v>7345.4</v>
      </c>
      <c r="AP51" s="28">
        <f>Economic!E53</f>
        <v>7278.4</v>
      </c>
      <c r="AQ51" s="28">
        <f>Economic!F53</f>
        <v>219.1</v>
      </c>
      <c r="AR51" s="28">
        <f>Economic!G53</f>
        <v>217</v>
      </c>
      <c r="AS51" s="28">
        <f>Economic!N53</f>
        <v>156.5</v>
      </c>
      <c r="AT51" s="28">
        <f>Economic!O53</f>
        <v>158.29999999999927</v>
      </c>
      <c r="AU51" s="28">
        <f>Economic!P53</f>
        <v>11.699999999999989</v>
      </c>
      <c r="AV51" s="28">
        <f>Economic!Q53</f>
        <v>11.400000000000006</v>
      </c>
      <c r="AW51" s="28">
        <f>Economic!R53</f>
        <v>17742.900000000023</v>
      </c>
      <c r="AX51" s="28">
        <f>Economic!S53</f>
        <v>1092</v>
      </c>
      <c r="AY51" s="7">
        <f>Weather!D51</f>
        <v>-4.8322916666666682</v>
      </c>
      <c r="AZ51" s="7">
        <f>Weather!E51</f>
        <v>695.30416666666645</v>
      </c>
      <c r="BA51" s="7">
        <f>Weather!F51</f>
        <v>0</v>
      </c>
      <c r="BB51" s="7">
        <f>Weather!G51</f>
        <v>639.30416666666645</v>
      </c>
      <c r="BC51" s="7">
        <f>Weather!H51</f>
        <v>0</v>
      </c>
      <c r="BD51" s="7">
        <f>Weather!I51</f>
        <v>583.30416666666656</v>
      </c>
      <c r="BE51" s="7">
        <f>Weather!J51</f>
        <v>0</v>
      </c>
      <c r="BF51" s="7">
        <f>Weather!K51</f>
        <v>527.30416666666656</v>
      </c>
      <c r="BG51" s="7">
        <f>Weather!L51</f>
        <v>0</v>
      </c>
      <c r="BH51" s="7">
        <f>Weather!M51</f>
        <v>471.30416666666662</v>
      </c>
      <c r="BI51" s="7">
        <f>Weather!N51</f>
        <v>0</v>
      </c>
      <c r="BJ51" s="7">
        <f>Weather!O51</f>
        <v>415.30416666666656</v>
      </c>
      <c r="BK51" s="7">
        <f>Weather!P51</f>
        <v>0</v>
      </c>
      <c r="BL51" s="7">
        <f>Weather!Q51</f>
        <v>359.30416666666662</v>
      </c>
      <c r="BM51" s="7">
        <f>Weather!R51</f>
        <v>0</v>
      </c>
      <c r="BN51" s="1">
        <v>0</v>
      </c>
      <c r="BO51" s="1">
        <v>1</v>
      </c>
      <c r="BP51" s="1">
        <v>0</v>
      </c>
      <c r="BQ51" s="1">
        <v>0</v>
      </c>
      <c r="BR51" s="1">
        <v>0</v>
      </c>
      <c r="BS51" s="1">
        <v>0</v>
      </c>
      <c r="BT51" s="1">
        <v>0</v>
      </c>
      <c r="BU51" s="1">
        <v>0</v>
      </c>
      <c r="BV51" s="1">
        <v>0</v>
      </c>
      <c r="BW51" s="1">
        <v>0</v>
      </c>
      <c r="BX51" s="1">
        <v>0</v>
      </c>
      <c r="BY51" s="1">
        <v>0</v>
      </c>
      <c r="BZ51" s="1">
        <f t="shared" ref="BZ51:CB66" si="16">BZ39</f>
        <v>0</v>
      </c>
      <c r="CA51" s="1">
        <f t="shared" si="16"/>
        <v>0</v>
      </c>
      <c r="CB51" s="1">
        <f t="shared" si="16"/>
        <v>0</v>
      </c>
      <c r="CC51" s="1">
        <f t="shared" si="9"/>
        <v>50</v>
      </c>
      <c r="CD51" s="1">
        <f t="shared" ref="CD51:CD114" si="17">CD3</f>
        <v>28</v>
      </c>
      <c r="CE51" s="1">
        <v>19</v>
      </c>
      <c r="CF51" s="1">
        <v>0</v>
      </c>
      <c r="CG51" s="1">
        <v>0</v>
      </c>
      <c r="CH51" s="1">
        <v>0</v>
      </c>
      <c r="CI51" s="1">
        <v>0</v>
      </c>
      <c r="CJ51" s="1">
        <f t="shared" si="12"/>
        <v>0</v>
      </c>
      <c r="CK51" s="1">
        <f t="shared" si="12"/>
        <v>0</v>
      </c>
      <c r="CL51" s="1">
        <f t="shared" si="12"/>
        <v>0</v>
      </c>
      <c r="CM51" s="1">
        <f t="shared" si="12"/>
        <v>0</v>
      </c>
      <c r="CN51" s="1">
        <f t="shared" si="12"/>
        <v>0</v>
      </c>
      <c r="CO51" s="1">
        <f t="shared" si="14"/>
        <v>0</v>
      </c>
      <c r="CP51" s="1">
        <f t="shared" si="14"/>
        <v>0</v>
      </c>
      <c r="CQ51" s="1">
        <f t="shared" si="14"/>
        <v>0</v>
      </c>
      <c r="CR51" s="1">
        <f t="shared" si="14"/>
        <v>0</v>
      </c>
      <c r="CS51" s="1">
        <f t="shared" si="14"/>
        <v>0</v>
      </c>
      <c r="CT51" s="1">
        <f t="shared" si="14"/>
        <v>0</v>
      </c>
      <c r="CU51" s="1">
        <f t="shared" si="14"/>
        <v>0</v>
      </c>
      <c r="CV51" s="1">
        <f t="shared" si="14"/>
        <v>0</v>
      </c>
      <c r="CW51" s="1">
        <f t="shared" si="14"/>
        <v>0</v>
      </c>
      <c r="CX51" s="1">
        <f t="shared" si="13"/>
        <v>0</v>
      </c>
      <c r="CY51" s="1">
        <f t="shared" si="13"/>
        <v>0</v>
      </c>
      <c r="CZ51" s="1">
        <f t="shared" si="13"/>
        <v>0</v>
      </c>
      <c r="DA51" s="1">
        <f t="shared" si="13"/>
        <v>0</v>
      </c>
      <c r="DB51" s="1">
        <f t="shared" si="13"/>
        <v>0</v>
      </c>
      <c r="DC51" s="1">
        <f t="shared" si="15"/>
        <v>0</v>
      </c>
      <c r="DD51" s="1">
        <f t="shared" si="15"/>
        <v>0</v>
      </c>
      <c r="DE51" s="1">
        <f t="shared" si="15"/>
        <v>0</v>
      </c>
      <c r="DF51" s="1">
        <f t="shared" si="15"/>
        <v>0</v>
      </c>
      <c r="DG51" s="1">
        <f t="shared" si="15"/>
        <v>0</v>
      </c>
      <c r="DH51" s="1">
        <f t="shared" si="15"/>
        <v>0</v>
      </c>
      <c r="DI51" s="1">
        <f t="shared" si="15"/>
        <v>0</v>
      </c>
      <c r="DJ51" s="1">
        <f t="shared" si="15"/>
        <v>0</v>
      </c>
      <c r="DK51" s="1">
        <f t="shared" si="15"/>
        <v>0</v>
      </c>
      <c r="DL51" s="25"/>
      <c r="DM51" s="25"/>
      <c r="DN51" s="24"/>
      <c r="DO51" s="25"/>
      <c r="DP51" s="25"/>
      <c r="DQ51" s="25"/>
      <c r="DR51" s="25"/>
      <c r="DS51" s="25"/>
      <c r="DT51" s="25"/>
      <c r="DU51" s="25"/>
      <c r="DV51" s="25"/>
    </row>
    <row r="52" spans="1:126" x14ac:dyDescent="0.25">
      <c r="A52" s="261">
        <v>43525</v>
      </c>
      <c r="B52" s="262">
        <f t="shared" si="0"/>
        <v>2019</v>
      </c>
      <c r="C52" s="262">
        <f t="shared" si="1"/>
        <v>3</v>
      </c>
      <c r="D52" s="263">
        <v>38128680.029112987</v>
      </c>
      <c r="E52" s="263">
        <f>IFERROR(VLOOKUP($B52-1,CDM!$L$7:$T$18,2,FALSE)/12,0)+IFERROR(VLOOKUP($B52,CDM!$L$36:$T$46,2,FALSE)/24,0)+IFERROR(VLOOKUP($B52,CDM!$L$36:$T$46,2,FALSE)/2*$C52/78,0)</f>
        <v>2400579.7275393992</v>
      </c>
      <c r="F52" s="263">
        <f t="shared" si="2"/>
        <v>40529259.756652385</v>
      </c>
      <c r="G52" s="264">
        <v>54346</v>
      </c>
      <c r="H52" s="263">
        <v>10628150.658613529</v>
      </c>
      <c r="I52" s="263">
        <f>IFERROR(VLOOKUP($B52-1,CDM!$L$7:$T$18,3,FALSE)/12,0)+IFERROR(VLOOKUP($B52,CDM!$L$36:$T$46,3,FALSE)/24,0)+IFERROR(VLOOKUP($B52,CDM!$L$36:$T$46,3,FALSE)/2*$C52/78,0)</f>
        <v>549975.56614892848</v>
      </c>
      <c r="J52" s="263">
        <f t="shared" si="6"/>
        <v>11178126.224762458</v>
      </c>
      <c r="K52" s="265">
        <v>4202</v>
      </c>
      <c r="L52" s="4">
        <v>30052388.375604767</v>
      </c>
      <c r="M52" s="266">
        <f>IFERROR(VLOOKUP($B52-1,CDM!$L$7:$T$18,4,FALSE)/12,0)+IFERROR(VLOOKUP($B52,CDM!$L$36:$T$46,4,FALSE)/24,0)+IFERROR(VLOOKUP($B52,CDM!$L$36:$T$46,4,FALSE)/2*$C52/78,0)</f>
        <v>638078.13454674394</v>
      </c>
      <c r="N52" s="263">
        <f t="shared" si="3"/>
        <v>30690466.510151513</v>
      </c>
      <c r="O52" s="4">
        <v>69093</v>
      </c>
      <c r="P52" s="265">
        <v>521</v>
      </c>
      <c r="Q52" s="265">
        <v>6344637.4476081757</v>
      </c>
      <c r="R52" s="265">
        <f>IFERROR(VLOOKUP($B52-1,CDM!$L$7:$T$18,5,FALSE)/12,0)+IFERROR(VLOOKUP($B52,CDM!$L$36:$T$46,5,FALSE)/24,0)+IFERROR(VLOOKUP($B52,CDM!$L$36:$T$46,5,FALSE)/2*$C52/78,0)</f>
        <v>855588.83486887359</v>
      </c>
      <c r="S52" s="265">
        <f t="shared" si="7"/>
        <v>7200226.2824770492</v>
      </c>
      <c r="T52" s="265">
        <v>14642</v>
      </c>
      <c r="U52" s="265">
        <v>14</v>
      </c>
      <c r="V52" s="265">
        <v>3271187.2445928664</v>
      </c>
      <c r="W52" s="265">
        <f>IFERROR(VLOOKUP($B52-1,CDM!$L$7:$T$18,6,FALSE)/12,0)+IFERROR(VLOOKUP($B52,CDM!$L$36:$T$46,6,FALSE)/24,0)+IFERROR(VLOOKUP($B52,CDM!$L$36:$T$46,6,FALSE)/2*$C52/78,0)</f>
        <v>23229.452724358976</v>
      </c>
      <c r="X52" s="265">
        <f t="shared" si="8"/>
        <v>3294416.6973172254</v>
      </c>
      <c r="Y52" s="265">
        <v>6827</v>
      </c>
      <c r="Z52" s="265">
        <v>1</v>
      </c>
      <c r="AA52" s="4">
        <v>383105.59658160026</v>
      </c>
      <c r="AB52" s="4">
        <v>1018</v>
      </c>
      <c r="AC52" s="265">
        <v>13895</v>
      </c>
      <c r="AD52" s="265">
        <v>2081.1176807171469</v>
      </c>
      <c r="AE52" s="265">
        <v>0</v>
      </c>
      <c r="AF52" s="265">
        <v>19</v>
      </c>
      <c r="AG52" s="4">
        <v>212935</v>
      </c>
      <c r="AH52" s="4">
        <v>246</v>
      </c>
      <c r="AI52" s="28">
        <f>Economic!H54</f>
        <v>807274.5</v>
      </c>
      <c r="AJ52" s="28">
        <f>Economic!I54</f>
        <v>626103.1</v>
      </c>
      <c r="AK52" s="28">
        <f>Economic!J54</f>
        <v>59751.3</v>
      </c>
      <c r="AL52" s="28">
        <f>Economic!K54</f>
        <v>800724</v>
      </c>
      <c r="AM52" s="28">
        <f>Economic!L54</f>
        <v>619045</v>
      </c>
      <c r="AN52" s="28">
        <f>Economic!M54</f>
        <v>31743</v>
      </c>
      <c r="AO52" s="28">
        <f>Economic!D54</f>
        <v>7361.3</v>
      </c>
      <c r="AP52" s="28">
        <f>Economic!E54</f>
        <v>7256.9</v>
      </c>
      <c r="AQ52" s="28">
        <f>Economic!F54</f>
        <v>221.6</v>
      </c>
      <c r="AR52" s="28">
        <f>Economic!G54</f>
        <v>219.6</v>
      </c>
      <c r="AS52" s="28">
        <f>Economic!N54</f>
        <v>172.5</v>
      </c>
      <c r="AT52" s="28">
        <f>Economic!O54</f>
        <v>172.79999999999927</v>
      </c>
      <c r="AU52" s="28">
        <f>Economic!P54</f>
        <v>11.199999999999989</v>
      </c>
      <c r="AV52" s="28">
        <f>Economic!Q54</f>
        <v>11.299999999999983</v>
      </c>
      <c r="AW52" s="28">
        <f>Economic!R54</f>
        <v>17742.900000000023</v>
      </c>
      <c r="AX52" s="28">
        <f>Economic!S54</f>
        <v>1092</v>
      </c>
      <c r="AY52" s="7">
        <f>Weather!D52</f>
        <v>-1.7244623655913986</v>
      </c>
      <c r="AZ52" s="7">
        <f>Weather!E52</f>
        <v>673.45833333333326</v>
      </c>
      <c r="BA52" s="7">
        <f>Weather!F52</f>
        <v>0</v>
      </c>
      <c r="BB52" s="7">
        <f>Weather!G52</f>
        <v>611.45833333333337</v>
      </c>
      <c r="BC52" s="7">
        <f>Weather!H52</f>
        <v>0</v>
      </c>
      <c r="BD52" s="7">
        <f>Weather!I52</f>
        <v>549.45833333333326</v>
      </c>
      <c r="BE52" s="7">
        <f>Weather!J52</f>
        <v>0</v>
      </c>
      <c r="BF52" s="7">
        <f>Weather!K52</f>
        <v>487.45833333333331</v>
      </c>
      <c r="BG52" s="7">
        <f>Weather!L52</f>
        <v>0</v>
      </c>
      <c r="BH52" s="7">
        <f>Weather!M52</f>
        <v>425.45833333333326</v>
      </c>
      <c r="BI52" s="7">
        <f>Weather!N52</f>
        <v>0</v>
      </c>
      <c r="BJ52" s="7">
        <f>Weather!O52</f>
        <v>363.45833333333326</v>
      </c>
      <c r="BK52" s="7">
        <f>Weather!P52</f>
        <v>0</v>
      </c>
      <c r="BL52" s="7">
        <f>Weather!Q52</f>
        <v>301.45833333333326</v>
      </c>
      <c r="BM52" s="7">
        <f>Weather!R52</f>
        <v>0</v>
      </c>
      <c r="BN52" s="1">
        <v>0</v>
      </c>
      <c r="BO52" s="1">
        <v>0</v>
      </c>
      <c r="BP52" s="1">
        <v>1</v>
      </c>
      <c r="BQ52" s="1">
        <v>0</v>
      </c>
      <c r="BR52" s="1">
        <v>0</v>
      </c>
      <c r="BS52" s="1">
        <v>0</v>
      </c>
      <c r="BT52" s="1">
        <v>0</v>
      </c>
      <c r="BU52" s="1">
        <v>0</v>
      </c>
      <c r="BV52" s="1">
        <v>0</v>
      </c>
      <c r="BW52" s="1">
        <v>0</v>
      </c>
      <c r="BX52" s="1">
        <v>0</v>
      </c>
      <c r="BY52" s="1">
        <v>0</v>
      </c>
      <c r="BZ52" s="1">
        <f t="shared" si="16"/>
        <v>1</v>
      </c>
      <c r="CA52" s="1">
        <f t="shared" si="16"/>
        <v>0</v>
      </c>
      <c r="CB52" s="1">
        <f t="shared" si="16"/>
        <v>1</v>
      </c>
      <c r="CC52" s="1">
        <f t="shared" si="9"/>
        <v>51</v>
      </c>
      <c r="CD52" s="1">
        <f t="shared" si="17"/>
        <v>31</v>
      </c>
      <c r="CE52" s="1">
        <v>22</v>
      </c>
      <c r="CF52" s="1">
        <v>0</v>
      </c>
      <c r="CG52" s="1">
        <v>0</v>
      </c>
      <c r="CH52" s="1">
        <v>0</v>
      </c>
      <c r="CI52" s="1">
        <v>0</v>
      </c>
      <c r="CJ52" s="1">
        <f t="shared" si="12"/>
        <v>0</v>
      </c>
      <c r="CK52" s="1">
        <f t="shared" si="12"/>
        <v>0</v>
      </c>
      <c r="CL52" s="1">
        <f t="shared" si="12"/>
        <v>0</v>
      </c>
      <c r="CM52" s="1">
        <f t="shared" si="12"/>
        <v>0</v>
      </c>
      <c r="CN52" s="1">
        <f t="shared" si="12"/>
        <v>0</v>
      </c>
      <c r="CO52" s="1">
        <f t="shared" si="14"/>
        <v>0</v>
      </c>
      <c r="CP52" s="1">
        <f t="shared" si="14"/>
        <v>0</v>
      </c>
      <c r="CQ52" s="1">
        <f t="shared" si="14"/>
        <v>0</v>
      </c>
      <c r="CR52" s="1">
        <f t="shared" si="14"/>
        <v>0</v>
      </c>
      <c r="CS52" s="1">
        <f t="shared" si="14"/>
        <v>0</v>
      </c>
      <c r="CT52" s="1">
        <f t="shared" si="14"/>
        <v>0</v>
      </c>
      <c r="CU52" s="1">
        <f t="shared" si="14"/>
        <v>0</v>
      </c>
      <c r="CV52" s="1">
        <f t="shared" si="14"/>
        <v>0</v>
      </c>
      <c r="CW52" s="1">
        <f t="shared" si="14"/>
        <v>0</v>
      </c>
      <c r="CX52" s="1">
        <f t="shared" si="13"/>
        <v>0</v>
      </c>
      <c r="CY52" s="1">
        <f t="shared" si="13"/>
        <v>0</v>
      </c>
      <c r="CZ52" s="1">
        <f t="shared" si="13"/>
        <v>0</v>
      </c>
      <c r="DA52" s="1">
        <f t="shared" si="13"/>
        <v>0</v>
      </c>
      <c r="DB52" s="1">
        <f t="shared" si="13"/>
        <v>0</v>
      </c>
      <c r="DC52" s="1">
        <f t="shared" si="15"/>
        <v>0</v>
      </c>
      <c r="DD52" s="1">
        <f t="shared" si="15"/>
        <v>0</v>
      </c>
      <c r="DE52" s="1">
        <f t="shared" si="15"/>
        <v>0</v>
      </c>
      <c r="DF52" s="1">
        <f t="shared" si="15"/>
        <v>0</v>
      </c>
      <c r="DG52" s="1">
        <f t="shared" si="15"/>
        <v>0</v>
      </c>
      <c r="DH52" s="1">
        <f t="shared" si="15"/>
        <v>0</v>
      </c>
      <c r="DI52" s="1">
        <f t="shared" si="15"/>
        <v>0</v>
      </c>
      <c r="DJ52" s="1">
        <f t="shared" si="15"/>
        <v>0</v>
      </c>
      <c r="DK52" s="1">
        <f t="shared" si="15"/>
        <v>0</v>
      </c>
      <c r="DL52" s="25"/>
      <c r="DM52" s="25"/>
      <c r="DN52" s="24"/>
      <c r="DO52" s="25"/>
      <c r="DP52" s="25"/>
      <c r="DQ52" s="25"/>
      <c r="DR52" s="25"/>
      <c r="DS52" s="25"/>
      <c r="DT52" s="25"/>
      <c r="DU52" s="25"/>
      <c r="DV52" s="25"/>
    </row>
    <row r="53" spans="1:126" x14ac:dyDescent="0.25">
      <c r="A53" s="261">
        <v>43556</v>
      </c>
      <c r="B53" s="262">
        <f t="shared" si="0"/>
        <v>2019</v>
      </c>
      <c r="C53" s="262">
        <f t="shared" si="1"/>
        <v>4</v>
      </c>
      <c r="D53" s="263">
        <v>35979706.854368143</v>
      </c>
      <c r="E53" s="263">
        <f>IFERROR(VLOOKUP($B53-1,CDM!$L$7:$T$18,2,FALSE)/12,0)+IFERROR(VLOOKUP($B53,CDM!$L$36:$T$46,2,FALSE)/24,0)+IFERROR(VLOOKUP($B53,CDM!$L$36:$T$46,2,FALSE)/2*$C53/78,0)</f>
        <v>2410704.3053852851</v>
      </c>
      <c r="F53" s="263">
        <f t="shared" si="2"/>
        <v>38390411.159753427</v>
      </c>
      <c r="G53" s="264">
        <v>54485</v>
      </c>
      <c r="H53" s="263">
        <v>9053484.4275087919</v>
      </c>
      <c r="I53" s="263">
        <f>IFERROR(VLOOKUP($B53-1,CDM!$L$7:$T$18,3,FALSE)/12,0)+IFERROR(VLOOKUP($B53,CDM!$L$36:$T$46,3,FALSE)/24,0)+IFERROR(VLOOKUP($B53,CDM!$L$36:$T$46,3,FALSE)/2*$C53/78,0)</f>
        <v>551738.58862525842</v>
      </c>
      <c r="J53" s="263">
        <f t="shared" si="6"/>
        <v>9605223.0161340497</v>
      </c>
      <c r="K53" s="265">
        <v>4202</v>
      </c>
      <c r="L53" s="4">
        <v>24936168.984092049</v>
      </c>
      <c r="M53" s="266">
        <f>IFERROR(VLOOKUP($B53-1,CDM!$L$7:$T$18,4,FALSE)/12,0)+IFERROR(VLOOKUP($B53,CDM!$L$36:$T$46,4,FALSE)/24,0)+IFERROR(VLOOKUP($B53,CDM!$L$36:$T$46,4,FALSE)/2*$C53/78,0)</f>
        <v>641857.46501069621</v>
      </c>
      <c r="N53" s="263">
        <f t="shared" si="3"/>
        <v>25578026.449102744</v>
      </c>
      <c r="O53" s="4">
        <v>63332</v>
      </c>
      <c r="P53" s="265">
        <v>522</v>
      </c>
      <c r="Q53" s="265">
        <v>5901540.6079390589</v>
      </c>
      <c r="R53" s="265">
        <f>IFERROR(VLOOKUP($B53-1,CDM!$L$7:$T$18,5,FALSE)/12,0)+IFERROR(VLOOKUP($B53,CDM!$L$36:$T$46,5,FALSE)/24,0)+IFERROR(VLOOKUP($B53,CDM!$L$36:$T$46,5,FALSE)/2*$C53/78,0)</f>
        <v>855588.83486887359</v>
      </c>
      <c r="S53" s="265">
        <f t="shared" si="7"/>
        <v>6757129.4428079324</v>
      </c>
      <c r="T53" s="265">
        <v>14392</v>
      </c>
      <c r="U53" s="265">
        <v>14</v>
      </c>
      <c r="V53" s="265">
        <v>3115930.8448223723</v>
      </c>
      <c r="W53" s="265">
        <f>IFERROR(VLOOKUP($B53-1,CDM!$L$7:$T$18,6,FALSE)/12,0)+IFERROR(VLOOKUP($B53,CDM!$L$36:$T$46,6,FALSE)/24,0)+IFERROR(VLOOKUP($B53,CDM!$L$36:$T$46,6,FALSE)/2*$C53/78,0)</f>
        <v>23228.043215811969</v>
      </c>
      <c r="X53" s="265">
        <f t="shared" si="8"/>
        <v>3139158.8880381845</v>
      </c>
      <c r="Y53" s="265">
        <v>6412</v>
      </c>
      <c r="Z53" s="265">
        <v>1</v>
      </c>
      <c r="AA53" s="4">
        <v>326807.61538016982</v>
      </c>
      <c r="AB53" s="4">
        <v>1018</v>
      </c>
      <c r="AC53" s="265">
        <v>13895</v>
      </c>
      <c r="AD53" s="265">
        <v>2134.3887087545299</v>
      </c>
      <c r="AE53" s="265">
        <v>0</v>
      </c>
      <c r="AF53" s="265">
        <v>19</v>
      </c>
      <c r="AG53" s="4">
        <v>213698</v>
      </c>
      <c r="AH53" s="4">
        <v>246</v>
      </c>
      <c r="AI53" s="28">
        <f>Economic!H55</f>
        <v>807274.5</v>
      </c>
      <c r="AJ53" s="28">
        <f>Economic!I55</f>
        <v>626103.1</v>
      </c>
      <c r="AK53" s="28">
        <f>Economic!J55</f>
        <v>59751.3</v>
      </c>
      <c r="AL53" s="28">
        <f>Economic!K55</f>
        <v>806630</v>
      </c>
      <c r="AM53" s="28">
        <f>Economic!L55</f>
        <v>624723</v>
      </c>
      <c r="AN53" s="28">
        <f>Economic!M55</f>
        <v>32769</v>
      </c>
      <c r="AO53" s="28">
        <f>Economic!D55</f>
        <v>7382.3</v>
      </c>
      <c r="AP53" s="28">
        <f>Economic!E55</f>
        <v>7294</v>
      </c>
      <c r="AQ53" s="28">
        <f>Economic!F55</f>
        <v>220.7</v>
      </c>
      <c r="AR53" s="28">
        <f>Economic!G55</f>
        <v>220.1</v>
      </c>
      <c r="AS53" s="28">
        <f>Economic!N55</f>
        <v>181.19999999999982</v>
      </c>
      <c r="AT53" s="28">
        <f>Economic!O55</f>
        <v>182.39999999999964</v>
      </c>
      <c r="AU53" s="28">
        <f>Economic!P55</f>
        <v>6.1999999999999886</v>
      </c>
      <c r="AV53" s="28">
        <f>Economic!Q55</f>
        <v>6.7999999999999829</v>
      </c>
      <c r="AW53" s="28">
        <f>Economic!R55</f>
        <v>17742.900000000023</v>
      </c>
      <c r="AX53" s="28">
        <f>Economic!S55</f>
        <v>5906</v>
      </c>
      <c r="AY53" s="7">
        <f>Weather!D53</f>
        <v>5.778194444444444</v>
      </c>
      <c r="AZ53" s="7">
        <f>Weather!E53</f>
        <v>426.6541666666667</v>
      </c>
      <c r="BA53" s="7">
        <f>Weather!F53</f>
        <v>0</v>
      </c>
      <c r="BB53" s="7">
        <f>Weather!G53</f>
        <v>366.65416666666664</v>
      </c>
      <c r="BC53" s="7">
        <f>Weather!H53</f>
        <v>0</v>
      </c>
      <c r="BD53" s="7">
        <f>Weather!I53</f>
        <v>306.65416666666664</v>
      </c>
      <c r="BE53" s="7">
        <f>Weather!J53</f>
        <v>0</v>
      </c>
      <c r="BF53" s="7">
        <f>Weather!K53</f>
        <v>246.6541666666667</v>
      </c>
      <c r="BG53" s="7">
        <f>Weather!L53</f>
        <v>0</v>
      </c>
      <c r="BH53" s="7">
        <f>Weather!M53</f>
        <v>187.50000000000003</v>
      </c>
      <c r="BI53" s="7">
        <f>Weather!N53</f>
        <v>0.84583333333333144</v>
      </c>
      <c r="BJ53" s="7">
        <f>Weather!O53</f>
        <v>129.53333333333336</v>
      </c>
      <c r="BK53" s="7">
        <f>Weather!P53</f>
        <v>2.8791666666666664</v>
      </c>
      <c r="BL53" s="7">
        <f>Weather!Q53</f>
        <v>81.245833333333351</v>
      </c>
      <c r="BM53" s="7">
        <f>Weather!R53</f>
        <v>14.591666666666663</v>
      </c>
      <c r="BN53" s="1">
        <v>0</v>
      </c>
      <c r="BO53" s="1">
        <v>0</v>
      </c>
      <c r="BP53" s="1">
        <v>0</v>
      </c>
      <c r="BQ53" s="1">
        <v>1</v>
      </c>
      <c r="BR53" s="1">
        <v>0</v>
      </c>
      <c r="BS53" s="1">
        <v>0</v>
      </c>
      <c r="BT53" s="1">
        <v>0</v>
      </c>
      <c r="BU53" s="1">
        <v>0</v>
      </c>
      <c r="BV53" s="1">
        <v>0</v>
      </c>
      <c r="BW53" s="1">
        <v>0</v>
      </c>
      <c r="BX53" s="1">
        <v>0</v>
      </c>
      <c r="BY53" s="1">
        <v>0</v>
      </c>
      <c r="BZ53" s="1">
        <f t="shared" si="16"/>
        <v>1</v>
      </c>
      <c r="CA53" s="1">
        <f t="shared" si="16"/>
        <v>0</v>
      </c>
      <c r="CB53" s="1">
        <f t="shared" si="16"/>
        <v>1</v>
      </c>
      <c r="CC53" s="1">
        <f t="shared" si="9"/>
        <v>52</v>
      </c>
      <c r="CD53" s="1">
        <f t="shared" si="17"/>
        <v>30</v>
      </c>
      <c r="CE53" s="1">
        <v>21</v>
      </c>
      <c r="CF53" s="1">
        <v>0</v>
      </c>
      <c r="CG53" s="1">
        <v>0</v>
      </c>
      <c r="CH53" s="1">
        <v>0</v>
      </c>
      <c r="CI53" s="1">
        <v>0</v>
      </c>
      <c r="CJ53" s="1">
        <f t="shared" si="12"/>
        <v>0</v>
      </c>
      <c r="CK53" s="1">
        <f t="shared" si="12"/>
        <v>0</v>
      </c>
      <c r="CL53" s="1">
        <f t="shared" si="12"/>
        <v>0</v>
      </c>
      <c r="CM53" s="1">
        <f t="shared" si="12"/>
        <v>0</v>
      </c>
      <c r="CN53" s="1">
        <f t="shared" si="12"/>
        <v>0</v>
      </c>
      <c r="CO53" s="1">
        <f t="shared" si="14"/>
        <v>0</v>
      </c>
      <c r="CP53" s="1">
        <f t="shared" si="14"/>
        <v>0</v>
      </c>
      <c r="CQ53" s="1">
        <f t="shared" si="14"/>
        <v>0</v>
      </c>
      <c r="CR53" s="1">
        <f t="shared" si="14"/>
        <v>0</v>
      </c>
      <c r="CS53" s="1">
        <f t="shared" si="14"/>
        <v>0</v>
      </c>
      <c r="CT53" s="1">
        <f t="shared" si="14"/>
        <v>0</v>
      </c>
      <c r="CU53" s="1">
        <f t="shared" si="14"/>
        <v>0</v>
      </c>
      <c r="CV53" s="1">
        <f t="shared" si="14"/>
        <v>0</v>
      </c>
      <c r="CW53" s="1">
        <f t="shared" si="14"/>
        <v>0</v>
      </c>
      <c r="CX53" s="1">
        <f t="shared" si="13"/>
        <v>0</v>
      </c>
      <c r="CY53" s="1">
        <f t="shared" si="13"/>
        <v>0</v>
      </c>
      <c r="CZ53" s="1">
        <f t="shared" si="13"/>
        <v>0</v>
      </c>
      <c r="DA53" s="1">
        <f t="shared" si="13"/>
        <v>0</v>
      </c>
      <c r="DB53" s="1">
        <f t="shared" si="13"/>
        <v>0</v>
      </c>
      <c r="DC53" s="1">
        <f t="shared" si="15"/>
        <v>0</v>
      </c>
      <c r="DD53" s="1">
        <f t="shared" si="15"/>
        <v>0</v>
      </c>
      <c r="DE53" s="1">
        <f t="shared" si="15"/>
        <v>0</v>
      </c>
      <c r="DF53" s="1">
        <f t="shared" si="15"/>
        <v>0</v>
      </c>
      <c r="DG53" s="1">
        <f t="shared" si="15"/>
        <v>0</v>
      </c>
      <c r="DH53" s="1">
        <f t="shared" si="15"/>
        <v>0</v>
      </c>
      <c r="DI53" s="1">
        <f t="shared" si="15"/>
        <v>0</v>
      </c>
      <c r="DJ53" s="1">
        <f t="shared" si="15"/>
        <v>0</v>
      </c>
      <c r="DK53" s="1">
        <f t="shared" si="15"/>
        <v>0</v>
      </c>
      <c r="DL53" s="25"/>
      <c r="DM53" s="25"/>
      <c r="DN53" s="24"/>
      <c r="DO53" s="25"/>
      <c r="DP53" s="25"/>
      <c r="DQ53" s="25"/>
      <c r="DR53" s="25"/>
      <c r="DS53" s="25"/>
      <c r="DT53" s="25"/>
      <c r="DU53" s="25"/>
      <c r="DV53" s="25"/>
    </row>
    <row r="54" spans="1:126" x14ac:dyDescent="0.25">
      <c r="A54" s="261">
        <v>43586</v>
      </c>
      <c r="B54" s="262">
        <f t="shared" ref="B54:B115" si="18">YEAR(A54)</f>
        <v>2019</v>
      </c>
      <c r="C54" s="262">
        <f t="shared" ref="C54:C115" si="19">MONTH(A54)</f>
        <v>5</v>
      </c>
      <c r="D54" s="263">
        <v>32013633.484071277</v>
      </c>
      <c r="E54" s="263">
        <f>IFERROR(VLOOKUP($B54-1,CDM!$L$7:$T$18,2,FALSE)/12,0)+IFERROR(VLOOKUP($B54,CDM!$L$36:$T$46,2,FALSE)/24,0)+IFERROR(VLOOKUP($B54,CDM!$L$36:$T$46,2,FALSE)/2*$C54/78,0)</f>
        <v>2420828.8832311714</v>
      </c>
      <c r="F54" s="263">
        <f t="shared" ref="F54:F115" si="20">D54+E54</f>
        <v>34434462.367302448</v>
      </c>
      <c r="G54" s="264">
        <v>54669</v>
      </c>
      <c r="H54" s="263">
        <v>8667775.5412455741</v>
      </c>
      <c r="I54" s="263">
        <f>IFERROR(VLOOKUP($B54-1,CDM!$L$7:$T$18,3,FALSE)/12,0)+IFERROR(VLOOKUP($B54,CDM!$L$36:$T$46,3,FALSE)/24,0)+IFERROR(VLOOKUP($B54,CDM!$L$36:$T$46,3,FALSE)/2*$C54/78,0)</f>
        <v>553501.61110158847</v>
      </c>
      <c r="J54" s="263">
        <f t="shared" ref="J54:J115" si="21">H54+I54</f>
        <v>9221277.1523471624</v>
      </c>
      <c r="K54" s="265">
        <v>4196</v>
      </c>
      <c r="L54" s="265">
        <v>24130657.316438213</v>
      </c>
      <c r="M54" s="266">
        <f>IFERROR(VLOOKUP($B54-1,CDM!$L$7:$T$18,4,FALSE)/12,0)+IFERROR(VLOOKUP($B54,CDM!$L$36:$T$46,4,FALSE)/24,0)+IFERROR(VLOOKUP($B54,CDM!$L$36:$T$46,4,FALSE)/2*$C54/78,0)</f>
        <v>645636.79547464848</v>
      </c>
      <c r="N54" s="263">
        <f t="shared" ref="N54:N115" si="22">L54+M54</f>
        <v>24776294.111912861</v>
      </c>
      <c r="O54" s="265">
        <v>48814.397412547863</v>
      </c>
      <c r="P54" s="265">
        <v>524</v>
      </c>
      <c r="Q54" s="265">
        <v>6334720.4874300873</v>
      </c>
      <c r="R54" s="265">
        <f>IFERROR(VLOOKUP($B54-1,CDM!$L$7:$T$18,5,FALSE)/12,0)+IFERROR(VLOOKUP($B54,CDM!$L$36:$T$46,5,FALSE)/24,0)+IFERROR(VLOOKUP($B54,CDM!$L$36:$T$46,5,FALSE)/2*$C54/78,0)</f>
        <v>855588.83486887359</v>
      </c>
      <c r="S54" s="265">
        <f t="shared" si="7"/>
        <v>7190309.3222989608</v>
      </c>
      <c r="T54" s="265">
        <v>15708.23</v>
      </c>
      <c r="U54" s="265">
        <v>14</v>
      </c>
      <c r="V54" s="265">
        <v>3162233.4763844404</v>
      </c>
      <c r="W54" s="265">
        <f>IFERROR(VLOOKUP($B54-1,CDM!$L$7:$T$18,6,FALSE)/12,0)+IFERROR(VLOOKUP($B54,CDM!$L$36:$T$46,6,FALSE)/24,0)+IFERROR(VLOOKUP($B54,CDM!$L$36:$T$46,6,FALSE)/2*$C54/78,0)</f>
        <v>23226.633707264959</v>
      </c>
      <c r="X54" s="265">
        <f t="shared" si="8"/>
        <v>3185460.1100917053</v>
      </c>
      <c r="Y54" s="265">
        <v>7394.49</v>
      </c>
      <c r="Z54" s="265">
        <v>1</v>
      </c>
      <c r="AA54" s="4">
        <v>298953.03465608065</v>
      </c>
      <c r="AB54" s="4">
        <v>1018.27</v>
      </c>
      <c r="AC54" s="265">
        <v>13895</v>
      </c>
      <c r="AD54" s="265">
        <v>2120.2555788670611</v>
      </c>
      <c r="AE54" s="265">
        <v>0</v>
      </c>
      <c r="AF54" s="265">
        <v>19</v>
      </c>
      <c r="AG54" s="4">
        <v>212420</v>
      </c>
      <c r="AH54" s="4">
        <v>246</v>
      </c>
      <c r="AI54" s="28">
        <f>Economic!H56</f>
        <v>807274.5</v>
      </c>
      <c r="AJ54" s="28">
        <f>Economic!I56</f>
        <v>626103.1</v>
      </c>
      <c r="AK54" s="28">
        <f>Economic!J56</f>
        <v>59751.3</v>
      </c>
      <c r="AL54" s="28">
        <f>Economic!K56</f>
        <v>806630</v>
      </c>
      <c r="AM54" s="28">
        <f>Economic!L56</f>
        <v>624723</v>
      </c>
      <c r="AN54" s="28">
        <f>Economic!M56</f>
        <v>32769</v>
      </c>
      <c r="AO54" s="28">
        <f>Economic!D56</f>
        <v>7398.9</v>
      </c>
      <c r="AP54" s="28">
        <f>Economic!E56</f>
        <v>7366.8</v>
      </c>
      <c r="AQ54" s="28">
        <f>Economic!F56</f>
        <v>219.3</v>
      </c>
      <c r="AR54" s="28">
        <f>Economic!G56</f>
        <v>220.9</v>
      </c>
      <c r="AS54" s="28">
        <f>Economic!N56</f>
        <v>190.39999999999964</v>
      </c>
      <c r="AT54" s="28">
        <f>Economic!O56</f>
        <v>190.80000000000018</v>
      </c>
      <c r="AU54" s="28">
        <f>Economic!P56</f>
        <v>1</v>
      </c>
      <c r="AV54" s="28">
        <f>Economic!Q56</f>
        <v>1.5999999999999943</v>
      </c>
      <c r="AW54" s="28">
        <f>Economic!R56</f>
        <v>17742.900000000023</v>
      </c>
      <c r="AX54" s="28">
        <f>Economic!S56</f>
        <v>5906</v>
      </c>
      <c r="AY54" s="7">
        <f>Weather!D54</f>
        <v>11.369850028296549</v>
      </c>
      <c r="AZ54" s="7">
        <f>Weather!E54</f>
        <v>267.53464912280702</v>
      </c>
      <c r="BA54" s="7">
        <f>Weather!F54</f>
        <v>0</v>
      </c>
      <c r="BB54" s="7">
        <f>Weather!G54</f>
        <v>205.53464912280697</v>
      </c>
      <c r="BC54" s="7">
        <f>Weather!H54</f>
        <v>0</v>
      </c>
      <c r="BD54" s="7">
        <f>Weather!I54</f>
        <v>145.93881578947367</v>
      </c>
      <c r="BE54" s="7">
        <f>Weather!J54</f>
        <v>2.4041666666666686</v>
      </c>
      <c r="BF54" s="7">
        <f>Weather!K54</f>
        <v>92.742982456140368</v>
      </c>
      <c r="BG54" s="7">
        <f>Weather!L54</f>
        <v>11.208333333333332</v>
      </c>
      <c r="BH54" s="7">
        <f>Weather!M54</f>
        <v>47.113815789473684</v>
      </c>
      <c r="BI54" s="7">
        <f>Weather!N54</f>
        <v>27.579166666666666</v>
      </c>
      <c r="BJ54" s="7">
        <f>Weather!O54</f>
        <v>21.337500000000002</v>
      </c>
      <c r="BK54" s="7">
        <f>Weather!P54</f>
        <v>63.802850877192981</v>
      </c>
      <c r="BL54" s="7">
        <f>Weather!Q54</f>
        <v>5.4041666666666659</v>
      </c>
      <c r="BM54" s="7">
        <f>Weather!R54</f>
        <v>109.86951754385964</v>
      </c>
      <c r="BN54" s="1">
        <v>0</v>
      </c>
      <c r="BO54" s="1">
        <v>0</v>
      </c>
      <c r="BP54" s="1">
        <v>0</v>
      </c>
      <c r="BQ54" s="1">
        <v>0</v>
      </c>
      <c r="BR54" s="1">
        <v>1</v>
      </c>
      <c r="BS54" s="1">
        <v>0</v>
      </c>
      <c r="BT54" s="1">
        <v>0</v>
      </c>
      <c r="BU54" s="1">
        <v>0</v>
      </c>
      <c r="BV54" s="1">
        <v>0</v>
      </c>
      <c r="BW54" s="1">
        <v>0</v>
      </c>
      <c r="BX54" s="1">
        <v>0</v>
      </c>
      <c r="BY54" s="1">
        <v>0</v>
      </c>
      <c r="BZ54" s="1">
        <f t="shared" si="16"/>
        <v>1</v>
      </c>
      <c r="CA54" s="1">
        <f t="shared" si="16"/>
        <v>0</v>
      </c>
      <c r="CB54" s="1">
        <f t="shared" si="16"/>
        <v>1</v>
      </c>
      <c r="CC54" s="1">
        <f t="shared" ref="CC54:CC117" si="23">1+CC53</f>
        <v>53</v>
      </c>
      <c r="CD54" s="1">
        <f t="shared" si="17"/>
        <v>31</v>
      </c>
      <c r="CE54" s="1">
        <v>20</v>
      </c>
      <c r="CF54" s="1">
        <v>0</v>
      </c>
      <c r="CG54" s="1">
        <v>0</v>
      </c>
      <c r="CH54" s="1">
        <v>0</v>
      </c>
      <c r="CI54" s="1">
        <v>0</v>
      </c>
      <c r="CJ54" s="1">
        <f t="shared" si="12"/>
        <v>0</v>
      </c>
      <c r="CK54" s="1">
        <f t="shared" si="12"/>
        <v>0</v>
      </c>
      <c r="CL54" s="1">
        <f t="shared" si="12"/>
        <v>0</v>
      </c>
      <c r="CM54" s="1">
        <f t="shared" si="12"/>
        <v>0</v>
      </c>
      <c r="CN54" s="1">
        <f t="shared" si="12"/>
        <v>0</v>
      </c>
      <c r="CO54" s="1">
        <f t="shared" si="14"/>
        <v>0</v>
      </c>
      <c r="CP54" s="1">
        <f t="shared" si="14"/>
        <v>0</v>
      </c>
      <c r="CQ54" s="1">
        <f t="shared" si="14"/>
        <v>0</v>
      </c>
      <c r="CR54" s="1">
        <f t="shared" si="14"/>
        <v>0</v>
      </c>
      <c r="CS54" s="1">
        <f t="shared" si="14"/>
        <v>0</v>
      </c>
      <c r="CT54" s="1">
        <f t="shared" si="14"/>
        <v>0</v>
      </c>
      <c r="CU54" s="1">
        <f t="shared" si="14"/>
        <v>0</v>
      </c>
      <c r="CV54" s="1">
        <f t="shared" si="14"/>
        <v>0</v>
      </c>
      <c r="CW54" s="1">
        <f t="shared" si="14"/>
        <v>0</v>
      </c>
      <c r="CX54" s="1">
        <f t="shared" si="13"/>
        <v>0</v>
      </c>
      <c r="CY54" s="1">
        <f t="shared" si="13"/>
        <v>0</v>
      </c>
      <c r="CZ54" s="1">
        <f t="shared" si="13"/>
        <v>0</v>
      </c>
      <c r="DA54" s="1">
        <f t="shared" si="13"/>
        <v>0</v>
      </c>
      <c r="DB54" s="1">
        <f t="shared" si="13"/>
        <v>0</v>
      </c>
      <c r="DC54" s="1">
        <f t="shared" si="15"/>
        <v>0</v>
      </c>
      <c r="DD54" s="1">
        <f t="shared" si="15"/>
        <v>0</v>
      </c>
      <c r="DE54" s="1">
        <f t="shared" si="15"/>
        <v>0</v>
      </c>
      <c r="DF54" s="1">
        <f t="shared" si="15"/>
        <v>0</v>
      </c>
      <c r="DG54" s="1">
        <f t="shared" si="15"/>
        <v>0</v>
      </c>
      <c r="DH54" s="1">
        <f t="shared" si="15"/>
        <v>0</v>
      </c>
      <c r="DI54" s="1">
        <f t="shared" si="15"/>
        <v>0</v>
      </c>
      <c r="DJ54" s="1">
        <f t="shared" si="15"/>
        <v>0</v>
      </c>
      <c r="DK54" s="1">
        <f t="shared" si="15"/>
        <v>0</v>
      </c>
      <c r="DL54" s="25"/>
      <c r="DM54" s="25"/>
      <c r="DN54" s="24"/>
      <c r="DO54" s="25"/>
      <c r="DP54" s="25"/>
      <c r="DQ54" s="25"/>
      <c r="DR54" s="25"/>
      <c r="DS54" s="25"/>
      <c r="DT54" s="25"/>
      <c r="DU54" s="25"/>
      <c r="DV54" s="25"/>
    </row>
    <row r="55" spans="1:126" x14ac:dyDescent="0.25">
      <c r="A55" s="261">
        <v>43617</v>
      </c>
      <c r="B55" s="262">
        <f t="shared" si="18"/>
        <v>2019</v>
      </c>
      <c r="C55" s="262">
        <f t="shared" si="19"/>
        <v>6</v>
      </c>
      <c r="D55" s="263">
        <v>34219209.196195245</v>
      </c>
      <c r="E55" s="263">
        <f>IFERROR(VLOOKUP($B55-1,CDM!$L$7:$T$18,2,FALSE)/12,0)+IFERROR(VLOOKUP($B55,CDM!$L$36:$T$46,2,FALSE)/24,0)+IFERROR(VLOOKUP($B55,CDM!$L$36:$T$46,2,FALSE)/2*$C55/78,0)</f>
        <v>2430953.4610770573</v>
      </c>
      <c r="F55" s="263">
        <f t="shared" si="20"/>
        <v>36650162.657272302</v>
      </c>
      <c r="G55" s="264">
        <v>54603</v>
      </c>
      <c r="H55" s="263">
        <v>8861966.3335929401</v>
      </c>
      <c r="I55" s="263">
        <f>IFERROR(VLOOKUP($B55-1,CDM!$L$7:$T$18,3,FALSE)/12,0)+IFERROR(VLOOKUP($B55,CDM!$L$36:$T$46,3,FALSE)/24,0)+IFERROR(VLOOKUP($B55,CDM!$L$36:$T$46,3,FALSE)/2*$C55/78,0)</f>
        <v>555264.63357791852</v>
      </c>
      <c r="J55" s="263">
        <f t="shared" si="21"/>
        <v>9417230.9671708588</v>
      </c>
      <c r="K55" s="265">
        <v>4194</v>
      </c>
      <c r="L55" s="265">
        <v>24183118.492229387</v>
      </c>
      <c r="M55" s="266">
        <f>IFERROR(VLOOKUP($B55-1,CDM!$L$7:$T$18,4,FALSE)/12,0)+IFERROR(VLOOKUP($B55,CDM!$L$36:$T$46,4,FALSE)/24,0)+IFERROR(VLOOKUP($B55,CDM!$L$36:$T$46,4,FALSE)/2*$C55/78,0)</f>
        <v>649416.12593860074</v>
      </c>
      <c r="N55" s="263">
        <f t="shared" si="22"/>
        <v>24832534.618167989</v>
      </c>
      <c r="O55" s="265">
        <v>49428.732587452134</v>
      </c>
      <c r="P55" s="265">
        <v>524</v>
      </c>
      <c r="Q55" s="265">
        <v>6348492.4655706333</v>
      </c>
      <c r="R55" s="265">
        <f>IFERROR(VLOOKUP($B55-1,CDM!$L$7:$T$18,5,FALSE)/12,0)+IFERROR(VLOOKUP($B55,CDM!$L$36:$T$46,5,FALSE)/24,0)+IFERROR(VLOOKUP($B55,CDM!$L$36:$T$46,5,FALSE)/2*$C55/78,0)</f>
        <v>855588.83486887359</v>
      </c>
      <c r="S55" s="265">
        <f t="shared" si="7"/>
        <v>7204081.3004395068</v>
      </c>
      <c r="T55" s="265">
        <v>15905.92</v>
      </c>
      <c r="U55" s="265">
        <v>14</v>
      </c>
      <c r="V55" s="265">
        <v>3172473.3758691298</v>
      </c>
      <c r="W55" s="265">
        <f>IFERROR(VLOOKUP($B55-1,CDM!$L$7:$T$18,6,FALSE)/12,0)+IFERROR(VLOOKUP($B55,CDM!$L$36:$T$46,6,FALSE)/24,0)+IFERROR(VLOOKUP($B55,CDM!$L$36:$T$46,6,FALSE)/2*$C55/78,0)</f>
        <v>23225.224198717951</v>
      </c>
      <c r="X55" s="265">
        <f t="shared" si="8"/>
        <v>3195698.6000678479</v>
      </c>
      <c r="Y55" s="265">
        <v>6855.11</v>
      </c>
      <c r="Z55" s="265">
        <v>1</v>
      </c>
      <c r="AA55" s="4">
        <v>267537.3109945546</v>
      </c>
      <c r="AB55" s="4">
        <v>1019.07</v>
      </c>
      <c r="AC55" s="265">
        <v>13959</v>
      </c>
      <c r="AD55" s="265">
        <v>2134.3887087545299</v>
      </c>
      <c r="AE55" s="265">
        <v>0</v>
      </c>
      <c r="AF55" s="265">
        <v>19</v>
      </c>
      <c r="AG55" s="4">
        <v>213466</v>
      </c>
      <c r="AH55" s="4">
        <v>246</v>
      </c>
      <c r="AI55" s="28">
        <f>Economic!H57</f>
        <v>807274.5</v>
      </c>
      <c r="AJ55" s="28">
        <f>Economic!I57</f>
        <v>626103.1</v>
      </c>
      <c r="AK55" s="28">
        <f>Economic!J57</f>
        <v>59751.3</v>
      </c>
      <c r="AL55" s="28">
        <f>Economic!K57</f>
        <v>806630</v>
      </c>
      <c r="AM55" s="28">
        <f>Economic!L57</f>
        <v>624723</v>
      </c>
      <c r="AN55" s="28">
        <f>Economic!M57</f>
        <v>32769</v>
      </c>
      <c r="AO55" s="28">
        <f>Economic!D57</f>
        <v>7420.3</v>
      </c>
      <c r="AP55" s="28">
        <f>Economic!E57</f>
        <v>7460.9</v>
      </c>
      <c r="AQ55" s="28">
        <f>Economic!F57</f>
        <v>218.5</v>
      </c>
      <c r="AR55" s="28">
        <f>Economic!G57</f>
        <v>222.2</v>
      </c>
      <c r="AS55" s="28">
        <f>Economic!N57</f>
        <v>199.19999999999982</v>
      </c>
      <c r="AT55" s="28">
        <f>Economic!O57</f>
        <v>196.59999999999945</v>
      </c>
      <c r="AU55" s="28">
        <f>Economic!P57</f>
        <v>-1.9000000000000057</v>
      </c>
      <c r="AV55" s="28">
        <f>Economic!Q57</f>
        <v>-1.4000000000000057</v>
      </c>
      <c r="AW55" s="28">
        <f>Economic!R57</f>
        <v>17742.900000000023</v>
      </c>
      <c r="AX55" s="28">
        <f>Economic!S57</f>
        <v>5906</v>
      </c>
      <c r="AY55" s="7">
        <f>Weather!D55</f>
        <v>17.658055555555553</v>
      </c>
      <c r="AZ55" s="7">
        <f>Weather!E55</f>
        <v>80.695833333333368</v>
      </c>
      <c r="BA55" s="7">
        <f>Weather!F55</f>
        <v>10.4375</v>
      </c>
      <c r="BB55" s="7">
        <f>Weather!G55</f>
        <v>46.120833333333351</v>
      </c>
      <c r="BC55" s="7">
        <f>Weather!H55</f>
        <v>35.862499999999976</v>
      </c>
      <c r="BD55" s="7">
        <f>Weather!I55</f>
        <v>21.925000000000018</v>
      </c>
      <c r="BE55" s="7">
        <f>Weather!J55</f>
        <v>71.666666666666629</v>
      </c>
      <c r="BF55" s="7">
        <f>Weather!K55</f>
        <v>9.0750000000000011</v>
      </c>
      <c r="BG55" s="7">
        <f>Weather!L55</f>
        <v>118.81666666666663</v>
      </c>
      <c r="BH55" s="7">
        <f>Weather!M55</f>
        <v>3.9291666666666671</v>
      </c>
      <c r="BI55" s="7">
        <f>Weather!N55</f>
        <v>173.67083333333326</v>
      </c>
      <c r="BJ55" s="7">
        <f>Weather!O55</f>
        <v>0.97916666666666963</v>
      </c>
      <c r="BK55" s="7">
        <f>Weather!P55</f>
        <v>230.72083333333327</v>
      </c>
      <c r="BL55" s="7">
        <f>Weather!Q55</f>
        <v>0</v>
      </c>
      <c r="BM55" s="7">
        <f>Weather!R55</f>
        <v>289.74166666666656</v>
      </c>
      <c r="BN55" s="1">
        <v>0</v>
      </c>
      <c r="BO55" s="1">
        <v>0</v>
      </c>
      <c r="BP55" s="1">
        <v>0</v>
      </c>
      <c r="BQ55" s="1">
        <v>0</v>
      </c>
      <c r="BR55" s="1">
        <v>0</v>
      </c>
      <c r="BS55" s="1">
        <v>1</v>
      </c>
      <c r="BT55" s="1">
        <v>0</v>
      </c>
      <c r="BU55" s="1">
        <v>0</v>
      </c>
      <c r="BV55" s="1">
        <v>0</v>
      </c>
      <c r="BW55" s="1">
        <v>0</v>
      </c>
      <c r="BX55" s="1">
        <v>0</v>
      </c>
      <c r="BY55" s="1">
        <v>0</v>
      </c>
      <c r="BZ55" s="1">
        <f t="shared" si="16"/>
        <v>0</v>
      </c>
      <c r="CA55" s="1">
        <f t="shared" si="16"/>
        <v>0</v>
      </c>
      <c r="CB55" s="1">
        <f t="shared" si="16"/>
        <v>0</v>
      </c>
      <c r="CC55" s="1">
        <f t="shared" si="23"/>
        <v>54</v>
      </c>
      <c r="CD55" s="1">
        <f t="shared" si="17"/>
        <v>30</v>
      </c>
      <c r="CE55" s="1">
        <v>22</v>
      </c>
      <c r="CF55" s="1">
        <v>0</v>
      </c>
      <c r="CG55" s="1">
        <v>0</v>
      </c>
      <c r="CH55" s="1">
        <v>0</v>
      </c>
      <c r="CI55" s="1">
        <v>0</v>
      </c>
      <c r="CJ55" s="1">
        <f t="shared" si="12"/>
        <v>0</v>
      </c>
      <c r="CK55" s="1">
        <f t="shared" si="12"/>
        <v>0</v>
      </c>
      <c r="CL55" s="1">
        <f t="shared" si="12"/>
        <v>0</v>
      </c>
      <c r="CM55" s="1">
        <f t="shared" si="12"/>
        <v>0</v>
      </c>
      <c r="CN55" s="1">
        <f t="shared" si="12"/>
        <v>0</v>
      </c>
      <c r="CO55" s="1">
        <f t="shared" si="14"/>
        <v>0</v>
      </c>
      <c r="CP55" s="1">
        <f t="shared" si="14"/>
        <v>0</v>
      </c>
      <c r="CQ55" s="1">
        <f t="shared" si="14"/>
        <v>0</v>
      </c>
      <c r="CR55" s="1">
        <f t="shared" si="14"/>
        <v>0</v>
      </c>
      <c r="CS55" s="1">
        <f t="shared" si="14"/>
        <v>0</v>
      </c>
      <c r="CT55" s="1">
        <f t="shared" si="14"/>
        <v>0</v>
      </c>
      <c r="CU55" s="1">
        <f t="shared" si="14"/>
        <v>0</v>
      </c>
      <c r="CV55" s="1">
        <f t="shared" si="14"/>
        <v>0</v>
      </c>
      <c r="CW55" s="1">
        <f t="shared" si="14"/>
        <v>0</v>
      </c>
      <c r="CX55" s="1">
        <f t="shared" si="13"/>
        <v>0</v>
      </c>
      <c r="CY55" s="1">
        <f t="shared" si="13"/>
        <v>0</v>
      </c>
      <c r="CZ55" s="1">
        <f t="shared" si="13"/>
        <v>0</v>
      </c>
      <c r="DA55" s="1">
        <f t="shared" si="13"/>
        <v>0</v>
      </c>
      <c r="DB55" s="1">
        <f t="shared" si="13"/>
        <v>0</v>
      </c>
      <c r="DC55" s="1">
        <f t="shared" si="15"/>
        <v>0</v>
      </c>
      <c r="DD55" s="1">
        <f t="shared" si="15"/>
        <v>0</v>
      </c>
      <c r="DE55" s="1">
        <f t="shared" si="15"/>
        <v>0</v>
      </c>
      <c r="DF55" s="1">
        <f t="shared" si="15"/>
        <v>0</v>
      </c>
      <c r="DG55" s="1">
        <f t="shared" si="15"/>
        <v>0</v>
      </c>
      <c r="DH55" s="1">
        <f t="shared" si="15"/>
        <v>0</v>
      </c>
      <c r="DI55" s="1">
        <f t="shared" si="15"/>
        <v>0</v>
      </c>
      <c r="DJ55" s="1">
        <f t="shared" si="15"/>
        <v>0</v>
      </c>
      <c r="DK55" s="1">
        <f t="shared" si="15"/>
        <v>0</v>
      </c>
      <c r="DL55" s="25"/>
      <c r="DM55" s="25"/>
      <c r="DN55" s="24"/>
      <c r="DO55" s="25"/>
      <c r="DP55" s="25"/>
      <c r="DQ55" s="25"/>
      <c r="DR55" s="25"/>
      <c r="DS55" s="25"/>
      <c r="DT55" s="25"/>
      <c r="DU55" s="25"/>
      <c r="DV55" s="25"/>
    </row>
    <row r="56" spans="1:126" x14ac:dyDescent="0.25">
      <c r="A56" s="261">
        <v>43647</v>
      </c>
      <c r="B56" s="262">
        <f t="shared" si="18"/>
        <v>2019</v>
      </c>
      <c r="C56" s="262">
        <f t="shared" si="19"/>
        <v>7</v>
      </c>
      <c r="D56" s="263">
        <v>48957714.291131914</v>
      </c>
      <c r="E56" s="263">
        <f>IFERROR(VLOOKUP($B56-1,CDM!$L$7:$T$18,2,FALSE)/12,0)+IFERROR(VLOOKUP($B56,CDM!$L$36:$T$46,2,FALSE)/24,0)+IFERROR(VLOOKUP($B56,CDM!$L$36:$T$46,2,FALSE)/2*$C56/78,0)</f>
        <v>2441078.0389229432</v>
      </c>
      <c r="F56" s="263">
        <f t="shared" si="20"/>
        <v>51398792.330054857</v>
      </c>
      <c r="G56" s="264">
        <v>54719</v>
      </c>
      <c r="H56" s="263">
        <v>10665915.990499137</v>
      </c>
      <c r="I56" s="263">
        <f>IFERROR(VLOOKUP($B56-1,CDM!$L$7:$T$18,3,FALSE)/12,0)+IFERROR(VLOOKUP($B56,CDM!$L$36:$T$46,3,FALSE)/24,0)+IFERROR(VLOOKUP($B56,CDM!$L$36:$T$46,3,FALSE)/2*$C56/78,0)</f>
        <v>557027.65605424845</v>
      </c>
      <c r="J56" s="263">
        <f t="shared" si="21"/>
        <v>11222943.646553386</v>
      </c>
      <c r="K56" s="265">
        <v>4188</v>
      </c>
      <c r="L56" s="4">
        <v>29140223.782042734</v>
      </c>
      <c r="M56" s="266">
        <f>IFERROR(VLOOKUP($B56-1,CDM!$L$7:$T$18,4,FALSE)/12,0)+IFERROR(VLOOKUP($B56,CDM!$L$36:$T$46,4,FALSE)/24,0)+IFERROR(VLOOKUP($B56,CDM!$L$36:$T$46,4,FALSE)/2*$C56/78,0)</f>
        <v>653195.45640255313</v>
      </c>
      <c r="N56" s="263">
        <f t="shared" si="22"/>
        <v>29793419.238445286</v>
      </c>
      <c r="O56" s="4">
        <v>72499</v>
      </c>
      <c r="P56" s="265">
        <v>525</v>
      </c>
      <c r="Q56" s="265">
        <v>7894625.4629903352</v>
      </c>
      <c r="R56" s="265">
        <f>IFERROR(VLOOKUP($B56-1,CDM!$L$7:$T$18,5,FALSE)/12,0)+IFERROR(VLOOKUP($B56,CDM!$L$36:$T$46,5,FALSE)/24,0)+IFERROR(VLOOKUP($B56,CDM!$L$36:$T$46,5,FALSE)/2*$C56/78,0)</f>
        <v>855588.83486887359</v>
      </c>
      <c r="S56" s="265">
        <f t="shared" si="7"/>
        <v>8750214.2978592087</v>
      </c>
      <c r="T56" s="265">
        <v>17185.349999999999</v>
      </c>
      <c r="U56" s="265">
        <v>14</v>
      </c>
      <c r="V56" s="265">
        <v>3467321.3949721884</v>
      </c>
      <c r="W56" s="265">
        <f>IFERROR(VLOOKUP($B56-1,CDM!$L$7:$T$18,6,FALSE)/12,0)+IFERROR(VLOOKUP($B56,CDM!$L$36:$T$46,6,FALSE)/24,0)+IFERROR(VLOOKUP($B56,CDM!$L$36:$T$46,6,FALSE)/2*$C56/78,0)</f>
        <v>23223.814690170944</v>
      </c>
      <c r="X56" s="265">
        <f t="shared" si="8"/>
        <v>3490545.2096623592</v>
      </c>
      <c r="Y56" s="265">
        <v>8349.5300000000007</v>
      </c>
      <c r="Z56" s="265">
        <v>1</v>
      </c>
      <c r="AA56" s="4">
        <v>293301.43259766529</v>
      </c>
      <c r="AB56" s="4">
        <v>1019</v>
      </c>
      <c r="AC56" s="265">
        <v>13959</v>
      </c>
      <c r="AD56" s="265">
        <v>2155.2736982643523</v>
      </c>
      <c r="AE56" s="265">
        <v>0</v>
      </c>
      <c r="AF56" s="265">
        <v>19</v>
      </c>
      <c r="AG56" s="4">
        <v>213466</v>
      </c>
      <c r="AH56" s="4">
        <v>246</v>
      </c>
      <c r="AI56" s="28">
        <f>Economic!H58</f>
        <v>807274.5</v>
      </c>
      <c r="AJ56" s="28">
        <f>Economic!I58</f>
        <v>626103.1</v>
      </c>
      <c r="AK56" s="28">
        <f>Economic!J58</f>
        <v>59751.3</v>
      </c>
      <c r="AL56" s="28">
        <f>Economic!K58</f>
        <v>810347</v>
      </c>
      <c r="AM56" s="28">
        <f>Economic!L58</f>
        <v>628879</v>
      </c>
      <c r="AN56" s="28">
        <f>Economic!M58</f>
        <v>33162</v>
      </c>
      <c r="AO56" s="28">
        <f>Economic!D58</f>
        <v>7423.6</v>
      </c>
      <c r="AP56" s="28">
        <f>Economic!E58</f>
        <v>7509.9</v>
      </c>
      <c r="AQ56" s="28">
        <f>Economic!F58</f>
        <v>217</v>
      </c>
      <c r="AR56" s="28">
        <f>Economic!G58</f>
        <v>221.7</v>
      </c>
      <c r="AS56" s="28">
        <f>Economic!N58</f>
        <v>168.60000000000036</v>
      </c>
      <c r="AT56" s="28">
        <f>Economic!O58</f>
        <v>164.19999999999982</v>
      </c>
      <c r="AU56" s="28">
        <f>Economic!P58</f>
        <v>-2.9000000000000057</v>
      </c>
      <c r="AV56" s="28">
        <f>Economic!Q58</f>
        <v>-3</v>
      </c>
      <c r="AW56" s="28">
        <f>Economic!R58</f>
        <v>17742.900000000023</v>
      </c>
      <c r="AX56" s="28">
        <f>Economic!S58</f>
        <v>3717</v>
      </c>
      <c r="AY56" s="7">
        <f>Weather!D56</f>
        <v>22.374193548387098</v>
      </c>
      <c r="AZ56" s="7">
        <f>Weather!E56</f>
        <v>0.97500000000000497</v>
      </c>
      <c r="BA56" s="7">
        <f>Weather!F56</f>
        <v>74.574999999999989</v>
      </c>
      <c r="BB56" s="7">
        <f>Weather!G56</f>
        <v>0</v>
      </c>
      <c r="BC56" s="7">
        <f>Weather!H56</f>
        <v>135.6</v>
      </c>
      <c r="BD56" s="7">
        <f>Weather!I56</f>
        <v>0</v>
      </c>
      <c r="BE56" s="7">
        <f>Weather!J56</f>
        <v>197.60000000000005</v>
      </c>
      <c r="BF56" s="7">
        <f>Weather!K56</f>
        <v>0</v>
      </c>
      <c r="BG56" s="7">
        <f>Weather!L56</f>
        <v>259.60000000000008</v>
      </c>
      <c r="BH56" s="7">
        <f>Weather!M56</f>
        <v>0</v>
      </c>
      <c r="BI56" s="7">
        <f>Weather!N56</f>
        <v>321.60000000000002</v>
      </c>
      <c r="BJ56" s="7">
        <f>Weather!O56</f>
        <v>0</v>
      </c>
      <c r="BK56" s="7">
        <f>Weather!P56</f>
        <v>383.6</v>
      </c>
      <c r="BL56" s="7">
        <f>Weather!Q56</f>
        <v>0</v>
      </c>
      <c r="BM56" s="7">
        <f>Weather!R56</f>
        <v>445.60000000000008</v>
      </c>
      <c r="BN56" s="1">
        <v>0</v>
      </c>
      <c r="BO56" s="1">
        <v>0</v>
      </c>
      <c r="BP56" s="1">
        <v>0</v>
      </c>
      <c r="BQ56" s="1">
        <v>0</v>
      </c>
      <c r="BR56" s="1">
        <v>0</v>
      </c>
      <c r="BS56" s="1">
        <v>0</v>
      </c>
      <c r="BT56" s="1">
        <v>1</v>
      </c>
      <c r="BU56" s="1">
        <v>0</v>
      </c>
      <c r="BV56" s="1">
        <v>0</v>
      </c>
      <c r="BW56" s="1">
        <v>0</v>
      </c>
      <c r="BX56" s="1">
        <v>0</v>
      </c>
      <c r="BY56" s="1">
        <v>0</v>
      </c>
      <c r="BZ56" s="1">
        <f t="shared" si="16"/>
        <v>0</v>
      </c>
      <c r="CA56" s="1">
        <f t="shared" si="16"/>
        <v>0</v>
      </c>
      <c r="CB56" s="1">
        <f t="shared" si="16"/>
        <v>0</v>
      </c>
      <c r="CC56" s="1">
        <f t="shared" si="23"/>
        <v>55</v>
      </c>
      <c r="CD56" s="1">
        <f t="shared" si="17"/>
        <v>31</v>
      </c>
      <c r="CE56" s="1">
        <v>22</v>
      </c>
      <c r="CF56" s="1">
        <v>0</v>
      </c>
      <c r="CG56" s="1">
        <v>0</v>
      </c>
      <c r="CH56" s="1">
        <v>0</v>
      </c>
      <c r="CI56" s="1">
        <v>0</v>
      </c>
      <c r="CJ56" s="1">
        <f t="shared" si="12"/>
        <v>0</v>
      </c>
      <c r="CK56" s="1">
        <f t="shared" si="12"/>
        <v>0</v>
      </c>
      <c r="CL56" s="1">
        <f t="shared" si="12"/>
        <v>0</v>
      </c>
      <c r="CM56" s="1">
        <f t="shared" si="12"/>
        <v>0</v>
      </c>
      <c r="CN56" s="1">
        <f t="shared" si="12"/>
        <v>0</v>
      </c>
      <c r="CO56" s="1">
        <f t="shared" si="14"/>
        <v>0</v>
      </c>
      <c r="CP56" s="1">
        <f t="shared" si="14"/>
        <v>0</v>
      </c>
      <c r="CQ56" s="1">
        <f t="shared" si="14"/>
        <v>0</v>
      </c>
      <c r="CR56" s="1">
        <f t="shared" si="14"/>
        <v>0</v>
      </c>
      <c r="CS56" s="1">
        <f t="shared" si="14"/>
        <v>0</v>
      </c>
      <c r="CT56" s="1">
        <f t="shared" si="14"/>
        <v>0</v>
      </c>
      <c r="CU56" s="1">
        <f t="shared" si="14"/>
        <v>0</v>
      </c>
      <c r="CV56" s="1">
        <f t="shared" si="14"/>
        <v>0</v>
      </c>
      <c r="CW56" s="1">
        <f t="shared" si="14"/>
        <v>0</v>
      </c>
      <c r="CX56" s="1">
        <f t="shared" si="13"/>
        <v>0</v>
      </c>
      <c r="CY56" s="1">
        <f t="shared" si="13"/>
        <v>0</v>
      </c>
      <c r="CZ56" s="1">
        <f t="shared" si="13"/>
        <v>0</v>
      </c>
      <c r="DA56" s="1">
        <f t="shared" si="13"/>
        <v>0</v>
      </c>
      <c r="DB56" s="1">
        <f t="shared" si="13"/>
        <v>0</v>
      </c>
      <c r="DC56" s="1">
        <f t="shared" si="15"/>
        <v>0</v>
      </c>
      <c r="DD56" s="1">
        <f t="shared" si="15"/>
        <v>0</v>
      </c>
      <c r="DE56" s="1">
        <f t="shared" si="15"/>
        <v>0</v>
      </c>
      <c r="DF56" s="1">
        <f t="shared" si="15"/>
        <v>0</v>
      </c>
      <c r="DG56" s="1">
        <f t="shared" si="15"/>
        <v>0</v>
      </c>
      <c r="DH56" s="1">
        <f t="shared" si="15"/>
        <v>0</v>
      </c>
      <c r="DI56" s="1">
        <f t="shared" si="15"/>
        <v>0</v>
      </c>
      <c r="DJ56" s="1">
        <f t="shared" si="15"/>
        <v>0</v>
      </c>
      <c r="DK56" s="1">
        <f t="shared" si="15"/>
        <v>0</v>
      </c>
      <c r="DL56" s="25"/>
      <c r="DM56" s="25"/>
      <c r="DN56" s="24"/>
      <c r="DO56" s="25"/>
      <c r="DP56" s="25"/>
      <c r="DQ56" s="25"/>
      <c r="DR56" s="25"/>
      <c r="DS56" s="25"/>
      <c r="DT56" s="25"/>
      <c r="DU56" s="25"/>
      <c r="DV56" s="25"/>
    </row>
    <row r="57" spans="1:126" x14ac:dyDescent="0.25">
      <c r="A57" s="261">
        <v>43678</v>
      </c>
      <c r="B57" s="262">
        <f t="shared" si="18"/>
        <v>2019</v>
      </c>
      <c r="C57" s="262">
        <f t="shared" si="19"/>
        <v>8</v>
      </c>
      <c r="D57" s="263">
        <v>47953964.035773598</v>
      </c>
      <c r="E57" s="263">
        <f>IFERROR(VLOOKUP($B57-1,CDM!$L$7:$T$18,2,FALSE)/12,0)+IFERROR(VLOOKUP($B57,CDM!$L$36:$T$46,2,FALSE)/24,0)+IFERROR(VLOOKUP($B57,CDM!$L$36:$T$46,2,FALSE)/2*$C57/78,0)</f>
        <v>2451202.6167688295</v>
      </c>
      <c r="F57" s="263">
        <f t="shared" si="20"/>
        <v>50405166.652542427</v>
      </c>
      <c r="G57" s="264">
        <v>54859</v>
      </c>
      <c r="H57" s="263">
        <v>9885380.3161732201</v>
      </c>
      <c r="I57" s="263">
        <f>IFERROR(VLOOKUP($B57-1,CDM!$L$7:$T$18,3,FALSE)/12,0)+IFERROR(VLOOKUP($B57,CDM!$L$36:$T$46,3,FALSE)/24,0)+IFERROR(VLOOKUP($B57,CDM!$L$36:$T$46,3,FALSE)/2*$C57/78,0)</f>
        <v>558790.6785305785</v>
      </c>
      <c r="J57" s="263">
        <f t="shared" si="21"/>
        <v>10444170.994703799</v>
      </c>
      <c r="K57" s="265">
        <v>4187</v>
      </c>
      <c r="L57" s="4">
        <v>25628798.367673635</v>
      </c>
      <c r="M57" s="266">
        <f>IFERROR(VLOOKUP($B57-1,CDM!$L$7:$T$18,4,FALSE)/12,0)+IFERROR(VLOOKUP($B57,CDM!$L$36:$T$46,4,FALSE)/24,0)+IFERROR(VLOOKUP($B57,CDM!$L$36:$T$46,4,FALSE)/2*$C57/78,0)</f>
        <v>656974.7868665054</v>
      </c>
      <c r="N57" s="263">
        <f t="shared" si="22"/>
        <v>26285773.15454014</v>
      </c>
      <c r="O57" s="4">
        <v>66944.149999999994</v>
      </c>
      <c r="P57" s="265">
        <v>526</v>
      </c>
      <c r="Q57" s="265">
        <v>7459002.3479635101</v>
      </c>
      <c r="R57" s="265">
        <f>IFERROR(VLOOKUP($B57-1,CDM!$L$7:$T$18,5,FALSE)/12,0)+IFERROR(VLOOKUP($B57,CDM!$L$36:$T$46,5,FALSE)/24,0)+IFERROR(VLOOKUP($B57,CDM!$L$36:$T$46,5,FALSE)/2*$C57/78,0)</f>
        <v>855588.83486887359</v>
      </c>
      <c r="S57" s="265">
        <f t="shared" si="7"/>
        <v>8314591.1828323836</v>
      </c>
      <c r="T57" s="265">
        <v>16985.59</v>
      </c>
      <c r="U57" s="265">
        <v>14</v>
      </c>
      <c r="V57" s="265">
        <v>3551002.3047195231</v>
      </c>
      <c r="W57" s="265">
        <f>IFERROR(VLOOKUP($B57-1,CDM!$L$7:$T$18,6,FALSE)/12,0)+IFERROR(VLOOKUP($B57,CDM!$L$36:$T$46,6,FALSE)/24,0)+IFERROR(VLOOKUP($B57,CDM!$L$36:$T$46,6,FALSE)/2*$C57/78,0)</f>
        <v>23222.405181623933</v>
      </c>
      <c r="X57" s="265">
        <f t="shared" si="8"/>
        <v>3574224.7099011471</v>
      </c>
      <c r="Y57" s="265">
        <v>7795.96</v>
      </c>
      <c r="Z57" s="265">
        <v>1</v>
      </c>
      <c r="AA57" s="4">
        <v>281873.27447159501</v>
      </c>
      <c r="AB57" s="4">
        <v>1017.54</v>
      </c>
      <c r="AC57" s="265">
        <v>13959</v>
      </c>
      <c r="AD57" s="265">
        <v>2192.0083921419032</v>
      </c>
      <c r="AE57" s="265">
        <v>0</v>
      </c>
      <c r="AF57" s="265">
        <v>19</v>
      </c>
      <c r="AG57" s="4">
        <v>214078</v>
      </c>
      <c r="AH57" s="4">
        <v>247</v>
      </c>
      <c r="AI57" s="28">
        <f>Economic!H59</f>
        <v>807274.5</v>
      </c>
      <c r="AJ57" s="28">
        <f>Economic!I59</f>
        <v>626103.1</v>
      </c>
      <c r="AK57" s="28">
        <f>Economic!J59</f>
        <v>59751.3</v>
      </c>
      <c r="AL57" s="28">
        <f>Economic!K59</f>
        <v>810347</v>
      </c>
      <c r="AM57" s="28">
        <f>Economic!L59</f>
        <v>628879</v>
      </c>
      <c r="AN57" s="28">
        <f>Economic!M59</f>
        <v>33162</v>
      </c>
      <c r="AO57" s="28">
        <f>Economic!D59</f>
        <v>7433.8</v>
      </c>
      <c r="AP57" s="28">
        <f>Economic!E59</f>
        <v>7523.3</v>
      </c>
      <c r="AQ57" s="28">
        <f>Economic!F59</f>
        <v>214.2</v>
      </c>
      <c r="AR57" s="28">
        <f>Economic!G59</f>
        <v>217.2</v>
      </c>
      <c r="AS57" s="28">
        <f>Economic!N59</f>
        <v>167.60000000000036</v>
      </c>
      <c r="AT57" s="28">
        <f>Economic!O59</f>
        <v>163.80000000000018</v>
      </c>
      <c r="AU57" s="28">
        <f>Economic!P59</f>
        <v>-4.1000000000000227</v>
      </c>
      <c r="AV57" s="28">
        <f>Economic!Q59</f>
        <v>-4.5</v>
      </c>
      <c r="AW57" s="28">
        <f>Economic!R59</f>
        <v>17742.900000000023</v>
      </c>
      <c r="AX57" s="28">
        <f>Economic!S59</f>
        <v>3717</v>
      </c>
      <c r="AY57" s="7">
        <f>Weather!D57</f>
        <v>20.13131720430108</v>
      </c>
      <c r="AZ57" s="7">
        <f>Weather!E57</f>
        <v>19.091666666666661</v>
      </c>
      <c r="BA57" s="7">
        <f>Weather!F57</f>
        <v>23.162500000000009</v>
      </c>
      <c r="BB57" s="7">
        <f>Weather!G57</f>
        <v>4.645833333333325</v>
      </c>
      <c r="BC57" s="7">
        <f>Weather!H57</f>
        <v>70.716666666666669</v>
      </c>
      <c r="BD57" s="7">
        <f>Weather!I57</f>
        <v>0</v>
      </c>
      <c r="BE57" s="7">
        <f>Weather!J57</f>
        <v>128.07083333333338</v>
      </c>
      <c r="BF57" s="7">
        <f>Weather!K57</f>
        <v>0</v>
      </c>
      <c r="BG57" s="7">
        <f>Weather!L57</f>
        <v>190.07083333333335</v>
      </c>
      <c r="BH57" s="7">
        <f>Weather!M57</f>
        <v>0</v>
      </c>
      <c r="BI57" s="7">
        <f>Weather!N57</f>
        <v>252.07083333333335</v>
      </c>
      <c r="BJ57" s="7">
        <f>Weather!O57</f>
        <v>0</v>
      </c>
      <c r="BK57" s="7">
        <f>Weather!P57</f>
        <v>314.07083333333338</v>
      </c>
      <c r="BL57" s="7">
        <f>Weather!Q57</f>
        <v>0</v>
      </c>
      <c r="BM57" s="7">
        <f>Weather!R57</f>
        <v>376.07083333333338</v>
      </c>
      <c r="BN57" s="1">
        <v>0</v>
      </c>
      <c r="BO57" s="1">
        <v>0</v>
      </c>
      <c r="BP57" s="1">
        <v>0</v>
      </c>
      <c r="BQ57" s="1">
        <v>0</v>
      </c>
      <c r="BR57" s="1">
        <v>0</v>
      </c>
      <c r="BS57" s="1">
        <v>0</v>
      </c>
      <c r="BT57" s="1">
        <v>0</v>
      </c>
      <c r="BU57" s="1">
        <v>1</v>
      </c>
      <c r="BV57" s="1">
        <v>0</v>
      </c>
      <c r="BW57" s="1">
        <v>0</v>
      </c>
      <c r="BX57" s="1">
        <v>0</v>
      </c>
      <c r="BY57" s="1">
        <v>0</v>
      </c>
      <c r="BZ57" s="1">
        <f t="shared" si="16"/>
        <v>0</v>
      </c>
      <c r="CA57" s="1">
        <f t="shared" si="16"/>
        <v>0</v>
      </c>
      <c r="CB57" s="1">
        <f t="shared" si="16"/>
        <v>0</v>
      </c>
      <c r="CC57" s="1">
        <f t="shared" si="23"/>
        <v>56</v>
      </c>
      <c r="CD57" s="1">
        <f t="shared" si="17"/>
        <v>31</v>
      </c>
      <c r="CE57" s="1">
        <v>20</v>
      </c>
      <c r="CF57" s="1">
        <v>0</v>
      </c>
      <c r="CG57" s="1">
        <v>0</v>
      </c>
      <c r="CH57" s="1">
        <v>0</v>
      </c>
      <c r="CI57" s="1">
        <v>0</v>
      </c>
      <c r="CJ57" s="1">
        <f t="shared" si="12"/>
        <v>0</v>
      </c>
      <c r="CK57" s="1">
        <f t="shared" si="12"/>
        <v>0</v>
      </c>
      <c r="CL57" s="1">
        <f t="shared" si="12"/>
        <v>0</v>
      </c>
      <c r="CM57" s="1">
        <f t="shared" si="12"/>
        <v>0</v>
      </c>
      <c r="CN57" s="1">
        <f t="shared" si="12"/>
        <v>0</v>
      </c>
      <c r="CO57" s="1">
        <f t="shared" si="14"/>
        <v>0</v>
      </c>
      <c r="CP57" s="1">
        <f t="shared" si="14"/>
        <v>0</v>
      </c>
      <c r="CQ57" s="1">
        <f t="shared" si="14"/>
        <v>0</v>
      </c>
      <c r="CR57" s="1">
        <f t="shared" si="14"/>
        <v>0</v>
      </c>
      <c r="CS57" s="1">
        <f t="shared" si="14"/>
        <v>0</v>
      </c>
      <c r="CT57" s="1">
        <f t="shared" si="14"/>
        <v>0</v>
      </c>
      <c r="CU57" s="1">
        <f t="shared" si="14"/>
        <v>0</v>
      </c>
      <c r="CV57" s="1">
        <f t="shared" si="14"/>
        <v>0</v>
      </c>
      <c r="CW57" s="1">
        <f t="shared" si="14"/>
        <v>0</v>
      </c>
      <c r="CX57" s="1">
        <f t="shared" si="13"/>
        <v>0</v>
      </c>
      <c r="CY57" s="1">
        <f t="shared" si="13"/>
        <v>0</v>
      </c>
      <c r="CZ57" s="1">
        <f t="shared" si="13"/>
        <v>0</v>
      </c>
      <c r="DA57" s="1">
        <f t="shared" si="13"/>
        <v>0</v>
      </c>
      <c r="DB57" s="1">
        <f t="shared" si="13"/>
        <v>0</v>
      </c>
      <c r="DC57" s="1">
        <f t="shared" si="15"/>
        <v>0</v>
      </c>
      <c r="DD57" s="1">
        <f t="shared" si="15"/>
        <v>0</v>
      </c>
      <c r="DE57" s="1">
        <f t="shared" si="15"/>
        <v>0</v>
      </c>
      <c r="DF57" s="1">
        <f t="shared" si="15"/>
        <v>0</v>
      </c>
      <c r="DG57" s="1">
        <f t="shared" si="15"/>
        <v>0</v>
      </c>
      <c r="DH57" s="1">
        <f t="shared" si="15"/>
        <v>0</v>
      </c>
      <c r="DI57" s="1">
        <f t="shared" si="15"/>
        <v>0</v>
      </c>
      <c r="DJ57" s="1">
        <f t="shared" si="15"/>
        <v>0</v>
      </c>
      <c r="DK57" s="1">
        <f t="shared" si="15"/>
        <v>0</v>
      </c>
      <c r="DL57" s="25"/>
      <c r="DM57" s="25"/>
      <c r="DN57" s="24"/>
      <c r="DO57" s="25"/>
      <c r="DP57" s="25"/>
      <c r="DQ57" s="25"/>
      <c r="DR57" s="25"/>
      <c r="DS57" s="25"/>
      <c r="DT57" s="25"/>
      <c r="DU57" s="25"/>
      <c r="DV57" s="25"/>
    </row>
    <row r="58" spans="1:126" x14ac:dyDescent="0.25">
      <c r="A58" s="261">
        <v>43709</v>
      </c>
      <c r="B58" s="262">
        <f t="shared" si="18"/>
        <v>2019</v>
      </c>
      <c r="C58" s="262">
        <f t="shared" si="19"/>
        <v>9</v>
      </c>
      <c r="D58" s="263">
        <v>38254150.444735967</v>
      </c>
      <c r="E58" s="263">
        <f>IFERROR(VLOOKUP($B58-1,CDM!$L$7:$T$18,2,FALSE)/12,0)+IFERROR(VLOOKUP($B58,CDM!$L$36:$T$46,2,FALSE)/24,0)+IFERROR(VLOOKUP($B58,CDM!$L$36:$T$46,2,FALSE)/2*$C58/78,0)</f>
        <v>2461327.1946147154</v>
      </c>
      <c r="F58" s="263">
        <f t="shared" si="20"/>
        <v>40715477.639350682</v>
      </c>
      <c r="G58" s="264">
        <v>54714</v>
      </c>
      <c r="H58" s="263">
        <v>8554886.1180105135</v>
      </c>
      <c r="I58" s="263">
        <f>IFERROR(VLOOKUP($B58-1,CDM!$L$7:$T$18,3,FALSE)/12,0)+IFERROR(VLOOKUP($B58,CDM!$L$36:$T$46,3,FALSE)/24,0)+IFERROR(VLOOKUP($B58,CDM!$L$36:$T$46,3,FALSE)/2*$C58/78,0)</f>
        <v>560553.70100690855</v>
      </c>
      <c r="J58" s="263">
        <f t="shared" si="21"/>
        <v>9115439.8190174215</v>
      </c>
      <c r="K58" s="265">
        <v>4186</v>
      </c>
      <c r="L58" s="4">
        <v>23787037.927268654</v>
      </c>
      <c r="M58" s="266">
        <f>IFERROR(VLOOKUP($B58-1,CDM!$L$7:$T$18,4,FALSE)/12,0)+IFERROR(VLOOKUP($B58,CDM!$L$36:$T$46,4,FALSE)/24,0)+IFERROR(VLOOKUP($B58,CDM!$L$36:$T$46,4,FALSE)/2*$C58/78,0)</f>
        <v>660754.11733045767</v>
      </c>
      <c r="N58" s="263">
        <f t="shared" si="22"/>
        <v>24447792.044599112</v>
      </c>
      <c r="O58" s="4">
        <v>67362.19</v>
      </c>
      <c r="P58" s="265">
        <v>526</v>
      </c>
      <c r="Q58" s="265">
        <v>6508565.4687315729</v>
      </c>
      <c r="R58" s="265">
        <f>IFERROR(VLOOKUP($B58-1,CDM!$L$7:$T$18,5,FALSE)/12,0)+IFERROR(VLOOKUP($B58,CDM!$L$36:$T$46,5,FALSE)/24,0)+IFERROR(VLOOKUP($B58,CDM!$L$36:$T$46,5,FALSE)/2*$C58/78,0)</f>
        <v>855588.83486887359</v>
      </c>
      <c r="S58" s="265">
        <f t="shared" si="7"/>
        <v>7364154.3036004463</v>
      </c>
      <c r="T58" s="265">
        <v>16209.23</v>
      </c>
      <c r="U58" s="265">
        <v>14</v>
      </c>
      <c r="V58" s="265">
        <v>3301878.995178178</v>
      </c>
      <c r="W58" s="265">
        <f>IFERROR(VLOOKUP($B58-1,CDM!$L$7:$T$18,6,FALSE)/12,0)+IFERROR(VLOOKUP($B58,CDM!$L$36:$T$46,6,FALSE)/24,0)+IFERROR(VLOOKUP($B58,CDM!$L$36:$T$46,6,FALSE)/2*$C58/78,0)</f>
        <v>23220.995673076926</v>
      </c>
      <c r="X58" s="265">
        <f t="shared" si="8"/>
        <v>3325099.9908512547</v>
      </c>
      <c r="Y58" s="265">
        <v>8122.71</v>
      </c>
      <c r="Z58" s="265">
        <v>1</v>
      </c>
      <c r="AA58" s="4">
        <v>290099.32672990876</v>
      </c>
      <c r="AB58" s="4">
        <v>1019.74</v>
      </c>
      <c r="AC58" s="265">
        <v>13964</v>
      </c>
      <c r="AD58" s="265">
        <v>2174.8998664886512</v>
      </c>
      <c r="AE58" s="265">
        <v>0</v>
      </c>
      <c r="AF58" s="265">
        <v>19</v>
      </c>
      <c r="AG58" s="4">
        <v>213068</v>
      </c>
      <c r="AH58" s="4">
        <v>248</v>
      </c>
      <c r="AI58" s="28">
        <f>Economic!H60</f>
        <v>807274.5</v>
      </c>
      <c r="AJ58" s="28">
        <f>Economic!I60</f>
        <v>626103.1</v>
      </c>
      <c r="AK58" s="28">
        <f>Economic!J60</f>
        <v>59751.3</v>
      </c>
      <c r="AL58" s="28">
        <f>Economic!K60</f>
        <v>810347</v>
      </c>
      <c r="AM58" s="28">
        <f>Economic!L60</f>
        <v>628879</v>
      </c>
      <c r="AN58" s="28">
        <f>Economic!M60</f>
        <v>33162</v>
      </c>
      <c r="AO58" s="28">
        <f>Economic!D60</f>
        <v>7448.5</v>
      </c>
      <c r="AP58" s="28">
        <f>Economic!E60</f>
        <v>7505.1</v>
      </c>
      <c r="AQ58" s="28">
        <f>Economic!F60</f>
        <v>210</v>
      </c>
      <c r="AR58" s="28">
        <f>Economic!G60</f>
        <v>210.7</v>
      </c>
      <c r="AS58" s="28">
        <f>Economic!N60</f>
        <v>168.89999999999964</v>
      </c>
      <c r="AT58" s="28">
        <f>Economic!O60</f>
        <v>180.70000000000073</v>
      </c>
      <c r="AU58" s="28">
        <f>Economic!P60</f>
        <v>-6.5999999999999943</v>
      </c>
      <c r="AV58" s="28">
        <f>Economic!Q60</f>
        <v>-6.6000000000000227</v>
      </c>
      <c r="AW58" s="28">
        <f>Economic!R60</f>
        <v>17742.900000000023</v>
      </c>
      <c r="AX58" s="28">
        <f>Economic!S60</f>
        <v>3717</v>
      </c>
      <c r="AY58" s="7">
        <f>Weather!D58</f>
        <v>16.383888888888887</v>
      </c>
      <c r="AZ58" s="7">
        <f>Weather!E58</f>
        <v>113.56666666666666</v>
      </c>
      <c r="BA58" s="7">
        <f>Weather!F58</f>
        <v>5.0833333333333286</v>
      </c>
      <c r="BB58" s="7">
        <f>Weather!G58</f>
        <v>62.054166666666653</v>
      </c>
      <c r="BC58" s="7">
        <f>Weather!H58</f>
        <v>13.570833333333326</v>
      </c>
      <c r="BD58" s="7">
        <f>Weather!I58</f>
        <v>21.004166666666656</v>
      </c>
      <c r="BE58" s="7">
        <f>Weather!J58</f>
        <v>32.520833333333329</v>
      </c>
      <c r="BF58" s="7">
        <f>Weather!K58</f>
        <v>4.9833333333333325</v>
      </c>
      <c r="BG58" s="7">
        <f>Weather!L58</f>
        <v>76.5</v>
      </c>
      <c r="BH58" s="7">
        <f>Weather!M58</f>
        <v>0.4208333333333325</v>
      </c>
      <c r="BI58" s="7">
        <f>Weather!N58</f>
        <v>131.93750000000003</v>
      </c>
      <c r="BJ58" s="7">
        <f>Weather!O58</f>
        <v>0</v>
      </c>
      <c r="BK58" s="7">
        <f>Weather!P58</f>
        <v>191.51666666666671</v>
      </c>
      <c r="BL58" s="7">
        <f>Weather!Q58</f>
        <v>0</v>
      </c>
      <c r="BM58" s="7">
        <f>Weather!R58</f>
        <v>251.51666666666671</v>
      </c>
      <c r="BN58" s="1">
        <v>0</v>
      </c>
      <c r="BO58" s="1">
        <v>0</v>
      </c>
      <c r="BP58" s="1">
        <v>0</v>
      </c>
      <c r="BQ58" s="1">
        <v>0</v>
      </c>
      <c r="BR58" s="1">
        <v>0</v>
      </c>
      <c r="BS58" s="1">
        <v>0</v>
      </c>
      <c r="BT58" s="1">
        <v>0</v>
      </c>
      <c r="BU58" s="1">
        <v>0</v>
      </c>
      <c r="BV58" s="1">
        <v>1</v>
      </c>
      <c r="BW58" s="1">
        <v>0</v>
      </c>
      <c r="BX58" s="1">
        <v>0</v>
      </c>
      <c r="BY58" s="1">
        <v>0</v>
      </c>
      <c r="BZ58" s="1">
        <f t="shared" si="16"/>
        <v>0</v>
      </c>
      <c r="CA58" s="1">
        <f t="shared" si="16"/>
        <v>1</v>
      </c>
      <c r="CB58" s="1">
        <f t="shared" si="16"/>
        <v>1</v>
      </c>
      <c r="CC58" s="1">
        <f t="shared" si="23"/>
        <v>57</v>
      </c>
      <c r="CD58" s="1">
        <f t="shared" si="17"/>
        <v>30</v>
      </c>
      <c r="CE58" s="1">
        <v>21</v>
      </c>
      <c r="CF58" s="1">
        <v>0</v>
      </c>
      <c r="CG58" s="1">
        <v>0</v>
      </c>
      <c r="CH58" s="1">
        <v>0</v>
      </c>
      <c r="CI58" s="1">
        <v>0</v>
      </c>
      <c r="CJ58" s="1">
        <f t="shared" si="12"/>
        <v>0</v>
      </c>
      <c r="CK58" s="1">
        <f t="shared" si="12"/>
        <v>0</v>
      </c>
      <c r="CL58" s="1">
        <f t="shared" si="12"/>
        <v>0</v>
      </c>
      <c r="CM58" s="1">
        <f t="shared" si="12"/>
        <v>0</v>
      </c>
      <c r="CN58" s="1">
        <f t="shared" si="12"/>
        <v>0</v>
      </c>
      <c r="CO58" s="1">
        <f t="shared" si="14"/>
        <v>0</v>
      </c>
      <c r="CP58" s="1">
        <f t="shared" si="14"/>
        <v>0</v>
      </c>
      <c r="CQ58" s="1">
        <f t="shared" si="14"/>
        <v>0</v>
      </c>
      <c r="CR58" s="1">
        <f t="shared" si="14"/>
        <v>0</v>
      </c>
      <c r="CS58" s="1">
        <f t="shared" si="14"/>
        <v>0</v>
      </c>
      <c r="CT58" s="1">
        <f t="shared" si="14"/>
        <v>0</v>
      </c>
      <c r="CU58" s="1">
        <f t="shared" si="14"/>
        <v>0</v>
      </c>
      <c r="CV58" s="1">
        <f t="shared" si="14"/>
        <v>0</v>
      </c>
      <c r="CW58" s="1">
        <f t="shared" si="14"/>
        <v>0</v>
      </c>
      <c r="CX58" s="1">
        <f t="shared" si="13"/>
        <v>0</v>
      </c>
      <c r="CY58" s="1">
        <f t="shared" si="13"/>
        <v>0</v>
      </c>
      <c r="CZ58" s="1">
        <f t="shared" si="13"/>
        <v>0</v>
      </c>
      <c r="DA58" s="1">
        <f t="shared" si="13"/>
        <v>0</v>
      </c>
      <c r="DB58" s="1">
        <f t="shared" si="13"/>
        <v>0</v>
      </c>
      <c r="DC58" s="1">
        <f t="shared" si="15"/>
        <v>0</v>
      </c>
      <c r="DD58" s="1">
        <f t="shared" si="15"/>
        <v>0</v>
      </c>
      <c r="DE58" s="1">
        <f t="shared" si="15"/>
        <v>0</v>
      </c>
      <c r="DF58" s="1">
        <f t="shared" si="15"/>
        <v>0</v>
      </c>
      <c r="DG58" s="1">
        <f t="shared" si="15"/>
        <v>0</v>
      </c>
      <c r="DH58" s="1">
        <f t="shared" si="15"/>
        <v>0</v>
      </c>
      <c r="DI58" s="1">
        <f t="shared" si="15"/>
        <v>0</v>
      </c>
      <c r="DJ58" s="1">
        <f t="shared" si="15"/>
        <v>0</v>
      </c>
      <c r="DK58" s="1">
        <f t="shared" si="15"/>
        <v>0</v>
      </c>
      <c r="DL58" s="25"/>
      <c r="DM58" s="25"/>
      <c r="DN58" s="24"/>
      <c r="DO58" s="25"/>
      <c r="DP58" s="25"/>
      <c r="DQ58" s="25"/>
      <c r="DR58" s="25"/>
      <c r="DS58" s="25"/>
      <c r="DT58" s="25"/>
      <c r="DU58" s="25"/>
      <c r="DV58" s="25"/>
    </row>
    <row r="59" spans="1:126" x14ac:dyDescent="0.25">
      <c r="A59" s="261">
        <v>43739</v>
      </c>
      <c r="B59" s="262">
        <f t="shared" si="18"/>
        <v>2019</v>
      </c>
      <c r="C59" s="262">
        <f t="shared" si="19"/>
        <v>10</v>
      </c>
      <c r="D59" s="263">
        <v>32773639.245061483</v>
      </c>
      <c r="E59" s="263">
        <f>IFERROR(VLOOKUP($B59-1,CDM!$L$7:$T$18,2,FALSE)/12,0)+IFERROR(VLOOKUP($B59,CDM!$L$36:$T$46,2,FALSE)/24,0)+IFERROR(VLOOKUP($B59,CDM!$L$36:$T$46,2,FALSE)/2*$C59/78,0)</f>
        <v>2471451.7724606013</v>
      </c>
      <c r="F59" s="263">
        <f t="shared" si="20"/>
        <v>35245091.017522082</v>
      </c>
      <c r="G59" s="264">
        <v>54731</v>
      </c>
      <c r="H59" s="263">
        <v>8494259.9870277289</v>
      </c>
      <c r="I59" s="263">
        <f>IFERROR(VLOOKUP($B59-1,CDM!$L$7:$T$18,3,FALSE)/12,0)+IFERROR(VLOOKUP($B59,CDM!$L$36:$T$46,3,FALSE)/24,0)+IFERROR(VLOOKUP($B59,CDM!$L$36:$T$46,3,FALSE)/2*$C59/78,0)</f>
        <v>562316.72348323849</v>
      </c>
      <c r="J59" s="263">
        <f t="shared" si="21"/>
        <v>9056576.7105109673</v>
      </c>
      <c r="K59" s="265">
        <v>4187</v>
      </c>
      <c r="L59" s="4">
        <v>23585440.062114313</v>
      </c>
      <c r="M59" s="266">
        <f>IFERROR(VLOOKUP($B59-1,CDM!$L$7:$T$18,4,FALSE)/12,0)+IFERROR(VLOOKUP($B59,CDM!$L$36:$T$46,4,FALSE)/24,0)+IFERROR(VLOOKUP($B59,CDM!$L$36:$T$46,4,FALSE)/2*$C59/78,0)</f>
        <v>664533.44779440993</v>
      </c>
      <c r="N59" s="263">
        <f t="shared" si="22"/>
        <v>24249973.509908725</v>
      </c>
      <c r="O59" s="4">
        <v>64222.95</v>
      </c>
      <c r="P59" s="265">
        <v>530</v>
      </c>
      <c r="Q59" s="265">
        <v>6021721.5590285528</v>
      </c>
      <c r="R59" s="265">
        <f>IFERROR(VLOOKUP($B59-1,CDM!$L$7:$T$18,5,FALSE)/12,0)+IFERROR(VLOOKUP($B59,CDM!$L$36:$T$46,5,FALSE)/24,0)+IFERROR(VLOOKUP($B59,CDM!$L$36:$T$46,5,FALSE)/2*$C59/78,0)</f>
        <v>855588.83486887359</v>
      </c>
      <c r="S59" s="265">
        <f t="shared" si="7"/>
        <v>6877310.3938974263</v>
      </c>
      <c r="T59" s="265">
        <v>14831.805914484739</v>
      </c>
      <c r="U59" s="265">
        <v>14</v>
      </c>
      <c r="V59" s="265">
        <v>3235594.6355934963</v>
      </c>
      <c r="W59" s="265">
        <f>IFERROR(VLOOKUP($B59-1,CDM!$L$7:$T$18,6,FALSE)/12,0)+IFERROR(VLOOKUP($B59,CDM!$L$36:$T$46,6,FALSE)/24,0)+IFERROR(VLOOKUP($B59,CDM!$L$36:$T$46,6,FALSE)/2*$C59/78,0)</f>
        <v>23219.586164529919</v>
      </c>
      <c r="X59" s="265">
        <f t="shared" si="8"/>
        <v>3258814.2217580262</v>
      </c>
      <c r="Y59" s="265">
        <v>7449</v>
      </c>
      <c r="Z59" s="265">
        <v>1</v>
      </c>
      <c r="AA59" s="4">
        <v>403308.71113513544</v>
      </c>
      <c r="AB59" s="4">
        <v>1019</v>
      </c>
      <c r="AC59" s="265">
        <v>13964</v>
      </c>
      <c r="AD59" s="265">
        <v>2155.2736982643523</v>
      </c>
      <c r="AE59" s="265">
        <v>0</v>
      </c>
      <c r="AF59" s="265">
        <v>19</v>
      </c>
      <c r="AG59" s="4">
        <v>212214</v>
      </c>
      <c r="AH59" s="4">
        <v>248</v>
      </c>
      <c r="AI59" s="28">
        <f>Economic!H61</f>
        <v>807274.5</v>
      </c>
      <c r="AJ59" s="28">
        <f>Economic!I61</f>
        <v>626103.1</v>
      </c>
      <c r="AK59" s="28">
        <f>Economic!J61</f>
        <v>59751.3</v>
      </c>
      <c r="AL59" s="28">
        <f>Economic!K61</f>
        <v>811397</v>
      </c>
      <c r="AM59" s="28">
        <f>Economic!L61</f>
        <v>631766</v>
      </c>
      <c r="AN59" s="28">
        <f>Economic!M61</f>
        <v>33770</v>
      </c>
      <c r="AO59" s="28">
        <f>Economic!D61</f>
        <v>7462.2</v>
      </c>
      <c r="AP59" s="28">
        <f>Economic!E61</f>
        <v>7501.2</v>
      </c>
      <c r="AQ59" s="28">
        <f>Economic!F61</f>
        <v>207.5</v>
      </c>
      <c r="AR59" s="28">
        <f>Economic!G61</f>
        <v>206.1</v>
      </c>
      <c r="AS59" s="28">
        <f>Economic!N61</f>
        <v>191.89999999999964</v>
      </c>
      <c r="AT59" s="28">
        <f>Economic!O61</f>
        <v>210.59999999999945</v>
      </c>
      <c r="AU59" s="28">
        <f>Economic!P61</f>
        <v>-7.6999999999999886</v>
      </c>
      <c r="AV59" s="28">
        <f>Economic!Q61</f>
        <v>-7.9000000000000057</v>
      </c>
      <c r="AW59" s="28">
        <f>Economic!R61</f>
        <v>17742.900000000023</v>
      </c>
      <c r="AX59" s="28">
        <f>Economic!S61</f>
        <v>1050</v>
      </c>
      <c r="AY59" s="7">
        <f>Weather!D59</f>
        <v>10.194623655913977</v>
      </c>
      <c r="AZ59" s="7">
        <f>Weather!E59</f>
        <v>303.96666666666664</v>
      </c>
      <c r="BA59" s="7">
        <f>Weather!F59</f>
        <v>0</v>
      </c>
      <c r="BB59" s="7">
        <f>Weather!G59</f>
        <v>243.77916666666664</v>
      </c>
      <c r="BC59" s="7">
        <f>Weather!H59</f>
        <v>1.8125000000000036</v>
      </c>
      <c r="BD59" s="7">
        <f>Weather!I59</f>
        <v>183.7791666666667</v>
      </c>
      <c r="BE59" s="7">
        <f>Weather!J59</f>
        <v>3.8125000000000036</v>
      </c>
      <c r="BF59" s="7">
        <f>Weather!K59</f>
        <v>125.30000000000004</v>
      </c>
      <c r="BG59" s="7">
        <f>Weather!L59</f>
        <v>7.3333333333333357</v>
      </c>
      <c r="BH59" s="7">
        <f>Weather!M59</f>
        <v>72.637500000000017</v>
      </c>
      <c r="BI59" s="7">
        <f>Weather!N59</f>
        <v>16.670833333333334</v>
      </c>
      <c r="BJ59" s="7">
        <f>Weather!O59</f>
        <v>31.19583333333334</v>
      </c>
      <c r="BK59" s="7">
        <f>Weather!P59</f>
        <v>37.229166666666664</v>
      </c>
      <c r="BL59" s="7">
        <f>Weather!Q59</f>
        <v>8.0666666666666664</v>
      </c>
      <c r="BM59" s="7">
        <f>Weather!R59</f>
        <v>76.099999999999994</v>
      </c>
      <c r="BN59" s="1">
        <v>0</v>
      </c>
      <c r="BO59" s="1">
        <v>0</v>
      </c>
      <c r="BP59" s="1">
        <v>0</v>
      </c>
      <c r="BQ59" s="1">
        <v>0</v>
      </c>
      <c r="BR59" s="1">
        <v>0</v>
      </c>
      <c r="BS59" s="1">
        <v>0</v>
      </c>
      <c r="BT59" s="1">
        <v>0</v>
      </c>
      <c r="BU59" s="1">
        <v>0</v>
      </c>
      <c r="BV59" s="1">
        <v>0</v>
      </c>
      <c r="BW59" s="1">
        <v>1</v>
      </c>
      <c r="BX59" s="1">
        <v>0</v>
      </c>
      <c r="BY59" s="1">
        <v>0</v>
      </c>
      <c r="BZ59" s="1">
        <f t="shared" si="16"/>
        <v>0</v>
      </c>
      <c r="CA59" s="1">
        <f t="shared" si="16"/>
        <v>1</v>
      </c>
      <c r="CB59" s="1">
        <f t="shared" si="16"/>
        <v>1</v>
      </c>
      <c r="CC59" s="1">
        <f t="shared" si="23"/>
        <v>58</v>
      </c>
      <c r="CD59" s="1">
        <f t="shared" si="17"/>
        <v>31</v>
      </c>
      <c r="CE59" s="1">
        <v>21</v>
      </c>
      <c r="CF59" s="1">
        <v>0</v>
      </c>
      <c r="CG59" s="1">
        <v>0</v>
      </c>
      <c r="CH59" s="1">
        <v>0</v>
      </c>
      <c r="CI59" s="1">
        <v>0</v>
      </c>
      <c r="CJ59" s="1">
        <f t="shared" si="12"/>
        <v>0</v>
      </c>
      <c r="CK59" s="1">
        <f t="shared" si="12"/>
        <v>0</v>
      </c>
      <c r="CL59" s="1">
        <f t="shared" si="12"/>
        <v>0</v>
      </c>
      <c r="CM59" s="1">
        <f t="shared" si="12"/>
        <v>0</v>
      </c>
      <c r="CN59" s="1">
        <f t="shared" si="12"/>
        <v>0</v>
      </c>
      <c r="CO59" s="1">
        <f t="shared" si="14"/>
        <v>0</v>
      </c>
      <c r="CP59" s="1">
        <f t="shared" si="14"/>
        <v>0</v>
      </c>
      <c r="CQ59" s="1">
        <f t="shared" si="14"/>
        <v>0</v>
      </c>
      <c r="CR59" s="1">
        <f t="shared" ref="CR59:CW101" si="24">$CG59*BH59</f>
        <v>0</v>
      </c>
      <c r="CS59" s="1">
        <f t="shared" si="24"/>
        <v>0</v>
      </c>
      <c r="CT59" s="1">
        <f t="shared" si="24"/>
        <v>0</v>
      </c>
      <c r="CU59" s="1">
        <f t="shared" si="24"/>
        <v>0</v>
      </c>
      <c r="CV59" s="1">
        <f t="shared" si="24"/>
        <v>0</v>
      </c>
      <c r="CW59" s="1">
        <f t="shared" si="24"/>
        <v>0</v>
      </c>
      <c r="CX59" s="1">
        <f t="shared" si="13"/>
        <v>0</v>
      </c>
      <c r="CY59" s="1">
        <f t="shared" si="13"/>
        <v>0</v>
      </c>
      <c r="CZ59" s="1">
        <f t="shared" si="13"/>
        <v>0</v>
      </c>
      <c r="DA59" s="1">
        <f t="shared" si="13"/>
        <v>0</v>
      </c>
      <c r="DB59" s="1">
        <f t="shared" si="13"/>
        <v>0</v>
      </c>
      <c r="DC59" s="1">
        <f t="shared" si="15"/>
        <v>0</v>
      </c>
      <c r="DD59" s="1">
        <f t="shared" si="15"/>
        <v>0</v>
      </c>
      <c r="DE59" s="1">
        <f t="shared" si="15"/>
        <v>0</v>
      </c>
      <c r="DF59" s="1">
        <f t="shared" ref="DF59:DK101" si="25">$CH59*BH59</f>
        <v>0</v>
      </c>
      <c r="DG59" s="1">
        <f t="shared" si="25"/>
        <v>0</v>
      </c>
      <c r="DH59" s="1">
        <f t="shared" si="25"/>
        <v>0</v>
      </c>
      <c r="DI59" s="1">
        <f t="shared" si="25"/>
        <v>0</v>
      </c>
      <c r="DJ59" s="1">
        <f t="shared" si="25"/>
        <v>0</v>
      </c>
      <c r="DK59" s="1">
        <f t="shared" si="25"/>
        <v>0</v>
      </c>
      <c r="DL59" s="25"/>
      <c r="DM59" s="25"/>
      <c r="DN59" s="24"/>
      <c r="DO59" s="25"/>
      <c r="DP59" s="25"/>
      <c r="DQ59" s="25"/>
      <c r="DR59" s="25"/>
      <c r="DS59" s="25"/>
      <c r="DT59" s="25"/>
      <c r="DU59" s="25"/>
      <c r="DV59" s="25"/>
    </row>
    <row r="60" spans="1:126" x14ac:dyDescent="0.25">
      <c r="A60" s="261">
        <v>43770</v>
      </c>
      <c r="B60" s="262">
        <f t="shared" si="18"/>
        <v>2019</v>
      </c>
      <c r="C60" s="262">
        <f t="shared" si="19"/>
        <v>11</v>
      </c>
      <c r="D60" s="263">
        <v>38419221.825659089</v>
      </c>
      <c r="E60" s="263">
        <f>IFERROR(VLOOKUP($B60-1,CDM!$L$7:$T$18,2,FALSE)/12,0)+IFERROR(VLOOKUP($B60,CDM!$L$36:$T$46,2,FALSE)/24,0)+IFERROR(VLOOKUP($B60,CDM!$L$36:$T$46,2,FALSE)/2*$C60/78,0)</f>
        <v>2481576.3503064876</v>
      </c>
      <c r="F60" s="263">
        <f t="shared" si="20"/>
        <v>40900798.175965577</v>
      </c>
      <c r="G60" s="264">
        <v>54733</v>
      </c>
      <c r="H60" s="263">
        <v>9786349.9537849221</v>
      </c>
      <c r="I60" s="263">
        <f>IFERROR(VLOOKUP($B60-1,CDM!$L$7:$T$18,3,FALSE)/12,0)+IFERROR(VLOOKUP($B60,CDM!$L$36:$T$46,3,FALSE)/24,0)+IFERROR(VLOOKUP($B60,CDM!$L$36:$T$46,3,FALSE)/2*$C60/78,0)</f>
        <v>564079.74595956854</v>
      </c>
      <c r="J60" s="263">
        <f t="shared" si="21"/>
        <v>10350429.699744491</v>
      </c>
      <c r="K60" s="265">
        <v>4184</v>
      </c>
      <c r="L60" s="4">
        <v>30157229.44816862</v>
      </c>
      <c r="M60" s="266">
        <f>IFERROR(VLOOKUP($B60-1,CDM!$L$7:$T$18,4,FALSE)/12,0)+IFERROR(VLOOKUP($B60,CDM!$L$36:$T$46,4,FALSE)/24,0)+IFERROR(VLOOKUP($B60,CDM!$L$36:$T$46,4,FALSE)/2*$C60/78,0)</f>
        <v>668312.77825836232</v>
      </c>
      <c r="N60" s="263">
        <f t="shared" si="22"/>
        <v>30825542.226426981</v>
      </c>
      <c r="O60" s="4">
        <v>73748.740000000005</v>
      </c>
      <c r="P60" s="265">
        <v>530</v>
      </c>
      <c r="Q60" s="265">
        <v>5648825.5389121491</v>
      </c>
      <c r="R60" s="265">
        <f>IFERROR(VLOOKUP($B60-1,CDM!$L$7:$T$18,5,FALSE)/12,0)+IFERROR(VLOOKUP($B60,CDM!$L$36:$T$46,5,FALSE)/24,0)+IFERROR(VLOOKUP($B60,CDM!$L$36:$T$46,5,FALSE)/2*$C60/78,0)</f>
        <v>855588.83486887359</v>
      </c>
      <c r="S60" s="265">
        <f t="shared" si="7"/>
        <v>6504414.3737810226</v>
      </c>
      <c r="T60" s="265">
        <v>13913.344085515262</v>
      </c>
      <c r="U60" s="265">
        <v>14</v>
      </c>
      <c r="V60" s="265">
        <v>3235594.6355934963</v>
      </c>
      <c r="W60" s="265">
        <f>IFERROR(VLOOKUP($B60-1,CDM!$L$7:$T$18,6,FALSE)/12,0)+IFERROR(VLOOKUP($B60,CDM!$L$36:$T$46,6,FALSE)/24,0)+IFERROR(VLOOKUP($B60,CDM!$L$36:$T$46,6,FALSE)/2*$C60/78,0)</f>
        <v>23218.176655982908</v>
      </c>
      <c r="X60" s="265">
        <f t="shared" si="8"/>
        <v>3258812.8122494793</v>
      </c>
      <c r="Y60" s="265">
        <v>7591.3600000000006</v>
      </c>
      <c r="Z60" s="265">
        <v>1</v>
      </c>
      <c r="AA60" s="4">
        <v>435309.79307383945</v>
      </c>
      <c r="AB60" s="4">
        <v>1020.48</v>
      </c>
      <c r="AC60" s="265">
        <v>13964</v>
      </c>
      <c r="AD60" s="265">
        <v>2138.8518024032041</v>
      </c>
      <c r="AE60" s="265">
        <v>0</v>
      </c>
      <c r="AF60" s="265">
        <v>19</v>
      </c>
      <c r="AG60" s="4">
        <v>212159</v>
      </c>
      <c r="AH60" s="4">
        <v>248</v>
      </c>
      <c r="AI60" s="28">
        <f>Economic!H62</f>
        <v>807274.5</v>
      </c>
      <c r="AJ60" s="28">
        <f>Economic!I62</f>
        <v>626103.1</v>
      </c>
      <c r="AK60" s="28">
        <f>Economic!J62</f>
        <v>59751.3</v>
      </c>
      <c r="AL60" s="28">
        <f>Economic!K62</f>
        <v>811397</v>
      </c>
      <c r="AM60" s="28">
        <f>Economic!L62</f>
        <v>631766</v>
      </c>
      <c r="AN60" s="28">
        <f>Economic!M62</f>
        <v>33770</v>
      </c>
      <c r="AO60" s="28">
        <f>Economic!D62</f>
        <v>7470.1</v>
      </c>
      <c r="AP60" s="28">
        <f>Economic!E62</f>
        <v>7488.3</v>
      </c>
      <c r="AQ60" s="28">
        <f>Economic!F62</f>
        <v>206.3</v>
      </c>
      <c r="AR60" s="28">
        <f>Economic!G62</f>
        <v>203.6</v>
      </c>
      <c r="AS60" s="28">
        <f>Economic!N62</f>
        <v>180.10000000000036</v>
      </c>
      <c r="AT60" s="28">
        <f>Economic!O62</f>
        <v>199.40000000000055</v>
      </c>
      <c r="AU60" s="28">
        <f>Economic!P62</f>
        <v>-9</v>
      </c>
      <c r="AV60" s="28">
        <f>Economic!Q62</f>
        <v>-9.9000000000000057</v>
      </c>
      <c r="AW60" s="28">
        <f>Economic!R62</f>
        <v>17742.900000000023</v>
      </c>
      <c r="AX60" s="28">
        <f>Economic!S62</f>
        <v>1050</v>
      </c>
      <c r="AY60" s="7">
        <f>Weather!D60</f>
        <v>0.34250000000000014</v>
      </c>
      <c r="AZ60" s="7">
        <f>Weather!E60</f>
        <v>589.72500000000002</v>
      </c>
      <c r="BA60" s="7">
        <f>Weather!F60</f>
        <v>0</v>
      </c>
      <c r="BB60" s="7">
        <f>Weather!G60</f>
        <v>529.72500000000002</v>
      </c>
      <c r="BC60" s="7">
        <f>Weather!H60</f>
        <v>0</v>
      </c>
      <c r="BD60" s="7">
        <f>Weather!I60</f>
        <v>469.72499999999997</v>
      </c>
      <c r="BE60" s="7">
        <f>Weather!J60</f>
        <v>0</v>
      </c>
      <c r="BF60" s="7">
        <f>Weather!K60</f>
        <v>409.72499999999997</v>
      </c>
      <c r="BG60" s="7">
        <f>Weather!L60</f>
        <v>0</v>
      </c>
      <c r="BH60" s="7">
        <f>Weather!M60</f>
        <v>349.72499999999997</v>
      </c>
      <c r="BI60" s="7">
        <f>Weather!N60</f>
        <v>0</v>
      </c>
      <c r="BJ60" s="7">
        <f>Weather!O60</f>
        <v>289.72499999999997</v>
      </c>
      <c r="BK60" s="7">
        <f>Weather!P60</f>
        <v>0</v>
      </c>
      <c r="BL60" s="7">
        <f>Weather!Q60</f>
        <v>229.72499999999999</v>
      </c>
      <c r="BM60" s="7">
        <f>Weather!R60</f>
        <v>0</v>
      </c>
      <c r="BN60" s="1">
        <v>0</v>
      </c>
      <c r="BO60" s="1">
        <v>0</v>
      </c>
      <c r="BP60" s="1">
        <v>0</v>
      </c>
      <c r="BQ60" s="1">
        <v>0</v>
      </c>
      <c r="BR60" s="1">
        <v>0</v>
      </c>
      <c r="BS60" s="1">
        <v>0</v>
      </c>
      <c r="BT60" s="1">
        <v>0</v>
      </c>
      <c r="BU60" s="1">
        <v>0</v>
      </c>
      <c r="BV60" s="1">
        <v>0</v>
      </c>
      <c r="BW60" s="1">
        <v>0</v>
      </c>
      <c r="BX60" s="1">
        <v>1</v>
      </c>
      <c r="BY60" s="1">
        <v>0</v>
      </c>
      <c r="BZ60" s="1">
        <f t="shared" si="16"/>
        <v>0</v>
      </c>
      <c r="CA60" s="1">
        <f t="shared" si="16"/>
        <v>1</v>
      </c>
      <c r="CB60" s="1">
        <f t="shared" si="16"/>
        <v>1</v>
      </c>
      <c r="CC60" s="1">
        <f t="shared" si="23"/>
        <v>59</v>
      </c>
      <c r="CD60" s="1">
        <f t="shared" si="17"/>
        <v>30</v>
      </c>
      <c r="CE60" s="1">
        <v>21</v>
      </c>
      <c r="CF60" s="1">
        <v>0</v>
      </c>
      <c r="CG60" s="1">
        <v>0</v>
      </c>
      <c r="CH60" s="1">
        <v>0</v>
      </c>
      <c r="CI60" s="1">
        <v>0</v>
      </c>
      <c r="CJ60" s="1">
        <f t="shared" si="12"/>
        <v>0</v>
      </c>
      <c r="CK60" s="1">
        <f t="shared" si="12"/>
        <v>0</v>
      </c>
      <c r="CL60" s="1">
        <f t="shared" si="12"/>
        <v>0</v>
      </c>
      <c r="CM60" s="1">
        <f t="shared" si="12"/>
        <v>0</v>
      </c>
      <c r="CN60" s="1">
        <f t="shared" si="12"/>
        <v>0</v>
      </c>
      <c r="CO60" s="1">
        <f t="shared" si="12"/>
        <v>0</v>
      </c>
      <c r="CP60" s="1">
        <f t="shared" si="12"/>
        <v>0</v>
      </c>
      <c r="CQ60" s="1">
        <f t="shared" si="12"/>
        <v>0</v>
      </c>
      <c r="CR60" s="1">
        <f t="shared" si="24"/>
        <v>0</v>
      </c>
      <c r="CS60" s="1">
        <f t="shared" si="24"/>
        <v>0</v>
      </c>
      <c r="CT60" s="1">
        <f t="shared" si="24"/>
        <v>0</v>
      </c>
      <c r="CU60" s="1">
        <f t="shared" si="24"/>
        <v>0</v>
      </c>
      <c r="CV60" s="1">
        <f t="shared" si="24"/>
        <v>0</v>
      </c>
      <c r="CW60" s="1">
        <f t="shared" si="24"/>
        <v>0</v>
      </c>
      <c r="CX60" s="1">
        <f t="shared" si="13"/>
        <v>0</v>
      </c>
      <c r="CY60" s="1">
        <f t="shared" si="13"/>
        <v>0</v>
      </c>
      <c r="CZ60" s="1">
        <f t="shared" si="13"/>
        <v>0</v>
      </c>
      <c r="DA60" s="1">
        <f t="shared" si="13"/>
        <v>0</v>
      </c>
      <c r="DB60" s="1">
        <f t="shared" si="13"/>
        <v>0</v>
      </c>
      <c r="DC60" s="1">
        <f t="shared" si="13"/>
        <v>0</v>
      </c>
      <c r="DD60" s="1">
        <f t="shared" si="13"/>
        <v>0</v>
      </c>
      <c r="DE60" s="1">
        <f t="shared" si="13"/>
        <v>0</v>
      </c>
      <c r="DF60" s="1">
        <f t="shared" si="25"/>
        <v>0</v>
      </c>
      <c r="DG60" s="1">
        <f t="shared" si="25"/>
        <v>0</v>
      </c>
      <c r="DH60" s="1">
        <f t="shared" si="25"/>
        <v>0</v>
      </c>
      <c r="DI60" s="1">
        <f t="shared" si="25"/>
        <v>0</v>
      </c>
      <c r="DJ60" s="1">
        <f t="shared" si="25"/>
        <v>0</v>
      </c>
      <c r="DK60" s="1">
        <f t="shared" si="25"/>
        <v>0</v>
      </c>
      <c r="DL60" s="25"/>
      <c r="DM60" s="25"/>
      <c r="DN60" s="24"/>
      <c r="DO60" s="25"/>
      <c r="DP60" s="25"/>
      <c r="DQ60" s="25"/>
      <c r="DR60" s="25"/>
      <c r="DS60" s="25"/>
      <c r="DT60" s="25"/>
      <c r="DU60" s="25"/>
      <c r="DV60" s="25"/>
    </row>
    <row r="61" spans="1:126" x14ac:dyDescent="0.25">
      <c r="A61" s="261">
        <v>43800</v>
      </c>
      <c r="B61" s="262">
        <f t="shared" si="18"/>
        <v>2019</v>
      </c>
      <c r="C61" s="262">
        <f t="shared" si="19"/>
        <v>12</v>
      </c>
      <c r="D61" s="263">
        <v>43852540.618322797</v>
      </c>
      <c r="E61" s="263">
        <f>IFERROR(VLOOKUP($B61-1,CDM!$L$7:$T$18,2,FALSE)/12,0)+IFERROR(VLOOKUP($B61,CDM!$L$36:$T$46,2,FALSE)/24,0)+IFERROR(VLOOKUP($B61,CDM!$L$36:$T$46,2,FALSE)/2*$C61/78,0)</f>
        <v>2491700.9281523735</v>
      </c>
      <c r="F61" s="263">
        <f t="shared" si="20"/>
        <v>46344241.546475172</v>
      </c>
      <c r="G61" s="264">
        <v>54588</v>
      </c>
      <c r="H61" s="263">
        <v>10442609.366658093</v>
      </c>
      <c r="I61" s="263">
        <f>IFERROR(VLOOKUP($B61-1,CDM!$L$7:$T$18,3,FALSE)/12,0)+IFERROR(VLOOKUP($B61,CDM!$L$36:$T$46,3,FALSE)/24,0)+IFERROR(VLOOKUP($B61,CDM!$L$36:$T$46,3,FALSE)/2*$C61/78,0)</f>
        <v>565842.76843589847</v>
      </c>
      <c r="J61" s="263">
        <f t="shared" si="21"/>
        <v>11008452.135093993</v>
      </c>
      <c r="K61" s="265">
        <v>4187</v>
      </c>
      <c r="L61" s="4">
        <v>29843552.082879245</v>
      </c>
      <c r="M61" s="266">
        <f>IFERROR(VLOOKUP($B61-1,CDM!$L$7:$T$18,4,FALSE)/12,0)+IFERROR(VLOOKUP($B61,CDM!$L$36:$T$46,4,FALSE)/24,0)+IFERROR(VLOOKUP($B61,CDM!$L$36:$T$46,4,FALSE)/2*$C61/78,0)</f>
        <v>672092.10872231459</v>
      </c>
      <c r="N61" s="263">
        <f t="shared" si="22"/>
        <v>30515644.19160156</v>
      </c>
      <c r="O61" s="4">
        <v>72617.73000000001</v>
      </c>
      <c r="P61" s="265">
        <v>533</v>
      </c>
      <c r="Q61" s="265">
        <v>6061159.2443419928</v>
      </c>
      <c r="R61" s="265">
        <f>IFERROR(VLOOKUP($B61-1,CDM!$L$7:$T$18,5,FALSE)/12,0)+IFERROR(VLOOKUP($B61,CDM!$L$36:$T$46,5,FALSE)/24,0)+IFERROR(VLOOKUP($B61,CDM!$L$36:$T$46,5,FALSE)/2*$C61/78,0)</f>
        <v>855588.83486887359</v>
      </c>
      <c r="S61" s="265">
        <f t="shared" si="7"/>
        <v>6916748.0792108662</v>
      </c>
      <c r="T61" s="265">
        <v>14210.05</v>
      </c>
      <c r="U61" s="265">
        <v>14</v>
      </c>
      <c r="V61" s="265">
        <v>3129610.3284404315</v>
      </c>
      <c r="W61" s="265">
        <f>IFERROR(VLOOKUP($B61-1,CDM!$L$7:$T$18,6,FALSE)/12,0)+IFERROR(VLOOKUP($B61,CDM!$L$36:$T$46,6,FALSE)/24,0)+IFERROR(VLOOKUP($B61,CDM!$L$36:$T$46,6,FALSE)/2*$C61/78,0)</f>
        <v>23216.767147435901</v>
      </c>
      <c r="X61" s="265">
        <f t="shared" si="8"/>
        <v>3152827.0955878673</v>
      </c>
      <c r="Y61" s="265">
        <v>6428.18</v>
      </c>
      <c r="Z61" s="265">
        <v>1</v>
      </c>
      <c r="AA61" s="4">
        <v>468831.9131203572</v>
      </c>
      <c r="AB61" s="4">
        <v>1019.74</v>
      </c>
      <c r="AC61" s="265">
        <v>13964</v>
      </c>
      <c r="AD61" s="265">
        <v>2285.94</v>
      </c>
      <c r="AE61" s="265">
        <v>85</v>
      </c>
      <c r="AF61" s="265">
        <v>19</v>
      </c>
      <c r="AG61" s="4">
        <v>212310</v>
      </c>
      <c r="AH61" s="4">
        <v>248</v>
      </c>
      <c r="AI61" s="28">
        <f>Economic!H63</f>
        <v>807274.5</v>
      </c>
      <c r="AJ61" s="28">
        <f>Economic!I63</f>
        <v>626103.1</v>
      </c>
      <c r="AK61" s="28">
        <f>Economic!J63</f>
        <v>59751.3</v>
      </c>
      <c r="AL61" s="28">
        <f>Economic!K63</f>
        <v>811397</v>
      </c>
      <c r="AM61" s="28">
        <f>Economic!L63</f>
        <v>631766</v>
      </c>
      <c r="AN61" s="28">
        <f>Economic!M63</f>
        <v>33770</v>
      </c>
      <c r="AO61" s="28">
        <f>Economic!D63</f>
        <v>7482.6</v>
      </c>
      <c r="AP61" s="28">
        <f>Economic!E63</f>
        <v>7493.8</v>
      </c>
      <c r="AQ61" s="28">
        <f>Economic!F63</f>
        <v>207.6</v>
      </c>
      <c r="AR61" s="28">
        <f>Economic!G63</f>
        <v>204.9</v>
      </c>
      <c r="AS61" s="28">
        <f>Economic!N63</f>
        <v>182.5</v>
      </c>
      <c r="AT61" s="28">
        <f>Economic!O63</f>
        <v>183.10000000000036</v>
      </c>
      <c r="AU61" s="28">
        <f>Economic!P63</f>
        <v>-6.7000000000000171</v>
      </c>
      <c r="AV61" s="28">
        <f>Economic!Q63</f>
        <v>-7.9000000000000057</v>
      </c>
      <c r="AW61" s="28">
        <f>Economic!R63</f>
        <v>17742.900000000023</v>
      </c>
      <c r="AX61" s="28">
        <f>Economic!S63</f>
        <v>1050</v>
      </c>
      <c r="AY61" s="7">
        <f>Weather!D61</f>
        <v>-1.8202956989247305</v>
      </c>
      <c r="AZ61" s="7">
        <f>Weather!E61</f>
        <v>676.42916666666656</v>
      </c>
      <c r="BA61" s="7">
        <f>Weather!F61</f>
        <v>0</v>
      </c>
      <c r="BB61" s="7">
        <f>Weather!G61</f>
        <v>614.42916666666667</v>
      </c>
      <c r="BC61" s="7">
        <f>Weather!H61</f>
        <v>0</v>
      </c>
      <c r="BD61" s="7">
        <f>Weather!I61</f>
        <v>552.42916666666667</v>
      </c>
      <c r="BE61" s="7">
        <f>Weather!J61</f>
        <v>0</v>
      </c>
      <c r="BF61" s="7">
        <f>Weather!K61</f>
        <v>490.42916666666656</v>
      </c>
      <c r="BG61" s="7">
        <f>Weather!L61</f>
        <v>0</v>
      </c>
      <c r="BH61" s="7">
        <f>Weather!M61</f>
        <v>428.42916666666656</v>
      </c>
      <c r="BI61" s="7">
        <f>Weather!N61</f>
        <v>0</v>
      </c>
      <c r="BJ61" s="7">
        <f>Weather!O61</f>
        <v>366.42916666666656</v>
      </c>
      <c r="BK61" s="7">
        <f>Weather!P61</f>
        <v>0</v>
      </c>
      <c r="BL61" s="7">
        <f>Weather!Q61</f>
        <v>304.42916666666662</v>
      </c>
      <c r="BM61" s="7">
        <f>Weather!R61</f>
        <v>0</v>
      </c>
      <c r="BN61" s="1">
        <v>0</v>
      </c>
      <c r="BO61" s="1">
        <v>0</v>
      </c>
      <c r="BP61" s="1">
        <v>0</v>
      </c>
      <c r="BQ61" s="1">
        <v>0</v>
      </c>
      <c r="BR61" s="1">
        <v>0</v>
      </c>
      <c r="BS61" s="1">
        <v>0</v>
      </c>
      <c r="BT61" s="1">
        <v>0</v>
      </c>
      <c r="BU61" s="1">
        <v>0</v>
      </c>
      <c r="BV61" s="1">
        <v>0</v>
      </c>
      <c r="BW61" s="1">
        <v>0</v>
      </c>
      <c r="BX61" s="1">
        <v>0</v>
      </c>
      <c r="BY61" s="1">
        <v>1</v>
      </c>
      <c r="BZ61" s="1">
        <f t="shared" si="16"/>
        <v>0</v>
      </c>
      <c r="CA61" s="1">
        <f t="shared" si="16"/>
        <v>0</v>
      </c>
      <c r="CB61" s="1">
        <f t="shared" si="16"/>
        <v>0</v>
      </c>
      <c r="CC61" s="1">
        <f t="shared" si="23"/>
        <v>60</v>
      </c>
      <c r="CD61" s="1">
        <f t="shared" si="17"/>
        <v>31</v>
      </c>
      <c r="CE61" s="1">
        <v>21</v>
      </c>
      <c r="CF61" s="1">
        <v>0</v>
      </c>
      <c r="CG61" s="1">
        <v>0</v>
      </c>
      <c r="CH61" s="1">
        <v>0</v>
      </c>
      <c r="CI61" s="1">
        <v>0</v>
      </c>
      <c r="CJ61" s="1">
        <f t="shared" si="12"/>
        <v>0</v>
      </c>
      <c r="CK61" s="1">
        <f t="shared" si="12"/>
        <v>0</v>
      </c>
      <c r="CL61" s="1">
        <f t="shared" si="12"/>
        <v>0</v>
      </c>
      <c r="CM61" s="1">
        <f t="shared" si="12"/>
        <v>0</v>
      </c>
      <c r="CN61" s="1">
        <f t="shared" si="12"/>
        <v>0</v>
      </c>
      <c r="CO61" s="1">
        <f t="shared" si="12"/>
        <v>0</v>
      </c>
      <c r="CP61" s="1">
        <f t="shared" si="12"/>
        <v>0</v>
      </c>
      <c r="CQ61" s="1">
        <f t="shared" si="12"/>
        <v>0</v>
      </c>
      <c r="CR61" s="1">
        <f t="shared" si="24"/>
        <v>0</v>
      </c>
      <c r="CS61" s="1">
        <f t="shared" si="24"/>
        <v>0</v>
      </c>
      <c r="CT61" s="1">
        <f t="shared" si="24"/>
        <v>0</v>
      </c>
      <c r="CU61" s="1">
        <f t="shared" si="24"/>
        <v>0</v>
      </c>
      <c r="CV61" s="1">
        <f t="shared" si="24"/>
        <v>0</v>
      </c>
      <c r="CW61" s="1">
        <f t="shared" si="24"/>
        <v>0</v>
      </c>
      <c r="CX61" s="1">
        <f t="shared" si="13"/>
        <v>0</v>
      </c>
      <c r="CY61" s="1">
        <f t="shared" si="13"/>
        <v>0</v>
      </c>
      <c r="CZ61" s="1">
        <f t="shared" si="13"/>
        <v>0</v>
      </c>
      <c r="DA61" s="1">
        <f t="shared" si="13"/>
        <v>0</v>
      </c>
      <c r="DB61" s="1">
        <f t="shared" si="13"/>
        <v>0</v>
      </c>
      <c r="DC61" s="1">
        <f t="shared" si="13"/>
        <v>0</v>
      </c>
      <c r="DD61" s="1">
        <f t="shared" si="13"/>
        <v>0</v>
      </c>
      <c r="DE61" s="1">
        <f t="shared" si="13"/>
        <v>0</v>
      </c>
      <c r="DF61" s="1">
        <f t="shared" si="25"/>
        <v>0</v>
      </c>
      <c r="DG61" s="1">
        <f t="shared" si="25"/>
        <v>0</v>
      </c>
      <c r="DH61" s="1">
        <f t="shared" si="25"/>
        <v>0</v>
      </c>
      <c r="DI61" s="1">
        <f t="shared" si="25"/>
        <v>0</v>
      </c>
      <c r="DJ61" s="1">
        <f t="shared" si="25"/>
        <v>0</v>
      </c>
      <c r="DK61" s="1">
        <f t="shared" si="25"/>
        <v>0</v>
      </c>
      <c r="DL61" s="25"/>
      <c r="DM61" s="25"/>
      <c r="DN61" s="24"/>
      <c r="DO61" s="25"/>
      <c r="DP61" s="25"/>
      <c r="DQ61" s="25"/>
      <c r="DR61" s="25"/>
      <c r="DS61" s="25"/>
      <c r="DT61" s="25"/>
      <c r="DU61" s="25"/>
      <c r="DV61" s="25"/>
    </row>
    <row r="62" spans="1:126" x14ac:dyDescent="0.25">
      <c r="A62" s="261">
        <v>43831</v>
      </c>
      <c r="B62" s="262">
        <f t="shared" si="18"/>
        <v>2020</v>
      </c>
      <c r="C62" s="262">
        <f t="shared" si="19"/>
        <v>1</v>
      </c>
      <c r="D62" s="263">
        <v>45903042.50774242</v>
      </c>
      <c r="E62" s="263">
        <f>IFERROR(VLOOKUP($B62-1,CDM!$L$7:$T$18,2,FALSE)/12,0)+IFERROR(VLOOKUP($B62,CDM!$L$36:$T$46,2,FALSE)/24,0)+IFERROR(VLOOKUP($B62,CDM!$L$36:$T$46,2,FALSE)/2*$C62/78,0)</f>
        <v>2435926.0865384615</v>
      </c>
      <c r="F62" s="263">
        <f t="shared" si="20"/>
        <v>48338968.594280884</v>
      </c>
      <c r="G62" s="264">
        <v>54262</v>
      </c>
      <c r="H62" s="263">
        <v>11619811.665162273</v>
      </c>
      <c r="I62" s="263">
        <f>IFERROR(VLOOKUP($B62-1,CDM!$L$7:$T$18,3,FALSE)/12,0)+IFERROR(VLOOKUP($B62,CDM!$L$36:$T$46,3,FALSE)/24,0)+IFERROR(VLOOKUP($B62,CDM!$L$36:$T$46,3,FALSE)/2*$C62/78,0)</f>
        <v>551893.63373451936</v>
      </c>
      <c r="J62" s="263">
        <f t="shared" si="21"/>
        <v>12171705.298896791</v>
      </c>
      <c r="K62" s="265">
        <v>4193</v>
      </c>
      <c r="L62" s="4">
        <v>31015354.048419181</v>
      </c>
      <c r="M62" s="266">
        <f>IFERROR(VLOOKUP($B62-1,CDM!$L$7:$T$18,4,FALSE)/12,0)+IFERROR(VLOOKUP($B62,CDM!$L$36:$T$46,4,FALSE)/24,0)+IFERROR(VLOOKUP($B62,CDM!$L$36:$T$46,4,FALSE)/2*$C62/78,0)</f>
        <v>649830.56735230971</v>
      </c>
      <c r="N62" s="263">
        <f t="shared" si="22"/>
        <v>31665184.615771491</v>
      </c>
      <c r="O62" s="4">
        <v>71711.539999999994</v>
      </c>
      <c r="P62" s="265">
        <v>538</v>
      </c>
      <c r="Q62" s="265">
        <v>6279848.0780141158</v>
      </c>
      <c r="R62" s="265">
        <f>IFERROR(VLOOKUP($B62-1,CDM!$L$7:$T$18,5,FALSE)/12,0)+IFERROR(VLOOKUP($B62,CDM!$L$36:$T$46,5,FALSE)/24,0)+IFERROR(VLOOKUP($B62,CDM!$L$36:$T$46,5,FALSE)/2*$C62/78,0)</f>
        <v>855582.50458041206</v>
      </c>
      <c r="S62" s="265">
        <f t="shared" si="7"/>
        <v>7135430.5825945279</v>
      </c>
      <c r="T62" s="265">
        <v>14212.669999999998</v>
      </c>
      <c r="U62" s="265">
        <v>14</v>
      </c>
      <c r="V62" s="265">
        <v>3051730.6981788147</v>
      </c>
      <c r="W62" s="265">
        <f>IFERROR(VLOOKUP($B62-1,CDM!$L$7:$T$18,6,FALSE)/12,0)+IFERROR(VLOOKUP($B62,CDM!$L$36:$T$46,6,FALSE)/24,0)+IFERROR(VLOOKUP($B62,CDM!$L$36:$T$46,6,FALSE)/2*$C62/78,0)</f>
        <v>23213.94813034188</v>
      </c>
      <c r="X62" s="265">
        <f t="shared" si="8"/>
        <v>3074944.6463091564</v>
      </c>
      <c r="Y62" s="265">
        <v>6974.08</v>
      </c>
      <c r="Z62" s="265">
        <v>1</v>
      </c>
      <c r="AA62" s="4">
        <v>489721.34239481873</v>
      </c>
      <c r="AB62" s="4">
        <v>1022.83</v>
      </c>
      <c r="AC62" s="265">
        <v>13978</v>
      </c>
      <c r="AD62" s="265">
        <v>2138.46</v>
      </c>
      <c r="AE62" s="265">
        <v>0</v>
      </c>
      <c r="AF62" s="265">
        <v>19</v>
      </c>
      <c r="AG62" s="4">
        <v>212868</v>
      </c>
      <c r="AH62" s="4">
        <v>253</v>
      </c>
      <c r="AI62" s="28">
        <f>Economic!H64</f>
        <v>769942</v>
      </c>
      <c r="AJ62" s="28">
        <f>Economic!I64</f>
        <v>596521.6</v>
      </c>
      <c r="AK62" s="28">
        <f>Economic!J64</f>
        <v>58159</v>
      </c>
      <c r="AL62" s="28">
        <f>Economic!K64</f>
        <v>800126</v>
      </c>
      <c r="AM62" s="28">
        <f>Economic!L64</f>
        <v>621238</v>
      </c>
      <c r="AN62" s="28">
        <f>Economic!M64</f>
        <v>30738</v>
      </c>
      <c r="AO62" s="28">
        <f>Economic!D64</f>
        <v>7504.9</v>
      </c>
      <c r="AP62" s="28">
        <f>Economic!E64</f>
        <v>7471.6</v>
      </c>
      <c r="AQ62" s="28">
        <f>Economic!F64</f>
        <v>208.1</v>
      </c>
      <c r="AR62" s="28">
        <f>Economic!G64</f>
        <v>205.5</v>
      </c>
      <c r="AS62" s="28">
        <f>Economic!N64</f>
        <v>186.89999999999964</v>
      </c>
      <c r="AT62" s="28">
        <f>Economic!O64</f>
        <v>182.20000000000073</v>
      </c>
      <c r="AU62" s="28">
        <f>Economic!P64</f>
        <v>-9</v>
      </c>
      <c r="AV62" s="28">
        <f>Economic!Q64</f>
        <v>-9.5</v>
      </c>
      <c r="AW62" s="28">
        <f>Economic!R64</f>
        <v>-37332.5</v>
      </c>
      <c r="AX62" s="28">
        <f>Economic!S64</f>
        <v>-11271</v>
      </c>
      <c r="AY62" s="7">
        <f>Weather!D62</f>
        <v>-2.2845430107526878</v>
      </c>
      <c r="AZ62" s="7">
        <f>Weather!E62</f>
        <v>690.82083333333321</v>
      </c>
      <c r="BA62" s="7">
        <f>Weather!F62</f>
        <v>0</v>
      </c>
      <c r="BB62" s="7">
        <f>Weather!G62</f>
        <v>628.82083333333333</v>
      </c>
      <c r="BC62" s="7">
        <f>Weather!H62</f>
        <v>0</v>
      </c>
      <c r="BD62" s="7">
        <f>Weather!I62</f>
        <v>566.82083333333333</v>
      </c>
      <c r="BE62" s="7">
        <f>Weather!J62</f>
        <v>0</v>
      </c>
      <c r="BF62" s="7">
        <f>Weather!K62</f>
        <v>504.82083333333333</v>
      </c>
      <c r="BG62" s="7">
        <f>Weather!L62</f>
        <v>0</v>
      </c>
      <c r="BH62" s="7">
        <f>Weather!M62</f>
        <v>442.82083333333327</v>
      </c>
      <c r="BI62" s="7">
        <f>Weather!N62</f>
        <v>0</v>
      </c>
      <c r="BJ62" s="7">
        <f>Weather!O62</f>
        <v>380.82083333333333</v>
      </c>
      <c r="BK62" s="7">
        <f>Weather!P62</f>
        <v>0</v>
      </c>
      <c r="BL62" s="7">
        <f>Weather!Q62</f>
        <v>318.82083333333333</v>
      </c>
      <c r="BM62" s="7">
        <f>Weather!R62</f>
        <v>0</v>
      </c>
      <c r="BN62" s="1">
        <f>BN50</f>
        <v>1</v>
      </c>
      <c r="BO62" s="1">
        <f t="shared" ref="BO62:BY62" si="26">BO50</f>
        <v>0</v>
      </c>
      <c r="BP62" s="1">
        <f t="shared" si="26"/>
        <v>0</v>
      </c>
      <c r="BQ62" s="1">
        <f t="shared" si="26"/>
        <v>0</v>
      </c>
      <c r="BR62" s="1">
        <f t="shared" si="26"/>
        <v>0</v>
      </c>
      <c r="BS62" s="1">
        <f t="shared" si="26"/>
        <v>0</v>
      </c>
      <c r="BT62" s="1">
        <f t="shared" si="26"/>
        <v>0</v>
      </c>
      <c r="BU62" s="1">
        <f t="shared" si="26"/>
        <v>0</v>
      </c>
      <c r="BV62" s="1">
        <f t="shared" si="26"/>
        <v>0</v>
      </c>
      <c r="BW62" s="1">
        <f t="shared" si="26"/>
        <v>0</v>
      </c>
      <c r="BX62" s="1">
        <f t="shared" si="26"/>
        <v>0</v>
      </c>
      <c r="BY62" s="1">
        <f t="shared" si="26"/>
        <v>0</v>
      </c>
      <c r="BZ62" s="1">
        <f t="shared" si="16"/>
        <v>0</v>
      </c>
      <c r="CA62" s="1">
        <f t="shared" si="16"/>
        <v>0</v>
      </c>
      <c r="CB62" s="1">
        <f t="shared" si="16"/>
        <v>0</v>
      </c>
      <c r="CC62" s="1">
        <f t="shared" si="23"/>
        <v>61</v>
      </c>
      <c r="CD62" s="1">
        <f t="shared" si="17"/>
        <v>31</v>
      </c>
      <c r="CE62" s="1">
        <v>22</v>
      </c>
      <c r="CF62" s="1">
        <v>0</v>
      </c>
      <c r="CG62" s="1">
        <v>0</v>
      </c>
      <c r="CH62" s="1">
        <v>0</v>
      </c>
      <c r="CI62" s="1">
        <v>0</v>
      </c>
      <c r="CJ62" s="1">
        <f t="shared" si="12"/>
        <v>0</v>
      </c>
      <c r="CK62" s="1">
        <f t="shared" si="12"/>
        <v>0</v>
      </c>
      <c r="CL62" s="1">
        <f t="shared" si="12"/>
        <v>0</v>
      </c>
      <c r="CM62" s="1">
        <f t="shared" si="12"/>
        <v>0</v>
      </c>
      <c r="CN62" s="1">
        <f t="shared" si="12"/>
        <v>0</v>
      </c>
      <c r="CO62" s="1">
        <f t="shared" si="12"/>
        <v>0</v>
      </c>
      <c r="CP62" s="1">
        <f t="shared" si="12"/>
        <v>0</v>
      </c>
      <c r="CQ62" s="1">
        <f t="shared" si="12"/>
        <v>0</v>
      </c>
      <c r="CR62" s="1">
        <f t="shared" si="24"/>
        <v>0</v>
      </c>
      <c r="CS62" s="1">
        <f t="shared" si="24"/>
        <v>0</v>
      </c>
      <c r="CT62" s="1">
        <f t="shared" si="24"/>
        <v>0</v>
      </c>
      <c r="CU62" s="1">
        <f t="shared" si="24"/>
        <v>0</v>
      </c>
      <c r="CV62" s="1">
        <f t="shared" si="24"/>
        <v>0</v>
      </c>
      <c r="CW62" s="1">
        <f t="shared" si="24"/>
        <v>0</v>
      </c>
      <c r="CX62" s="1">
        <f t="shared" si="13"/>
        <v>0</v>
      </c>
      <c r="CY62" s="1">
        <f t="shared" si="13"/>
        <v>0</v>
      </c>
      <c r="CZ62" s="1">
        <f t="shared" si="13"/>
        <v>0</v>
      </c>
      <c r="DA62" s="1">
        <f t="shared" si="13"/>
        <v>0</v>
      </c>
      <c r="DB62" s="1">
        <f t="shared" si="13"/>
        <v>0</v>
      </c>
      <c r="DC62" s="1">
        <f t="shared" si="13"/>
        <v>0</v>
      </c>
      <c r="DD62" s="1">
        <f t="shared" si="13"/>
        <v>0</v>
      </c>
      <c r="DE62" s="1">
        <f t="shared" si="13"/>
        <v>0</v>
      </c>
      <c r="DF62" s="1">
        <f t="shared" si="25"/>
        <v>0</v>
      </c>
      <c r="DG62" s="1">
        <f t="shared" si="25"/>
        <v>0</v>
      </c>
      <c r="DH62" s="1">
        <f t="shared" si="25"/>
        <v>0</v>
      </c>
      <c r="DI62" s="1">
        <f t="shared" si="25"/>
        <v>0</v>
      </c>
      <c r="DJ62" s="1">
        <f t="shared" si="25"/>
        <v>0</v>
      </c>
      <c r="DK62" s="1">
        <f t="shared" si="25"/>
        <v>0</v>
      </c>
      <c r="DL62" s="25"/>
      <c r="DM62" s="25"/>
      <c r="DN62" s="24"/>
      <c r="DO62" s="25"/>
      <c r="DP62" s="25"/>
      <c r="DQ62" s="25"/>
      <c r="DR62" s="25"/>
      <c r="DS62" s="25"/>
      <c r="DT62" s="25"/>
      <c r="DU62" s="25"/>
      <c r="DV62" s="25"/>
    </row>
    <row r="63" spans="1:126" x14ac:dyDescent="0.25">
      <c r="A63" s="261">
        <v>43862</v>
      </c>
      <c r="B63" s="262">
        <f t="shared" si="18"/>
        <v>2020</v>
      </c>
      <c r="C63" s="262">
        <f t="shared" si="19"/>
        <v>2</v>
      </c>
      <c r="D63" s="263">
        <v>43388953.032124929</v>
      </c>
      <c r="E63" s="263">
        <f>IFERROR(VLOOKUP($B63-1,CDM!$L$7:$T$18,2,FALSE)/12,0)+IFERROR(VLOOKUP($B63,CDM!$L$36:$T$46,2,FALSE)/24,0)+IFERROR(VLOOKUP($B63,CDM!$L$36:$T$46,2,FALSE)/2*$C63/78,0)</f>
        <v>2435914.131410256</v>
      </c>
      <c r="F63" s="263">
        <f t="shared" si="20"/>
        <v>45824867.163535185</v>
      </c>
      <c r="G63" s="264">
        <v>54174</v>
      </c>
      <c r="H63" s="263">
        <v>10768690.75584201</v>
      </c>
      <c r="I63" s="263">
        <f>IFERROR(VLOOKUP($B63-1,CDM!$L$7:$T$18,3,FALSE)/12,0)+IFERROR(VLOOKUP($B63,CDM!$L$36:$T$46,3,FALSE)/24,0)+IFERROR(VLOOKUP($B63,CDM!$L$36:$T$46,3,FALSE)/2*$C63/78,0)</f>
        <v>551326.63225697749</v>
      </c>
      <c r="J63" s="263">
        <f t="shared" si="21"/>
        <v>11320017.388098987</v>
      </c>
      <c r="K63" s="265">
        <v>4199</v>
      </c>
      <c r="L63" s="4">
        <v>28346822.554177728</v>
      </c>
      <c r="M63" s="266">
        <f>IFERROR(VLOOKUP($B63-1,CDM!$L$7:$T$18,4,FALSE)/12,0)+IFERROR(VLOOKUP($B63,CDM!$L$36:$T$46,4,FALSE)/24,0)+IFERROR(VLOOKUP($B63,CDM!$L$36:$T$46,4,FALSE)/2*$C63/78,0)</f>
        <v>649633.87084320735</v>
      </c>
      <c r="N63" s="263">
        <f t="shared" si="22"/>
        <v>28996456.425020933</v>
      </c>
      <c r="O63" s="4">
        <v>68921.41</v>
      </c>
      <c r="P63" s="265">
        <v>535</v>
      </c>
      <c r="Q63" s="265">
        <v>5788249.4371304205</v>
      </c>
      <c r="R63" s="265">
        <f>IFERROR(VLOOKUP($B63-1,CDM!$L$7:$T$18,5,FALSE)/12,0)+IFERROR(VLOOKUP($B63,CDM!$L$36:$T$46,5,FALSE)/24,0)+IFERROR(VLOOKUP($B63,CDM!$L$36:$T$46,5,FALSE)/2*$C63/78,0)</f>
        <v>855581.66054195061</v>
      </c>
      <c r="S63" s="265">
        <f t="shared" si="7"/>
        <v>6643831.0976723712</v>
      </c>
      <c r="T63" s="265">
        <v>13253.33</v>
      </c>
      <c r="U63" s="265">
        <v>14</v>
      </c>
      <c r="V63" s="265">
        <v>2738816.0758073898</v>
      </c>
      <c r="W63" s="265">
        <f>IFERROR(VLOOKUP($B63-1,CDM!$L$7:$T$18,6,FALSE)/12,0)+IFERROR(VLOOKUP($B63,CDM!$L$36:$T$46,6,FALSE)/24,0)+IFERROR(VLOOKUP($B63,CDM!$L$36:$T$46,6,FALSE)/2*$C63/78,0)</f>
        <v>23212.538621794873</v>
      </c>
      <c r="X63" s="265">
        <f t="shared" si="8"/>
        <v>2762028.6144291847</v>
      </c>
      <c r="Y63" s="265">
        <v>6956.85</v>
      </c>
      <c r="Z63" s="265">
        <v>1</v>
      </c>
      <c r="AA63" s="4">
        <v>404867.98181824351</v>
      </c>
      <c r="AB63" s="4">
        <v>1023</v>
      </c>
      <c r="AC63" s="265">
        <v>13978</v>
      </c>
      <c r="AD63" s="265">
        <v>2285.94</v>
      </c>
      <c r="AE63" s="265">
        <v>0</v>
      </c>
      <c r="AF63" s="265">
        <v>19</v>
      </c>
      <c r="AG63" s="4">
        <v>213310</v>
      </c>
      <c r="AH63" s="4">
        <v>253</v>
      </c>
      <c r="AI63" s="28">
        <f>Economic!H65</f>
        <v>769942</v>
      </c>
      <c r="AJ63" s="28">
        <f>Economic!I65</f>
        <v>596521.6</v>
      </c>
      <c r="AK63" s="28">
        <f>Economic!J65</f>
        <v>58159</v>
      </c>
      <c r="AL63" s="28">
        <f>Economic!K65</f>
        <v>800126</v>
      </c>
      <c r="AM63" s="28">
        <f>Economic!L65</f>
        <v>621238</v>
      </c>
      <c r="AN63" s="28">
        <f>Economic!M65</f>
        <v>30738</v>
      </c>
      <c r="AO63" s="28">
        <f>Economic!D65</f>
        <v>7512.3</v>
      </c>
      <c r="AP63" s="28">
        <f>Economic!E65</f>
        <v>7442.1</v>
      </c>
      <c r="AQ63" s="28">
        <f>Economic!F65</f>
        <v>210.7</v>
      </c>
      <c r="AR63" s="28">
        <f>Economic!G65</f>
        <v>208.8</v>
      </c>
      <c r="AS63" s="28">
        <f>Economic!N65</f>
        <v>166.90000000000055</v>
      </c>
      <c r="AT63" s="28">
        <f>Economic!O65</f>
        <v>163.70000000000073</v>
      </c>
      <c r="AU63" s="28">
        <f>Economic!P65</f>
        <v>-8.4000000000000057</v>
      </c>
      <c r="AV63" s="28">
        <f>Economic!Q65</f>
        <v>-8.1999999999999886</v>
      </c>
      <c r="AW63" s="28">
        <f>Economic!R65</f>
        <v>-37332.5</v>
      </c>
      <c r="AX63" s="28">
        <f>Economic!S65</f>
        <v>-11271</v>
      </c>
      <c r="AY63" s="7">
        <f>Weather!D63</f>
        <v>-3.3931034482758609</v>
      </c>
      <c r="AZ63" s="7">
        <f>Weather!E63</f>
        <v>678.4000000000002</v>
      </c>
      <c r="BA63" s="7">
        <f>Weather!F63</f>
        <v>0</v>
      </c>
      <c r="BB63" s="7">
        <f>Weather!G63</f>
        <v>620.40000000000009</v>
      </c>
      <c r="BC63" s="7">
        <f>Weather!H63</f>
        <v>0</v>
      </c>
      <c r="BD63" s="7">
        <f>Weather!I63</f>
        <v>562.4</v>
      </c>
      <c r="BE63" s="7">
        <f>Weather!J63</f>
        <v>0</v>
      </c>
      <c r="BF63" s="7">
        <f>Weather!K63</f>
        <v>504.40000000000003</v>
      </c>
      <c r="BG63" s="7">
        <f>Weather!L63</f>
        <v>0</v>
      </c>
      <c r="BH63" s="7">
        <f>Weather!M63</f>
        <v>446.40000000000003</v>
      </c>
      <c r="BI63" s="7">
        <f>Weather!N63</f>
        <v>0</v>
      </c>
      <c r="BJ63" s="7">
        <f>Weather!O63</f>
        <v>388.40000000000003</v>
      </c>
      <c r="BK63" s="7">
        <f>Weather!P63</f>
        <v>0</v>
      </c>
      <c r="BL63" s="7">
        <f>Weather!Q63</f>
        <v>330.40000000000003</v>
      </c>
      <c r="BM63" s="7">
        <f>Weather!R63</f>
        <v>0</v>
      </c>
      <c r="BN63" s="1">
        <f t="shared" ref="BN63:CB78" si="27">BN51</f>
        <v>0</v>
      </c>
      <c r="BO63" s="1">
        <f t="shared" si="27"/>
        <v>1</v>
      </c>
      <c r="BP63" s="1">
        <f t="shared" si="27"/>
        <v>0</v>
      </c>
      <c r="BQ63" s="1">
        <f t="shared" si="27"/>
        <v>0</v>
      </c>
      <c r="BR63" s="1">
        <f t="shared" si="27"/>
        <v>0</v>
      </c>
      <c r="BS63" s="1">
        <f t="shared" si="27"/>
        <v>0</v>
      </c>
      <c r="BT63" s="1">
        <f t="shared" si="27"/>
        <v>0</v>
      </c>
      <c r="BU63" s="1">
        <f t="shared" si="27"/>
        <v>0</v>
      </c>
      <c r="BV63" s="1">
        <f t="shared" si="27"/>
        <v>0</v>
      </c>
      <c r="BW63" s="1">
        <f t="shared" si="27"/>
        <v>0</v>
      </c>
      <c r="BX63" s="1">
        <f t="shared" si="27"/>
        <v>0</v>
      </c>
      <c r="BY63" s="1">
        <f t="shared" si="27"/>
        <v>0</v>
      </c>
      <c r="BZ63" s="1">
        <f t="shared" si="16"/>
        <v>0</v>
      </c>
      <c r="CA63" s="1">
        <f t="shared" si="16"/>
        <v>0</v>
      </c>
      <c r="CB63" s="1">
        <f t="shared" si="16"/>
        <v>0</v>
      </c>
      <c r="CC63" s="1">
        <f t="shared" si="23"/>
        <v>62</v>
      </c>
      <c r="CD63" s="1">
        <f t="shared" si="17"/>
        <v>29</v>
      </c>
      <c r="CE63" s="1">
        <v>19</v>
      </c>
      <c r="CF63" s="1">
        <v>0</v>
      </c>
      <c r="CG63" s="1">
        <v>0</v>
      </c>
      <c r="CH63" s="1">
        <v>0</v>
      </c>
      <c r="CI63" s="1">
        <v>0</v>
      </c>
      <c r="CJ63" s="1">
        <f t="shared" si="12"/>
        <v>0</v>
      </c>
      <c r="CK63" s="1">
        <f t="shared" si="12"/>
        <v>0</v>
      </c>
      <c r="CL63" s="1">
        <f t="shared" si="12"/>
        <v>0</v>
      </c>
      <c r="CM63" s="1">
        <f t="shared" si="12"/>
        <v>0</v>
      </c>
      <c r="CN63" s="1">
        <f t="shared" si="12"/>
        <v>0</v>
      </c>
      <c r="CO63" s="1">
        <f t="shared" si="12"/>
        <v>0</v>
      </c>
      <c r="CP63" s="1">
        <f t="shared" si="12"/>
        <v>0</v>
      </c>
      <c r="CQ63" s="1">
        <f t="shared" si="12"/>
        <v>0</v>
      </c>
      <c r="CR63" s="1">
        <f t="shared" si="24"/>
        <v>0</v>
      </c>
      <c r="CS63" s="1">
        <f t="shared" si="24"/>
        <v>0</v>
      </c>
      <c r="CT63" s="1">
        <f t="shared" si="24"/>
        <v>0</v>
      </c>
      <c r="CU63" s="1">
        <f t="shared" si="24"/>
        <v>0</v>
      </c>
      <c r="CV63" s="1">
        <f t="shared" si="24"/>
        <v>0</v>
      </c>
      <c r="CW63" s="1">
        <f t="shared" si="24"/>
        <v>0</v>
      </c>
      <c r="CX63" s="1">
        <f t="shared" si="13"/>
        <v>0</v>
      </c>
      <c r="CY63" s="1">
        <f t="shared" si="13"/>
        <v>0</v>
      </c>
      <c r="CZ63" s="1">
        <f t="shared" si="13"/>
        <v>0</v>
      </c>
      <c r="DA63" s="1">
        <f t="shared" si="13"/>
        <v>0</v>
      </c>
      <c r="DB63" s="1">
        <f t="shared" si="13"/>
        <v>0</v>
      </c>
      <c r="DC63" s="1">
        <f t="shared" si="13"/>
        <v>0</v>
      </c>
      <c r="DD63" s="1">
        <f t="shared" si="13"/>
        <v>0</v>
      </c>
      <c r="DE63" s="1">
        <f t="shared" si="13"/>
        <v>0</v>
      </c>
      <c r="DF63" s="1">
        <f t="shared" si="25"/>
        <v>0</v>
      </c>
      <c r="DG63" s="1">
        <f t="shared" si="25"/>
        <v>0</v>
      </c>
      <c r="DH63" s="1">
        <f t="shared" si="25"/>
        <v>0</v>
      </c>
      <c r="DI63" s="1">
        <f t="shared" si="25"/>
        <v>0</v>
      </c>
      <c r="DJ63" s="1">
        <f t="shared" si="25"/>
        <v>0</v>
      </c>
      <c r="DK63" s="1">
        <f t="shared" si="25"/>
        <v>0</v>
      </c>
      <c r="DL63" s="25"/>
      <c r="DM63" s="25"/>
      <c r="DN63" s="24"/>
      <c r="DO63" s="25"/>
      <c r="DP63" s="25"/>
      <c r="DQ63" s="25"/>
      <c r="DR63" s="25"/>
      <c r="DS63" s="25"/>
      <c r="DT63" s="25"/>
      <c r="DU63" s="25"/>
      <c r="DV63" s="25"/>
    </row>
    <row r="64" spans="1:126" x14ac:dyDescent="0.25">
      <c r="A64" s="261">
        <v>43891</v>
      </c>
      <c r="B64" s="262">
        <f t="shared" si="18"/>
        <v>2020</v>
      </c>
      <c r="C64" s="262">
        <f t="shared" si="19"/>
        <v>3</v>
      </c>
      <c r="D64" s="263">
        <v>37882948.515827775</v>
      </c>
      <c r="E64" s="263">
        <f>IFERROR(VLOOKUP($B64-1,CDM!$L$7:$T$18,2,FALSE)/12,0)+IFERROR(VLOOKUP($B64,CDM!$L$36:$T$46,2,FALSE)/24,0)+IFERROR(VLOOKUP($B64,CDM!$L$36:$T$46,2,FALSE)/2*$C64/78,0)</f>
        <v>2435902.176282051</v>
      </c>
      <c r="F64" s="263">
        <f t="shared" si="20"/>
        <v>40318850.692109823</v>
      </c>
      <c r="G64" s="264">
        <v>54362</v>
      </c>
      <c r="H64" s="263">
        <v>10016260.644513262</v>
      </c>
      <c r="I64" s="263">
        <f>IFERROR(VLOOKUP($B64-1,CDM!$L$7:$T$18,3,FALSE)/12,0)+IFERROR(VLOOKUP($B64,CDM!$L$36:$T$46,3,FALSE)/24,0)+IFERROR(VLOOKUP($B64,CDM!$L$36:$T$46,3,FALSE)/2*$C64/78,0)</f>
        <v>550759.63077943563</v>
      </c>
      <c r="J64" s="263">
        <f t="shared" si="21"/>
        <v>10567020.275292698</v>
      </c>
      <c r="K64" s="265">
        <v>4202</v>
      </c>
      <c r="L64" s="4">
        <v>26874547.055813484</v>
      </c>
      <c r="M64" s="266">
        <f>IFERROR(VLOOKUP($B64-1,CDM!$L$7:$T$18,4,FALSE)/12,0)+IFERROR(VLOOKUP($B64,CDM!$L$36:$T$46,4,FALSE)/24,0)+IFERROR(VLOOKUP($B64,CDM!$L$36:$T$46,4,FALSE)/2*$C64/78,0)</f>
        <v>649437.1743341051</v>
      </c>
      <c r="N64" s="263">
        <f t="shared" si="22"/>
        <v>27523984.230147589</v>
      </c>
      <c r="O64" s="4">
        <v>55647.253773999997</v>
      </c>
      <c r="P64" s="265">
        <v>535</v>
      </c>
      <c r="Q64" s="265">
        <v>5709300.8827545634</v>
      </c>
      <c r="R64" s="265">
        <f>IFERROR(VLOOKUP($B64-1,CDM!$L$7:$T$18,5,FALSE)/12,0)+IFERROR(VLOOKUP($B64,CDM!$L$36:$T$46,5,FALSE)/24,0)+IFERROR(VLOOKUP($B64,CDM!$L$36:$T$46,5,FALSE)/2*$C64/78,0)</f>
        <v>855580.81650348904</v>
      </c>
      <c r="S64" s="265">
        <f t="shared" si="7"/>
        <v>6564881.6992580527</v>
      </c>
      <c r="T64" s="265">
        <v>9597.8567719999992</v>
      </c>
      <c r="U64" s="265">
        <v>14</v>
      </c>
      <c r="V64" s="265">
        <v>2583844.5749993362</v>
      </c>
      <c r="W64" s="265">
        <f>IFERROR(VLOOKUP($B64-1,CDM!$L$7:$T$18,6,FALSE)/12,0)+IFERROR(VLOOKUP($B64,CDM!$L$36:$T$46,6,FALSE)/24,0)+IFERROR(VLOOKUP($B64,CDM!$L$36:$T$46,6,FALSE)/2*$C64/78,0)</f>
        <v>23211.129113247862</v>
      </c>
      <c r="X64" s="265">
        <f t="shared" si="8"/>
        <v>2607055.7041125842</v>
      </c>
      <c r="Y64" s="265">
        <v>3865.275435</v>
      </c>
      <c r="Z64" s="265">
        <v>1</v>
      </c>
      <c r="AA64" s="4">
        <v>405480.89061887306</v>
      </c>
      <c r="AB64" s="4">
        <v>1022.83</v>
      </c>
      <c r="AC64" s="265">
        <v>13978</v>
      </c>
      <c r="AD64" s="265">
        <v>2212.1999999999998</v>
      </c>
      <c r="AE64" s="265">
        <v>0</v>
      </c>
      <c r="AF64" s="265">
        <v>19</v>
      </c>
      <c r="AG64" s="4">
        <v>212994</v>
      </c>
      <c r="AH64" s="4">
        <v>253</v>
      </c>
      <c r="AI64" s="28">
        <f>Economic!H66</f>
        <v>769942</v>
      </c>
      <c r="AJ64" s="28">
        <f>Economic!I66</f>
        <v>596521.6</v>
      </c>
      <c r="AK64" s="28">
        <f>Economic!J66</f>
        <v>58159</v>
      </c>
      <c r="AL64" s="28">
        <f>Economic!K66</f>
        <v>800126</v>
      </c>
      <c r="AM64" s="28">
        <f>Economic!L66</f>
        <v>621238</v>
      </c>
      <c r="AN64" s="28">
        <f>Economic!M66</f>
        <v>30738</v>
      </c>
      <c r="AO64" s="28">
        <f>Economic!D66</f>
        <v>7358</v>
      </c>
      <c r="AP64" s="28">
        <f>Economic!E66</f>
        <v>7256.2</v>
      </c>
      <c r="AQ64" s="28">
        <f>Economic!F66</f>
        <v>208.3</v>
      </c>
      <c r="AR64" s="28">
        <f>Economic!G66</f>
        <v>207.2</v>
      </c>
      <c r="AS64" s="28">
        <f>Economic!N66</f>
        <v>-3.3000000000001819</v>
      </c>
      <c r="AT64" s="28">
        <f>Economic!O66</f>
        <v>-0.6999999999998181</v>
      </c>
      <c r="AU64" s="28">
        <f>Economic!P66</f>
        <v>-13.299999999999983</v>
      </c>
      <c r="AV64" s="28">
        <f>Economic!Q66</f>
        <v>-12.400000000000006</v>
      </c>
      <c r="AW64" s="28">
        <f>Economic!R66</f>
        <v>-37332.5</v>
      </c>
      <c r="AX64" s="28">
        <f>Economic!S66</f>
        <v>-11271</v>
      </c>
      <c r="AY64" s="7">
        <f>Weather!D64</f>
        <v>2.4654569892473122</v>
      </c>
      <c r="AZ64" s="7">
        <f>Weather!E64</f>
        <v>543.57083333333344</v>
      </c>
      <c r="BA64" s="7">
        <f>Weather!F64</f>
        <v>0</v>
      </c>
      <c r="BB64" s="7">
        <f>Weather!G64</f>
        <v>481.57083333333344</v>
      </c>
      <c r="BC64" s="7">
        <f>Weather!H64</f>
        <v>0</v>
      </c>
      <c r="BD64" s="7">
        <f>Weather!I64</f>
        <v>419.57083333333344</v>
      </c>
      <c r="BE64" s="7">
        <f>Weather!J64</f>
        <v>0</v>
      </c>
      <c r="BF64" s="7">
        <f>Weather!K64</f>
        <v>357.57083333333344</v>
      </c>
      <c r="BG64" s="7">
        <f>Weather!L64</f>
        <v>0</v>
      </c>
      <c r="BH64" s="7">
        <f>Weather!M64</f>
        <v>295.57083333333338</v>
      </c>
      <c r="BI64" s="7">
        <f>Weather!N64</f>
        <v>0</v>
      </c>
      <c r="BJ64" s="7">
        <f>Weather!O64</f>
        <v>233.60833333333338</v>
      </c>
      <c r="BK64" s="7">
        <f>Weather!P64</f>
        <v>3.7499999999999645E-2</v>
      </c>
      <c r="BL64" s="7">
        <f>Weather!Q64</f>
        <v>174.47500000000005</v>
      </c>
      <c r="BM64" s="7">
        <f>Weather!R64</f>
        <v>2.9041666666666668</v>
      </c>
      <c r="BN64" s="1">
        <f t="shared" si="27"/>
        <v>0</v>
      </c>
      <c r="BO64" s="1">
        <f t="shared" si="27"/>
        <v>0</v>
      </c>
      <c r="BP64" s="1">
        <f t="shared" si="27"/>
        <v>1</v>
      </c>
      <c r="BQ64" s="1">
        <f t="shared" si="27"/>
        <v>0</v>
      </c>
      <c r="BR64" s="1">
        <f t="shared" si="27"/>
        <v>0</v>
      </c>
      <c r="BS64" s="1">
        <f t="shared" si="27"/>
        <v>0</v>
      </c>
      <c r="BT64" s="1">
        <f t="shared" si="27"/>
        <v>0</v>
      </c>
      <c r="BU64" s="1">
        <f t="shared" si="27"/>
        <v>0</v>
      </c>
      <c r="BV64" s="1">
        <f t="shared" si="27"/>
        <v>0</v>
      </c>
      <c r="BW64" s="1">
        <f t="shared" si="27"/>
        <v>0</v>
      </c>
      <c r="BX64" s="1">
        <f t="shared" si="27"/>
        <v>0</v>
      </c>
      <c r="BY64" s="1">
        <f t="shared" si="27"/>
        <v>0</v>
      </c>
      <c r="BZ64" s="1">
        <f t="shared" si="16"/>
        <v>1</v>
      </c>
      <c r="CA64" s="1">
        <f t="shared" si="16"/>
        <v>0</v>
      </c>
      <c r="CB64" s="1">
        <f t="shared" si="16"/>
        <v>1</v>
      </c>
      <c r="CC64" s="1">
        <f t="shared" si="23"/>
        <v>63</v>
      </c>
      <c r="CD64" s="1">
        <f t="shared" si="17"/>
        <v>31</v>
      </c>
      <c r="CE64" s="1">
        <v>22</v>
      </c>
      <c r="CF64" s="1">
        <v>1</v>
      </c>
      <c r="CG64" s="1">
        <v>0.5</v>
      </c>
      <c r="CH64" s="1">
        <v>0.5</v>
      </c>
      <c r="CI64" s="1">
        <v>0.5</v>
      </c>
      <c r="CJ64" s="1">
        <f t="shared" si="12"/>
        <v>271.78541666666672</v>
      </c>
      <c r="CK64" s="1">
        <f t="shared" si="12"/>
        <v>0</v>
      </c>
      <c r="CL64" s="1">
        <f t="shared" si="12"/>
        <v>240.78541666666672</v>
      </c>
      <c r="CM64" s="1">
        <f t="shared" si="12"/>
        <v>0</v>
      </c>
      <c r="CN64" s="1">
        <f t="shared" si="12"/>
        <v>209.78541666666672</v>
      </c>
      <c r="CO64" s="1">
        <f t="shared" si="12"/>
        <v>0</v>
      </c>
      <c r="CP64" s="1">
        <f t="shared" si="12"/>
        <v>178.78541666666672</v>
      </c>
      <c r="CQ64" s="1">
        <f t="shared" si="12"/>
        <v>0</v>
      </c>
      <c r="CR64" s="1">
        <f t="shared" si="24"/>
        <v>147.78541666666669</v>
      </c>
      <c r="CS64" s="1">
        <f t="shared" si="24"/>
        <v>0</v>
      </c>
      <c r="CT64" s="1">
        <f t="shared" si="24"/>
        <v>116.80416666666669</v>
      </c>
      <c r="CU64" s="1">
        <f t="shared" si="24"/>
        <v>1.8749999999999822E-2</v>
      </c>
      <c r="CV64" s="1">
        <f t="shared" si="24"/>
        <v>87.237500000000026</v>
      </c>
      <c r="CW64" s="1">
        <f t="shared" si="24"/>
        <v>1.4520833333333334</v>
      </c>
      <c r="CX64" s="1">
        <f t="shared" si="13"/>
        <v>271.78541666666672</v>
      </c>
      <c r="CY64" s="1">
        <f t="shared" si="13"/>
        <v>0</v>
      </c>
      <c r="CZ64" s="1">
        <f t="shared" si="13"/>
        <v>240.78541666666672</v>
      </c>
      <c r="DA64" s="1">
        <f t="shared" si="13"/>
        <v>0</v>
      </c>
      <c r="DB64" s="1">
        <f t="shared" si="13"/>
        <v>209.78541666666672</v>
      </c>
      <c r="DC64" s="1">
        <f t="shared" si="13"/>
        <v>0</v>
      </c>
      <c r="DD64" s="1">
        <f t="shared" si="13"/>
        <v>178.78541666666672</v>
      </c>
      <c r="DE64" s="1">
        <f t="shared" si="13"/>
        <v>0</v>
      </c>
      <c r="DF64" s="1">
        <f t="shared" si="25"/>
        <v>147.78541666666669</v>
      </c>
      <c r="DG64" s="1">
        <f t="shared" si="25"/>
        <v>0</v>
      </c>
      <c r="DH64" s="1">
        <f t="shared" si="25"/>
        <v>116.80416666666669</v>
      </c>
      <c r="DI64" s="1">
        <f t="shared" si="25"/>
        <v>1.8749999999999822E-2</v>
      </c>
      <c r="DJ64" s="1">
        <f t="shared" si="25"/>
        <v>87.237500000000026</v>
      </c>
      <c r="DK64" s="1">
        <f t="shared" si="25"/>
        <v>1.4520833333333334</v>
      </c>
      <c r="DL64" s="25"/>
      <c r="DM64" s="25"/>
      <c r="DN64" s="24"/>
      <c r="DO64" s="25"/>
      <c r="DP64" s="25"/>
      <c r="DQ64" s="25"/>
      <c r="DR64" s="25"/>
      <c r="DS64" s="25"/>
      <c r="DT64" s="25"/>
      <c r="DU64" s="25"/>
      <c r="DV64" s="25"/>
    </row>
    <row r="65" spans="1:126" x14ac:dyDescent="0.25">
      <c r="A65" s="261">
        <v>43922</v>
      </c>
      <c r="B65" s="262">
        <f t="shared" si="18"/>
        <v>2020</v>
      </c>
      <c r="C65" s="262">
        <f t="shared" si="19"/>
        <v>4</v>
      </c>
      <c r="D65" s="263">
        <v>39259352.833194472</v>
      </c>
      <c r="E65" s="263">
        <f>IFERROR(VLOOKUP($B65-1,CDM!$L$7:$T$18,2,FALSE)/12,0)+IFERROR(VLOOKUP($B65,CDM!$L$36:$T$46,2,FALSE)/24,0)+IFERROR(VLOOKUP($B65,CDM!$L$36:$T$46,2,FALSE)/2*$C65/78,0)</f>
        <v>2435890.221153846</v>
      </c>
      <c r="F65" s="263">
        <f t="shared" si="20"/>
        <v>41695243.05434832</v>
      </c>
      <c r="G65" s="264">
        <v>54372</v>
      </c>
      <c r="H65" s="263">
        <v>7962424.289164478</v>
      </c>
      <c r="I65" s="263">
        <f>IFERROR(VLOOKUP($B65-1,CDM!$L$7:$T$18,3,FALSE)/12,0)+IFERROR(VLOOKUP($B65,CDM!$L$36:$T$46,3,FALSE)/24,0)+IFERROR(VLOOKUP($B65,CDM!$L$36:$T$46,3,FALSE)/2*$C65/78,0)</f>
        <v>550192.62930189364</v>
      </c>
      <c r="J65" s="263">
        <f t="shared" si="21"/>
        <v>8512616.9184663724</v>
      </c>
      <c r="K65" s="265">
        <v>4201</v>
      </c>
      <c r="L65" s="4">
        <v>21475333.59688665</v>
      </c>
      <c r="M65" s="266">
        <f>IFERROR(VLOOKUP($B65-1,CDM!$L$7:$T$18,4,FALSE)/12,0)+IFERROR(VLOOKUP($B65,CDM!$L$36:$T$46,4,FALSE)/24,0)+IFERROR(VLOOKUP($B65,CDM!$L$36:$T$46,4,FALSE)/2*$C65/78,0)</f>
        <v>649240.47782500274</v>
      </c>
      <c r="N65" s="263">
        <f t="shared" si="22"/>
        <v>22124574.074711651</v>
      </c>
      <c r="O65" s="4">
        <v>76035.894157999981</v>
      </c>
      <c r="P65" s="265">
        <v>536</v>
      </c>
      <c r="Q65" s="265">
        <v>4343308.1892509731</v>
      </c>
      <c r="R65" s="265">
        <f>IFERROR(VLOOKUP($B65-1,CDM!$L$7:$T$18,5,FALSE)/12,0)+IFERROR(VLOOKUP($B65,CDM!$L$36:$T$46,5,FALSE)/24,0)+IFERROR(VLOOKUP($B65,CDM!$L$36:$T$46,5,FALSE)/2*$C65/78,0)</f>
        <v>855579.97246502747</v>
      </c>
      <c r="S65" s="265">
        <f t="shared" si="7"/>
        <v>5198888.1617160002</v>
      </c>
      <c r="T65" s="265">
        <v>13756.310763999998</v>
      </c>
      <c r="U65" s="265">
        <v>14</v>
      </c>
      <c r="V65" s="265">
        <v>2026215.689811578</v>
      </c>
      <c r="W65" s="265">
        <f>IFERROR(VLOOKUP($B65-1,CDM!$L$7:$T$18,6,FALSE)/12,0)+IFERROR(VLOOKUP($B65,CDM!$L$36:$T$46,6,FALSE)/24,0)+IFERROR(VLOOKUP($B65,CDM!$L$36:$T$46,6,FALSE)/2*$C65/78,0)</f>
        <v>23209.719604700855</v>
      </c>
      <c r="X65" s="265">
        <f t="shared" si="8"/>
        <v>2049425.4094162788</v>
      </c>
      <c r="Y65" s="265">
        <v>5061.3100649999997</v>
      </c>
      <c r="Z65" s="265">
        <v>1</v>
      </c>
      <c r="AA65" s="4">
        <v>345894.82411060593</v>
      </c>
      <c r="AB65" s="4">
        <v>1022.83</v>
      </c>
      <c r="AC65" s="265">
        <v>13978</v>
      </c>
      <c r="AD65" s="265">
        <v>2285.94</v>
      </c>
      <c r="AE65" s="265">
        <v>0</v>
      </c>
      <c r="AF65" s="265">
        <v>19</v>
      </c>
      <c r="AG65" s="4">
        <v>213242</v>
      </c>
      <c r="AH65" s="4">
        <v>254</v>
      </c>
      <c r="AI65" s="28">
        <f>Economic!H67</f>
        <v>769942</v>
      </c>
      <c r="AJ65" s="28">
        <f>Economic!I67</f>
        <v>596521.6</v>
      </c>
      <c r="AK65" s="28">
        <f>Economic!J67</f>
        <v>58159</v>
      </c>
      <c r="AL65" s="28">
        <f>Economic!K67</f>
        <v>706539</v>
      </c>
      <c r="AM65" s="28">
        <f>Economic!L67</f>
        <v>552481</v>
      </c>
      <c r="AN65" s="28">
        <f>Economic!M67</f>
        <v>20965</v>
      </c>
      <c r="AO65" s="28">
        <f>Economic!D67</f>
        <v>6963.7</v>
      </c>
      <c r="AP65" s="28">
        <f>Economic!E67</f>
        <v>6885.2</v>
      </c>
      <c r="AQ65" s="28">
        <f>Economic!F67</f>
        <v>201.9</v>
      </c>
      <c r="AR65" s="28">
        <f>Economic!G67</f>
        <v>202.3</v>
      </c>
      <c r="AS65" s="28">
        <f>Economic!N67</f>
        <v>-418.60000000000036</v>
      </c>
      <c r="AT65" s="28">
        <f>Economic!O67</f>
        <v>-408.80000000000018</v>
      </c>
      <c r="AU65" s="28">
        <f>Economic!P67</f>
        <v>-18.799999999999983</v>
      </c>
      <c r="AV65" s="28">
        <f>Economic!Q67</f>
        <v>-17.799999999999983</v>
      </c>
      <c r="AW65" s="28">
        <f>Economic!R67</f>
        <v>-37332.5</v>
      </c>
      <c r="AX65" s="28">
        <f>Economic!S67</f>
        <v>-93587</v>
      </c>
      <c r="AY65" s="7">
        <f>Weather!D65</f>
        <v>5.3441666666666672</v>
      </c>
      <c r="AZ65" s="7">
        <f>Weather!E65</f>
        <v>439.67500000000013</v>
      </c>
      <c r="BA65" s="7">
        <f>Weather!F65</f>
        <v>0</v>
      </c>
      <c r="BB65" s="7">
        <f>Weather!G65</f>
        <v>379.67500000000013</v>
      </c>
      <c r="BC65" s="7">
        <f>Weather!H65</f>
        <v>0</v>
      </c>
      <c r="BD65" s="7">
        <f>Weather!I65</f>
        <v>319.67500000000007</v>
      </c>
      <c r="BE65" s="7">
        <f>Weather!J65</f>
        <v>0</v>
      </c>
      <c r="BF65" s="7">
        <f>Weather!K65</f>
        <v>259.67500000000007</v>
      </c>
      <c r="BG65" s="7">
        <f>Weather!L65</f>
        <v>0</v>
      </c>
      <c r="BH65" s="7">
        <f>Weather!M65</f>
        <v>199.67500000000004</v>
      </c>
      <c r="BI65" s="7">
        <f>Weather!N65</f>
        <v>0</v>
      </c>
      <c r="BJ65" s="7">
        <f>Weather!O65</f>
        <v>141.82916666666665</v>
      </c>
      <c r="BK65" s="7">
        <f>Weather!P65</f>
        <v>2.1541666666666721</v>
      </c>
      <c r="BL65" s="7">
        <f>Weather!Q65</f>
        <v>89.183333333333337</v>
      </c>
      <c r="BM65" s="7">
        <f>Weather!R65</f>
        <v>9.5083333333333364</v>
      </c>
      <c r="BN65" s="1">
        <f t="shared" si="27"/>
        <v>0</v>
      </c>
      <c r="BO65" s="1">
        <f t="shared" si="27"/>
        <v>0</v>
      </c>
      <c r="BP65" s="1">
        <f t="shared" si="27"/>
        <v>0</v>
      </c>
      <c r="BQ65" s="1">
        <f t="shared" si="27"/>
        <v>1</v>
      </c>
      <c r="BR65" s="1">
        <f t="shared" si="27"/>
        <v>0</v>
      </c>
      <c r="BS65" s="1">
        <f t="shared" si="27"/>
        <v>0</v>
      </c>
      <c r="BT65" s="1">
        <f t="shared" si="27"/>
        <v>0</v>
      </c>
      <c r="BU65" s="1">
        <f t="shared" si="27"/>
        <v>0</v>
      </c>
      <c r="BV65" s="1">
        <f t="shared" si="27"/>
        <v>0</v>
      </c>
      <c r="BW65" s="1">
        <f t="shared" si="27"/>
        <v>0</v>
      </c>
      <c r="BX65" s="1">
        <f t="shared" si="27"/>
        <v>0</v>
      </c>
      <c r="BY65" s="1">
        <f t="shared" si="27"/>
        <v>0</v>
      </c>
      <c r="BZ65" s="1">
        <f t="shared" si="16"/>
        <v>1</v>
      </c>
      <c r="CA65" s="1">
        <f t="shared" si="16"/>
        <v>0</v>
      </c>
      <c r="CB65" s="1">
        <f t="shared" si="16"/>
        <v>1</v>
      </c>
      <c r="CC65" s="1">
        <f t="shared" si="23"/>
        <v>64</v>
      </c>
      <c r="CD65" s="1">
        <f t="shared" si="17"/>
        <v>30</v>
      </c>
      <c r="CE65" s="1">
        <v>21</v>
      </c>
      <c r="CF65" s="1">
        <v>1</v>
      </c>
      <c r="CG65" s="1">
        <v>1</v>
      </c>
      <c r="CH65" s="1">
        <v>1</v>
      </c>
      <c r="CI65" s="1">
        <v>1</v>
      </c>
      <c r="CJ65" s="1">
        <f t="shared" si="12"/>
        <v>439.67500000000013</v>
      </c>
      <c r="CK65" s="1">
        <f t="shared" si="12"/>
        <v>0</v>
      </c>
      <c r="CL65" s="1">
        <f t="shared" si="12"/>
        <v>379.67500000000013</v>
      </c>
      <c r="CM65" s="1">
        <f t="shared" si="12"/>
        <v>0</v>
      </c>
      <c r="CN65" s="1">
        <f t="shared" si="12"/>
        <v>319.67500000000007</v>
      </c>
      <c r="CO65" s="1">
        <f t="shared" si="12"/>
        <v>0</v>
      </c>
      <c r="CP65" s="1">
        <f t="shared" ref="CP65:CT115" si="28">$CG65*BF65</f>
        <v>259.67500000000007</v>
      </c>
      <c r="CQ65" s="1">
        <f t="shared" si="28"/>
        <v>0</v>
      </c>
      <c r="CR65" s="1">
        <f t="shared" si="24"/>
        <v>199.67500000000004</v>
      </c>
      <c r="CS65" s="1">
        <f t="shared" si="24"/>
        <v>0</v>
      </c>
      <c r="CT65" s="1">
        <f t="shared" si="24"/>
        <v>141.82916666666665</v>
      </c>
      <c r="CU65" s="1">
        <f t="shared" si="24"/>
        <v>2.1541666666666721</v>
      </c>
      <c r="CV65" s="1">
        <f t="shared" si="24"/>
        <v>89.183333333333337</v>
      </c>
      <c r="CW65" s="1">
        <f t="shared" si="24"/>
        <v>9.5083333333333364</v>
      </c>
      <c r="CX65" s="1">
        <f t="shared" si="13"/>
        <v>439.67500000000013</v>
      </c>
      <c r="CY65" s="1">
        <f t="shared" si="13"/>
        <v>0</v>
      </c>
      <c r="CZ65" s="1">
        <f t="shared" si="13"/>
        <v>379.67500000000013</v>
      </c>
      <c r="DA65" s="1">
        <f t="shared" si="13"/>
        <v>0</v>
      </c>
      <c r="DB65" s="1">
        <f t="shared" si="13"/>
        <v>319.67500000000007</v>
      </c>
      <c r="DC65" s="1">
        <f t="shared" si="13"/>
        <v>0</v>
      </c>
      <c r="DD65" s="1">
        <f t="shared" ref="DD65:DH115" si="29">$CH65*BF65</f>
        <v>259.67500000000007</v>
      </c>
      <c r="DE65" s="1">
        <f t="shared" si="29"/>
        <v>0</v>
      </c>
      <c r="DF65" s="1">
        <f t="shared" si="25"/>
        <v>199.67500000000004</v>
      </c>
      <c r="DG65" s="1">
        <f t="shared" si="25"/>
        <v>0</v>
      </c>
      <c r="DH65" s="1">
        <f t="shared" si="25"/>
        <v>141.82916666666665</v>
      </c>
      <c r="DI65" s="1">
        <f t="shared" si="25"/>
        <v>2.1541666666666721</v>
      </c>
      <c r="DJ65" s="1">
        <f t="shared" si="25"/>
        <v>89.183333333333337</v>
      </c>
      <c r="DK65" s="1">
        <f t="shared" si="25"/>
        <v>9.5083333333333364</v>
      </c>
      <c r="DL65" s="25"/>
      <c r="DM65" s="25"/>
      <c r="DN65" s="24"/>
      <c r="DO65" s="25"/>
      <c r="DP65" s="25"/>
      <c r="DQ65" s="25"/>
      <c r="DR65" s="25"/>
      <c r="DS65" s="25"/>
      <c r="DT65" s="25"/>
      <c r="DU65" s="25"/>
      <c r="DV65" s="25"/>
    </row>
    <row r="66" spans="1:126" x14ac:dyDescent="0.25">
      <c r="A66" s="261">
        <v>43952</v>
      </c>
      <c r="B66" s="262">
        <f t="shared" si="18"/>
        <v>2020</v>
      </c>
      <c r="C66" s="262">
        <f t="shared" si="19"/>
        <v>5</v>
      </c>
      <c r="D66" s="263">
        <v>36930721.568270586</v>
      </c>
      <c r="E66" s="263">
        <f>IFERROR(VLOOKUP($B66-1,CDM!$L$7:$T$18,2,FALSE)/12,0)+IFERROR(VLOOKUP($B66,CDM!$L$36:$T$46,2,FALSE)/24,0)+IFERROR(VLOOKUP($B66,CDM!$L$36:$T$46,2,FALSE)/2*$C66/78,0)</f>
        <v>2435878.266025641</v>
      </c>
      <c r="F66" s="263">
        <f t="shared" si="20"/>
        <v>39366599.834296227</v>
      </c>
      <c r="G66" s="264">
        <v>54403</v>
      </c>
      <c r="H66" s="263">
        <v>7872705.4749129051</v>
      </c>
      <c r="I66" s="263">
        <f>IFERROR(VLOOKUP($B66-1,CDM!$L$7:$T$18,3,FALSE)/12,0)+IFERROR(VLOOKUP($B66,CDM!$L$36:$T$46,3,FALSE)/24,0)+IFERROR(VLOOKUP($B66,CDM!$L$36:$T$46,3,FALSE)/2*$C66/78,0)</f>
        <v>549625.62782435177</v>
      </c>
      <c r="J66" s="263">
        <f t="shared" si="21"/>
        <v>8422331.1027372573</v>
      </c>
      <c r="K66" s="265">
        <v>4201</v>
      </c>
      <c r="L66" s="4">
        <v>21210635.161133789</v>
      </c>
      <c r="M66" s="266">
        <f>IFERROR(VLOOKUP($B66-1,CDM!$L$7:$T$18,4,FALSE)/12,0)+IFERROR(VLOOKUP($B66,CDM!$L$36:$T$46,4,FALSE)/24,0)+IFERROR(VLOOKUP($B66,CDM!$L$36:$T$46,4,FALSE)/2*$C66/78,0)</f>
        <v>649043.7813159005</v>
      </c>
      <c r="N66" s="263">
        <f t="shared" si="22"/>
        <v>21859678.942449689</v>
      </c>
      <c r="O66" s="4">
        <v>65561.679300000003</v>
      </c>
      <c r="P66" s="265">
        <v>537</v>
      </c>
      <c r="Q66" s="265">
        <v>5120179.4110543663</v>
      </c>
      <c r="R66" s="265">
        <f>IFERROR(VLOOKUP($B66-1,CDM!$L$7:$T$18,5,FALSE)/12,0)+IFERROR(VLOOKUP($B66,CDM!$L$36:$T$46,5,FALSE)/24,0)+IFERROR(VLOOKUP($B66,CDM!$L$36:$T$46,5,FALSE)/2*$C66/78,0)</f>
        <v>855579.12842656591</v>
      </c>
      <c r="S66" s="265">
        <f t="shared" si="7"/>
        <v>5975758.5394809321</v>
      </c>
      <c r="T66" s="265">
        <v>15686.741420000002</v>
      </c>
      <c r="U66" s="265">
        <v>14</v>
      </c>
      <c r="V66" s="265">
        <v>1950073.45202516</v>
      </c>
      <c r="W66" s="265">
        <f>IFERROR(VLOOKUP($B66-1,CDM!$L$7:$T$18,6,FALSE)/12,0)+IFERROR(VLOOKUP($B66,CDM!$L$36:$T$46,6,FALSE)/24,0)+IFERROR(VLOOKUP($B66,CDM!$L$36:$T$46,6,FALSE)/2*$C66/78,0)</f>
        <v>23208.310096153844</v>
      </c>
      <c r="X66" s="265">
        <f t="shared" si="8"/>
        <v>1973281.7621213137</v>
      </c>
      <c r="Y66" s="265">
        <v>5805.4762499999997</v>
      </c>
      <c r="Z66" s="265">
        <v>1</v>
      </c>
      <c r="AA66" s="4">
        <v>308370.46761390747</v>
      </c>
      <c r="AB66" s="4">
        <v>1022.83</v>
      </c>
      <c r="AC66" s="265">
        <v>13978</v>
      </c>
      <c r="AD66" s="265">
        <v>2212.1999999999998</v>
      </c>
      <c r="AE66" s="265">
        <v>0</v>
      </c>
      <c r="AF66" s="265">
        <v>19</v>
      </c>
      <c r="AG66" s="4">
        <v>213656</v>
      </c>
      <c r="AH66" s="4">
        <v>253</v>
      </c>
      <c r="AI66" s="28">
        <f>Economic!H68</f>
        <v>769942</v>
      </c>
      <c r="AJ66" s="28">
        <f>Economic!I68</f>
        <v>596521.6</v>
      </c>
      <c r="AK66" s="28">
        <f>Economic!J68</f>
        <v>58159</v>
      </c>
      <c r="AL66" s="28">
        <f>Economic!K68</f>
        <v>706539</v>
      </c>
      <c r="AM66" s="28">
        <f>Economic!L68</f>
        <v>552481</v>
      </c>
      <c r="AN66" s="28">
        <f>Economic!M68</f>
        <v>20965</v>
      </c>
      <c r="AO66" s="28">
        <f>Economic!D68</f>
        <v>6568.2</v>
      </c>
      <c r="AP66" s="28">
        <f>Economic!E68</f>
        <v>6536.7</v>
      </c>
      <c r="AQ66" s="28">
        <f>Economic!F68</f>
        <v>193.3</v>
      </c>
      <c r="AR66" s="28">
        <f>Economic!G68</f>
        <v>195.5</v>
      </c>
      <c r="AS66" s="28">
        <f>Economic!N68</f>
        <v>-830.69999999999982</v>
      </c>
      <c r="AT66" s="28">
        <f>Economic!O68</f>
        <v>-830.10000000000036</v>
      </c>
      <c r="AU66" s="28">
        <f>Economic!P68</f>
        <v>-26</v>
      </c>
      <c r="AV66" s="28">
        <f>Economic!Q68</f>
        <v>-25.400000000000006</v>
      </c>
      <c r="AW66" s="28">
        <f>Economic!R68</f>
        <v>-37332.5</v>
      </c>
      <c r="AX66" s="28">
        <f>Economic!S68</f>
        <v>-93587</v>
      </c>
      <c r="AY66" s="7">
        <f>Weather!D66</f>
        <v>11.704857910906297</v>
      </c>
      <c r="AZ66" s="7">
        <f>Weather!E66</f>
        <v>265.14107142857148</v>
      </c>
      <c r="BA66" s="7">
        <f>Weather!F66</f>
        <v>7.9916666666666636</v>
      </c>
      <c r="BB66" s="7">
        <f>Weather!G66</f>
        <v>212.73690476190475</v>
      </c>
      <c r="BC66" s="7">
        <f>Weather!H66</f>
        <v>17.587499999999995</v>
      </c>
      <c r="BD66" s="7">
        <f>Weather!I66</f>
        <v>164.60000000000005</v>
      </c>
      <c r="BE66" s="7">
        <f>Weather!J66</f>
        <v>31.450595238095232</v>
      </c>
      <c r="BF66" s="7">
        <f>Weather!K66</f>
        <v>122.05</v>
      </c>
      <c r="BG66" s="7">
        <f>Weather!L66</f>
        <v>50.900595238095221</v>
      </c>
      <c r="BH66" s="7">
        <f>Weather!M66</f>
        <v>86.899999999999977</v>
      </c>
      <c r="BI66" s="7">
        <f>Weather!N66</f>
        <v>77.750595238095229</v>
      </c>
      <c r="BJ66" s="7">
        <f>Weather!O66</f>
        <v>59.029166666666669</v>
      </c>
      <c r="BK66" s="7">
        <f>Weather!P66</f>
        <v>111.87976190476191</v>
      </c>
      <c r="BL66" s="7">
        <f>Weather!Q66</f>
        <v>36.524999999999999</v>
      </c>
      <c r="BM66" s="7">
        <f>Weather!R66</f>
        <v>151.37559523809523</v>
      </c>
      <c r="BN66" s="1">
        <f t="shared" si="27"/>
        <v>0</v>
      </c>
      <c r="BO66" s="1">
        <f t="shared" si="27"/>
        <v>0</v>
      </c>
      <c r="BP66" s="1">
        <f t="shared" si="27"/>
        <v>0</v>
      </c>
      <c r="BQ66" s="1">
        <f t="shared" si="27"/>
        <v>0</v>
      </c>
      <c r="BR66" s="1">
        <f t="shared" si="27"/>
        <v>1</v>
      </c>
      <c r="BS66" s="1">
        <f t="shared" si="27"/>
        <v>0</v>
      </c>
      <c r="BT66" s="1">
        <f t="shared" si="27"/>
        <v>0</v>
      </c>
      <c r="BU66" s="1">
        <f t="shared" si="27"/>
        <v>0</v>
      </c>
      <c r="BV66" s="1">
        <f t="shared" si="27"/>
        <v>0</v>
      </c>
      <c r="BW66" s="1">
        <f t="shared" si="27"/>
        <v>0</v>
      </c>
      <c r="BX66" s="1">
        <f t="shared" si="27"/>
        <v>0</v>
      </c>
      <c r="BY66" s="1">
        <f t="shared" si="27"/>
        <v>0</v>
      </c>
      <c r="BZ66" s="1">
        <f t="shared" si="16"/>
        <v>1</v>
      </c>
      <c r="CA66" s="1">
        <f t="shared" si="16"/>
        <v>0</v>
      </c>
      <c r="CB66" s="1">
        <f t="shared" si="16"/>
        <v>1</v>
      </c>
      <c r="CC66" s="1">
        <f t="shared" si="23"/>
        <v>65</v>
      </c>
      <c r="CD66" s="1">
        <f t="shared" si="17"/>
        <v>31</v>
      </c>
      <c r="CE66" s="1">
        <v>20</v>
      </c>
      <c r="CF66" s="1">
        <v>1</v>
      </c>
      <c r="CG66" s="1">
        <v>1</v>
      </c>
      <c r="CH66" s="1">
        <v>1</v>
      </c>
      <c r="CI66" s="1">
        <v>1</v>
      </c>
      <c r="CJ66" s="1">
        <f t="shared" ref="CJ66:CO108" si="30">$CG66*AZ66</f>
        <v>265.14107142857148</v>
      </c>
      <c r="CK66" s="1">
        <f t="shared" si="30"/>
        <v>7.9916666666666636</v>
      </c>
      <c r="CL66" s="1">
        <f t="shared" si="30"/>
        <v>212.73690476190475</v>
      </c>
      <c r="CM66" s="1">
        <f t="shared" si="30"/>
        <v>17.587499999999995</v>
      </c>
      <c r="CN66" s="1">
        <f t="shared" si="30"/>
        <v>164.60000000000005</v>
      </c>
      <c r="CO66" s="1">
        <f t="shared" si="30"/>
        <v>31.450595238095232</v>
      </c>
      <c r="CP66" s="1">
        <f t="shared" si="28"/>
        <v>122.05</v>
      </c>
      <c r="CQ66" s="1">
        <f t="shared" si="28"/>
        <v>50.900595238095221</v>
      </c>
      <c r="CR66" s="1">
        <f t="shared" si="24"/>
        <v>86.899999999999977</v>
      </c>
      <c r="CS66" s="1">
        <f t="shared" si="24"/>
        <v>77.750595238095229</v>
      </c>
      <c r="CT66" s="1">
        <f t="shared" si="24"/>
        <v>59.029166666666669</v>
      </c>
      <c r="CU66" s="1">
        <f t="shared" si="24"/>
        <v>111.87976190476191</v>
      </c>
      <c r="CV66" s="1">
        <f t="shared" si="24"/>
        <v>36.524999999999999</v>
      </c>
      <c r="CW66" s="1">
        <f t="shared" si="24"/>
        <v>151.37559523809523</v>
      </c>
      <c r="CX66" s="1">
        <f t="shared" ref="CX66:DC108" si="31">$CH66*AZ66</f>
        <v>265.14107142857148</v>
      </c>
      <c r="CY66" s="1">
        <f t="shared" si="31"/>
        <v>7.9916666666666636</v>
      </c>
      <c r="CZ66" s="1">
        <f t="shared" si="31"/>
        <v>212.73690476190475</v>
      </c>
      <c r="DA66" s="1">
        <f t="shared" si="31"/>
        <v>17.587499999999995</v>
      </c>
      <c r="DB66" s="1">
        <f t="shared" si="31"/>
        <v>164.60000000000005</v>
      </c>
      <c r="DC66" s="1">
        <f t="shared" si="31"/>
        <v>31.450595238095232</v>
      </c>
      <c r="DD66" s="1">
        <f t="shared" si="29"/>
        <v>122.05</v>
      </c>
      <c r="DE66" s="1">
        <f t="shared" si="29"/>
        <v>50.900595238095221</v>
      </c>
      <c r="DF66" s="1">
        <f t="shared" si="25"/>
        <v>86.899999999999977</v>
      </c>
      <c r="DG66" s="1">
        <f>$CH66*BI66</f>
        <v>77.750595238095229</v>
      </c>
      <c r="DH66" s="1">
        <f t="shared" si="25"/>
        <v>59.029166666666669</v>
      </c>
      <c r="DI66" s="1">
        <f t="shared" si="25"/>
        <v>111.87976190476191</v>
      </c>
      <c r="DJ66" s="1">
        <f t="shared" si="25"/>
        <v>36.524999999999999</v>
      </c>
      <c r="DK66" s="1">
        <f t="shared" si="25"/>
        <v>151.37559523809523</v>
      </c>
      <c r="DL66" s="25"/>
      <c r="DM66" s="25"/>
      <c r="DN66" s="24"/>
      <c r="DO66" s="25"/>
      <c r="DP66" s="25"/>
      <c r="DQ66" s="25"/>
      <c r="DR66" s="25"/>
      <c r="DS66" s="25"/>
      <c r="DT66" s="25"/>
      <c r="DU66" s="25"/>
      <c r="DV66" s="25"/>
    </row>
    <row r="67" spans="1:126" x14ac:dyDescent="0.25">
      <c r="A67" s="261">
        <v>43983</v>
      </c>
      <c r="B67" s="262">
        <f t="shared" si="18"/>
        <v>2020</v>
      </c>
      <c r="C67" s="262">
        <f t="shared" si="19"/>
        <v>6</v>
      </c>
      <c r="D67" s="263">
        <v>44718231.311448969</v>
      </c>
      <c r="E67" s="263">
        <f>IFERROR(VLOOKUP($B67-1,CDM!$L$7:$T$18,2,FALSE)/12,0)+IFERROR(VLOOKUP($B67,CDM!$L$36:$T$46,2,FALSE)/24,0)+IFERROR(VLOOKUP($B67,CDM!$L$36:$T$46,2,FALSE)/2*$C67/78,0)</f>
        <v>2435866.3108974355</v>
      </c>
      <c r="F67" s="263">
        <f t="shared" si="20"/>
        <v>47154097.622346401</v>
      </c>
      <c r="G67" s="264">
        <v>54521</v>
      </c>
      <c r="H67" s="263">
        <v>8871542.3359347116</v>
      </c>
      <c r="I67" s="263">
        <f>IFERROR(VLOOKUP($B67-1,CDM!$L$7:$T$18,3,FALSE)/12,0)+IFERROR(VLOOKUP($B67,CDM!$L$36:$T$46,3,FALSE)/24,0)+IFERROR(VLOOKUP($B67,CDM!$L$36:$T$46,3,FALSE)/2*$C67/78,0)</f>
        <v>549058.62634680991</v>
      </c>
      <c r="J67" s="263">
        <f t="shared" si="21"/>
        <v>9420600.9622815214</v>
      </c>
      <c r="K67" s="265">
        <v>4205</v>
      </c>
      <c r="L67" s="4">
        <v>23570161.011071999</v>
      </c>
      <c r="M67" s="266">
        <f>IFERROR(VLOOKUP($B67-1,CDM!$L$7:$T$18,4,FALSE)/12,0)+IFERROR(VLOOKUP($B67,CDM!$L$36:$T$46,4,FALSE)/24,0)+IFERROR(VLOOKUP($B67,CDM!$L$36:$T$46,4,FALSE)/2*$C67/78,0)</f>
        <v>648847.08480679814</v>
      </c>
      <c r="N67" s="263">
        <f t="shared" si="22"/>
        <v>24219008.095878799</v>
      </c>
      <c r="O67" s="4">
        <v>66661.329886000007</v>
      </c>
      <c r="P67" s="265">
        <v>538</v>
      </c>
      <c r="Q67" s="265">
        <v>6196914.0201269928</v>
      </c>
      <c r="R67" s="265">
        <f>IFERROR(VLOOKUP($B67-1,CDM!$L$7:$T$18,5,FALSE)/12,0)+IFERROR(VLOOKUP($B67,CDM!$L$36:$T$46,5,FALSE)/24,0)+IFERROR(VLOOKUP($B67,CDM!$L$36:$T$46,5,FALSE)/2*$C67/78,0)</f>
        <v>855578.28438810445</v>
      </c>
      <c r="S67" s="265">
        <f t="shared" ref="S67:S121" si="32">Q67+R67</f>
        <v>7052492.3045150973</v>
      </c>
      <c r="T67" s="265">
        <v>17272.360937999998</v>
      </c>
      <c r="U67" s="265">
        <v>14</v>
      </c>
      <c r="V67" s="265">
        <v>2214827.6747113038</v>
      </c>
      <c r="W67" s="265">
        <f>IFERROR(VLOOKUP($B67-1,CDM!$L$7:$T$18,6,FALSE)/12,0)+IFERROR(VLOOKUP($B67,CDM!$L$36:$T$46,6,FALSE)/24,0)+IFERROR(VLOOKUP($B67,CDM!$L$36:$T$46,6,FALSE)/2*$C67/78,0)</f>
        <v>23206.900587606837</v>
      </c>
      <c r="X67" s="265">
        <f t="shared" ref="X67:X121" si="33">V67+W67</f>
        <v>2238034.5752989105</v>
      </c>
      <c r="Y67" s="265">
        <v>6464.2113899999995</v>
      </c>
      <c r="Z67" s="265">
        <v>1</v>
      </c>
      <c r="AA67" s="4">
        <v>275612.25021846703</v>
      </c>
      <c r="AB67" s="4">
        <v>1022.83</v>
      </c>
      <c r="AC67" s="265">
        <v>13978</v>
      </c>
      <c r="AD67" s="265">
        <v>2285.94</v>
      </c>
      <c r="AE67" s="265">
        <v>0</v>
      </c>
      <c r="AF67" s="265">
        <v>19</v>
      </c>
      <c r="AG67" s="4">
        <v>213656</v>
      </c>
      <c r="AH67" s="4">
        <v>253</v>
      </c>
      <c r="AI67" s="28">
        <f>Economic!H69</f>
        <v>769942</v>
      </c>
      <c r="AJ67" s="28">
        <f>Economic!I69</f>
        <v>596521.6</v>
      </c>
      <c r="AK67" s="28">
        <f>Economic!J69</f>
        <v>58159</v>
      </c>
      <c r="AL67" s="28">
        <f>Economic!K69</f>
        <v>706539</v>
      </c>
      <c r="AM67" s="28">
        <f>Economic!L69</f>
        <v>552481</v>
      </c>
      <c r="AN67" s="28">
        <f>Economic!M69</f>
        <v>20965</v>
      </c>
      <c r="AO67" s="28">
        <f>Economic!D69</f>
        <v>6459.7</v>
      </c>
      <c r="AP67" s="28">
        <f>Economic!E69</f>
        <v>6498.5</v>
      </c>
      <c r="AQ67" s="28">
        <f>Economic!F69</f>
        <v>190.3</v>
      </c>
      <c r="AR67" s="28">
        <f>Economic!G69</f>
        <v>193.9</v>
      </c>
      <c r="AS67" s="28">
        <f>Economic!N69</f>
        <v>-960.60000000000036</v>
      </c>
      <c r="AT67" s="28">
        <f>Economic!O69</f>
        <v>-962.39999999999964</v>
      </c>
      <c r="AU67" s="28">
        <f>Economic!P69</f>
        <v>-28.199999999999989</v>
      </c>
      <c r="AV67" s="28">
        <f>Economic!Q69</f>
        <v>-28.299999999999983</v>
      </c>
      <c r="AW67" s="28">
        <f>Economic!R69</f>
        <v>-37332.5</v>
      </c>
      <c r="AX67" s="28">
        <f>Economic!S69</f>
        <v>-93587</v>
      </c>
      <c r="AY67" s="7">
        <f>Weather!D67</f>
        <v>19.417874396135264</v>
      </c>
      <c r="AZ67" s="7">
        <f>Weather!E67</f>
        <v>53.275000000000006</v>
      </c>
      <c r="BA67" s="7">
        <f>Weather!F67</f>
        <v>35.811231884057946</v>
      </c>
      <c r="BB67" s="7">
        <f>Weather!G67</f>
        <v>29.733333333333348</v>
      </c>
      <c r="BC67" s="7">
        <f>Weather!H67</f>
        <v>72.269565217391289</v>
      </c>
      <c r="BD67" s="7">
        <f>Weather!I67</f>
        <v>13.145833333333346</v>
      </c>
      <c r="BE67" s="7">
        <f>Weather!J67</f>
        <v>115.68206521739128</v>
      </c>
      <c r="BF67" s="7">
        <f>Weather!K67</f>
        <v>3.4333333333333353</v>
      </c>
      <c r="BG67" s="7">
        <f>Weather!L67</f>
        <v>165.96956521739128</v>
      </c>
      <c r="BH67" s="7">
        <f>Weather!M67</f>
        <v>0</v>
      </c>
      <c r="BI67" s="7">
        <f>Weather!N67</f>
        <v>222.53623188405788</v>
      </c>
      <c r="BJ67" s="7">
        <f>Weather!O67</f>
        <v>0</v>
      </c>
      <c r="BK67" s="7">
        <f>Weather!P67</f>
        <v>282.53623188405788</v>
      </c>
      <c r="BL67" s="7">
        <f>Weather!Q67</f>
        <v>0</v>
      </c>
      <c r="BM67" s="7">
        <f>Weather!R67</f>
        <v>342.536231884058</v>
      </c>
      <c r="BN67" s="1">
        <f t="shared" si="27"/>
        <v>0</v>
      </c>
      <c r="BO67" s="1">
        <f t="shared" si="27"/>
        <v>0</v>
      </c>
      <c r="BP67" s="1">
        <f t="shared" si="27"/>
        <v>0</v>
      </c>
      <c r="BQ67" s="1">
        <f t="shared" si="27"/>
        <v>0</v>
      </c>
      <c r="BR67" s="1">
        <f t="shared" si="27"/>
        <v>0</v>
      </c>
      <c r="BS67" s="1">
        <f t="shared" si="27"/>
        <v>1</v>
      </c>
      <c r="BT67" s="1">
        <f t="shared" si="27"/>
        <v>0</v>
      </c>
      <c r="BU67" s="1">
        <f t="shared" si="27"/>
        <v>0</v>
      </c>
      <c r="BV67" s="1">
        <f t="shared" si="27"/>
        <v>0</v>
      </c>
      <c r="BW67" s="1">
        <f t="shared" si="27"/>
        <v>0</v>
      </c>
      <c r="BX67" s="1">
        <f t="shared" si="27"/>
        <v>0</v>
      </c>
      <c r="BY67" s="1">
        <f t="shared" si="27"/>
        <v>0</v>
      </c>
      <c r="BZ67" s="1">
        <f t="shared" si="27"/>
        <v>0</v>
      </c>
      <c r="CA67" s="1">
        <f t="shared" si="27"/>
        <v>0</v>
      </c>
      <c r="CB67" s="1">
        <f t="shared" si="27"/>
        <v>0</v>
      </c>
      <c r="CC67" s="1">
        <f t="shared" si="23"/>
        <v>66</v>
      </c>
      <c r="CD67" s="1">
        <f t="shared" si="17"/>
        <v>30</v>
      </c>
      <c r="CE67" s="1">
        <v>22</v>
      </c>
      <c r="CF67" s="1">
        <v>1</v>
      </c>
      <c r="CG67" s="1">
        <v>0.5</v>
      </c>
      <c r="CH67" s="1">
        <v>1</v>
      </c>
      <c r="CI67" s="1">
        <v>0.5</v>
      </c>
      <c r="CJ67" s="1">
        <f t="shared" si="30"/>
        <v>26.637500000000003</v>
      </c>
      <c r="CK67" s="1">
        <f t="shared" si="30"/>
        <v>17.905615942028973</v>
      </c>
      <c r="CL67" s="1">
        <f t="shared" si="30"/>
        <v>14.866666666666674</v>
      </c>
      <c r="CM67" s="1">
        <f t="shared" si="30"/>
        <v>36.134782608695645</v>
      </c>
      <c r="CN67" s="1">
        <f t="shared" si="30"/>
        <v>6.5729166666666732</v>
      </c>
      <c r="CO67" s="1">
        <f t="shared" si="30"/>
        <v>57.841032608695642</v>
      </c>
      <c r="CP67" s="1">
        <f t="shared" si="28"/>
        <v>1.7166666666666677</v>
      </c>
      <c r="CQ67" s="1">
        <f t="shared" si="28"/>
        <v>82.984782608695639</v>
      </c>
      <c r="CR67" s="1">
        <f t="shared" si="24"/>
        <v>0</v>
      </c>
      <c r="CS67" s="1">
        <f t="shared" si="24"/>
        <v>111.26811594202894</v>
      </c>
      <c r="CT67" s="1">
        <f t="shared" si="24"/>
        <v>0</v>
      </c>
      <c r="CU67" s="1">
        <f t="shared" si="24"/>
        <v>141.26811594202894</v>
      </c>
      <c r="CV67" s="1">
        <f t="shared" si="24"/>
        <v>0</v>
      </c>
      <c r="CW67" s="1">
        <f t="shared" si="24"/>
        <v>171.268115942029</v>
      </c>
      <c r="CX67" s="1">
        <f t="shared" si="31"/>
        <v>53.275000000000006</v>
      </c>
      <c r="CY67" s="1">
        <f t="shared" si="31"/>
        <v>35.811231884057946</v>
      </c>
      <c r="CZ67" s="1">
        <f t="shared" si="31"/>
        <v>29.733333333333348</v>
      </c>
      <c r="DA67" s="1">
        <f t="shared" si="31"/>
        <v>72.269565217391289</v>
      </c>
      <c r="DB67" s="1">
        <f t="shared" si="31"/>
        <v>13.145833333333346</v>
      </c>
      <c r="DC67" s="1">
        <f t="shared" si="31"/>
        <v>115.68206521739128</v>
      </c>
      <c r="DD67" s="1">
        <f t="shared" si="29"/>
        <v>3.4333333333333353</v>
      </c>
      <c r="DE67" s="1">
        <f t="shared" si="29"/>
        <v>165.96956521739128</v>
      </c>
      <c r="DF67" s="1">
        <f t="shared" si="25"/>
        <v>0</v>
      </c>
      <c r="DG67" s="1">
        <f>$CH67*BI67</f>
        <v>222.53623188405788</v>
      </c>
      <c r="DH67" s="1">
        <f t="shared" si="25"/>
        <v>0</v>
      </c>
      <c r="DI67" s="1">
        <f t="shared" si="25"/>
        <v>282.53623188405788</v>
      </c>
      <c r="DJ67" s="1">
        <f t="shared" si="25"/>
        <v>0</v>
      </c>
      <c r="DK67" s="1">
        <f t="shared" si="25"/>
        <v>342.536231884058</v>
      </c>
      <c r="DL67" s="25"/>
      <c r="DM67" s="25"/>
      <c r="DN67" s="24"/>
      <c r="DO67" s="25"/>
      <c r="DP67" s="25"/>
      <c r="DQ67" s="25"/>
      <c r="DR67" s="25"/>
      <c r="DS67" s="25"/>
      <c r="DT67" s="25"/>
      <c r="DU67" s="25"/>
      <c r="DV67" s="25"/>
    </row>
    <row r="68" spans="1:126" x14ac:dyDescent="0.25">
      <c r="A68" s="261">
        <v>44013</v>
      </c>
      <c r="B68" s="262">
        <f t="shared" si="18"/>
        <v>2020</v>
      </c>
      <c r="C68" s="262">
        <f t="shared" si="19"/>
        <v>7</v>
      </c>
      <c r="D68" s="263">
        <v>57758606.220407367</v>
      </c>
      <c r="E68" s="263">
        <f>IFERROR(VLOOKUP($B68-1,CDM!$L$7:$T$18,2,FALSE)/12,0)+IFERROR(VLOOKUP($B68,CDM!$L$36:$T$46,2,FALSE)/24,0)+IFERROR(VLOOKUP($B68,CDM!$L$36:$T$46,2,FALSE)/2*$C68/78,0)</f>
        <v>2435854.3557692305</v>
      </c>
      <c r="F68" s="263">
        <f t="shared" si="20"/>
        <v>60194460.576176599</v>
      </c>
      <c r="G68" s="264">
        <v>54507</v>
      </c>
      <c r="H68" s="263">
        <v>11127357.290681239</v>
      </c>
      <c r="I68" s="263">
        <f>IFERROR(VLOOKUP($B68-1,CDM!$L$7:$T$18,3,FALSE)/12,0)+IFERROR(VLOOKUP($B68,CDM!$L$36:$T$46,3,FALSE)/24,0)+IFERROR(VLOOKUP($B68,CDM!$L$36:$T$46,3,FALSE)/2*$C68/78,0)</f>
        <v>548491.62486926804</v>
      </c>
      <c r="J68" s="263">
        <f t="shared" si="21"/>
        <v>11675848.915550508</v>
      </c>
      <c r="K68" s="265">
        <v>4208</v>
      </c>
      <c r="L68" s="4">
        <v>28239813.818320382</v>
      </c>
      <c r="M68" s="266">
        <f>IFERROR(VLOOKUP($B68-1,CDM!$L$7:$T$18,4,FALSE)/12,0)+IFERROR(VLOOKUP($B68,CDM!$L$36:$T$46,4,FALSE)/24,0)+IFERROR(VLOOKUP($B68,CDM!$L$36:$T$46,4,FALSE)/2*$C68/78,0)</f>
        <v>648650.3882976959</v>
      </c>
      <c r="N68" s="263">
        <f t="shared" si="22"/>
        <v>28888464.206618078</v>
      </c>
      <c r="O68" s="4">
        <v>69985.247881999996</v>
      </c>
      <c r="P68" s="265">
        <v>539</v>
      </c>
      <c r="Q68" s="265">
        <v>7788559.4154939866</v>
      </c>
      <c r="R68" s="265">
        <f>IFERROR(VLOOKUP($B68-1,CDM!$L$7:$T$18,5,FALSE)/12,0)+IFERROR(VLOOKUP($B68,CDM!$L$36:$T$46,5,FALSE)/24,0)+IFERROR(VLOOKUP($B68,CDM!$L$36:$T$46,5,FALSE)/2*$C68/78,0)</f>
        <v>855577.44034964289</v>
      </c>
      <c r="S68" s="265">
        <f t="shared" si="32"/>
        <v>8644136.8558436297</v>
      </c>
      <c r="T68" s="265">
        <v>17139.356513999999</v>
      </c>
      <c r="U68" s="265">
        <v>15</v>
      </c>
      <c r="V68" s="265">
        <v>2771707.1866302304</v>
      </c>
      <c r="W68" s="265">
        <f>IFERROR(VLOOKUP($B68-1,CDM!$L$7:$T$18,6,FALSE)/12,0)+IFERROR(VLOOKUP($B68,CDM!$L$36:$T$46,6,FALSE)/24,0)+IFERROR(VLOOKUP($B68,CDM!$L$36:$T$46,6,FALSE)/2*$C68/78,0)</f>
        <v>23205.491079059826</v>
      </c>
      <c r="X68" s="265">
        <f t="shared" si="33"/>
        <v>2794912.6777092903</v>
      </c>
      <c r="Y68" s="265">
        <v>6329.5669500000004</v>
      </c>
      <c r="Z68" s="265">
        <v>1</v>
      </c>
      <c r="AA68" s="4">
        <v>292500.92674610473</v>
      </c>
      <c r="AB68" s="4">
        <v>1022.83</v>
      </c>
      <c r="AC68" s="265">
        <v>13978</v>
      </c>
      <c r="AD68" s="265">
        <v>2285.94</v>
      </c>
      <c r="AE68" s="265">
        <v>0</v>
      </c>
      <c r="AF68" s="265">
        <v>19</v>
      </c>
      <c r="AG68" s="4">
        <v>213656</v>
      </c>
      <c r="AH68" s="4">
        <v>253</v>
      </c>
      <c r="AI68" s="28">
        <f>Economic!H70</f>
        <v>769942</v>
      </c>
      <c r="AJ68" s="28">
        <f>Economic!I70</f>
        <v>596521.6</v>
      </c>
      <c r="AK68" s="28">
        <f>Economic!J70</f>
        <v>58159</v>
      </c>
      <c r="AL68" s="28">
        <f>Economic!K70</f>
        <v>777225</v>
      </c>
      <c r="AM68" s="28">
        <f>Economic!L70</f>
        <v>598852</v>
      </c>
      <c r="AN68" s="28">
        <f>Economic!M70</f>
        <v>22145</v>
      </c>
      <c r="AO68" s="28">
        <f>Economic!D70</f>
        <v>6643.5</v>
      </c>
      <c r="AP68" s="28">
        <f>Economic!E70</f>
        <v>6711.9</v>
      </c>
      <c r="AQ68" s="28">
        <f>Economic!F70</f>
        <v>195.6</v>
      </c>
      <c r="AR68" s="28">
        <f>Economic!G70</f>
        <v>199.5</v>
      </c>
      <c r="AS68" s="28">
        <f>Economic!N70</f>
        <v>-780.10000000000036</v>
      </c>
      <c r="AT68" s="28">
        <f>Economic!O70</f>
        <v>-798</v>
      </c>
      <c r="AU68" s="28">
        <f>Economic!P70</f>
        <v>-21.400000000000006</v>
      </c>
      <c r="AV68" s="28">
        <f>Economic!Q70</f>
        <v>-22.199999999999989</v>
      </c>
      <c r="AW68" s="28">
        <f>Economic!R70</f>
        <v>-37332.5</v>
      </c>
      <c r="AX68" s="28">
        <f>Economic!S70</f>
        <v>70686</v>
      </c>
      <c r="AY68" s="7">
        <f>Weather!D68</f>
        <v>23.964112903225804</v>
      </c>
      <c r="AZ68" s="7">
        <f>Weather!E68</f>
        <v>0</v>
      </c>
      <c r="BA68" s="7">
        <f>Weather!F68</f>
        <v>122.88750000000002</v>
      </c>
      <c r="BB68" s="7">
        <f>Weather!G68</f>
        <v>0</v>
      </c>
      <c r="BC68" s="7">
        <f>Weather!H68</f>
        <v>184.88749999999999</v>
      </c>
      <c r="BD68" s="7">
        <f>Weather!I68</f>
        <v>0</v>
      </c>
      <c r="BE68" s="7">
        <f>Weather!J68</f>
        <v>246.88749999999999</v>
      </c>
      <c r="BF68" s="7">
        <f>Weather!K68</f>
        <v>0</v>
      </c>
      <c r="BG68" s="7">
        <f>Weather!L68</f>
        <v>308.88750000000005</v>
      </c>
      <c r="BH68" s="7">
        <f>Weather!M68</f>
        <v>0</v>
      </c>
      <c r="BI68" s="7">
        <f>Weather!N68</f>
        <v>370.88750000000005</v>
      </c>
      <c r="BJ68" s="7">
        <f>Weather!O68</f>
        <v>0</v>
      </c>
      <c r="BK68" s="7">
        <f>Weather!P68</f>
        <v>432.88750000000005</v>
      </c>
      <c r="BL68" s="7">
        <f>Weather!Q68</f>
        <v>0</v>
      </c>
      <c r="BM68" s="7">
        <f>Weather!R68</f>
        <v>494.88750000000005</v>
      </c>
      <c r="BN68" s="1">
        <f t="shared" si="27"/>
        <v>0</v>
      </c>
      <c r="BO68" s="1">
        <f t="shared" si="27"/>
        <v>0</v>
      </c>
      <c r="BP68" s="1">
        <f t="shared" si="27"/>
        <v>0</v>
      </c>
      <c r="BQ68" s="1">
        <f t="shared" si="27"/>
        <v>0</v>
      </c>
      <c r="BR68" s="1">
        <f t="shared" si="27"/>
        <v>0</v>
      </c>
      <c r="BS68" s="1">
        <f t="shared" si="27"/>
        <v>0</v>
      </c>
      <c r="BT68" s="1">
        <f t="shared" si="27"/>
        <v>1</v>
      </c>
      <c r="BU68" s="1">
        <f t="shared" si="27"/>
        <v>0</v>
      </c>
      <c r="BV68" s="1">
        <f t="shared" si="27"/>
        <v>0</v>
      </c>
      <c r="BW68" s="1">
        <f t="shared" si="27"/>
        <v>0</v>
      </c>
      <c r="BX68" s="1">
        <f t="shared" si="27"/>
        <v>0</v>
      </c>
      <c r="BY68" s="1">
        <f t="shared" si="27"/>
        <v>0</v>
      </c>
      <c r="BZ68" s="1">
        <f t="shared" si="27"/>
        <v>0</v>
      </c>
      <c r="CA68" s="1">
        <f t="shared" si="27"/>
        <v>0</v>
      </c>
      <c r="CB68" s="1">
        <f t="shared" si="27"/>
        <v>0</v>
      </c>
      <c r="CC68" s="1">
        <f t="shared" si="23"/>
        <v>67</v>
      </c>
      <c r="CD68" s="1">
        <f t="shared" si="17"/>
        <v>31</v>
      </c>
      <c r="CE68" s="1">
        <v>22</v>
      </c>
      <c r="CF68" s="1">
        <v>1</v>
      </c>
      <c r="CG68" s="1">
        <v>0.5</v>
      </c>
      <c r="CH68" s="1">
        <v>1</v>
      </c>
      <c r="CI68" s="1">
        <v>0</v>
      </c>
      <c r="CJ68" s="1">
        <f t="shared" si="30"/>
        <v>0</v>
      </c>
      <c r="CK68" s="1">
        <f t="shared" si="30"/>
        <v>61.443750000000009</v>
      </c>
      <c r="CL68" s="1">
        <f t="shared" si="30"/>
        <v>0</v>
      </c>
      <c r="CM68" s="1">
        <f t="shared" si="30"/>
        <v>92.443749999999994</v>
      </c>
      <c r="CN68" s="1">
        <f t="shared" si="30"/>
        <v>0</v>
      </c>
      <c r="CO68" s="1">
        <f t="shared" si="30"/>
        <v>123.44374999999999</v>
      </c>
      <c r="CP68" s="1">
        <f t="shared" si="28"/>
        <v>0</v>
      </c>
      <c r="CQ68" s="1">
        <f t="shared" si="28"/>
        <v>154.44375000000002</v>
      </c>
      <c r="CR68" s="1">
        <f t="shared" si="24"/>
        <v>0</v>
      </c>
      <c r="CS68" s="1">
        <f t="shared" si="24"/>
        <v>185.44375000000002</v>
      </c>
      <c r="CT68" s="1">
        <f t="shared" si="24"/>
        <v>0</v>
      </c>
      <c r="CU68" s="1">
        <f t="shared" si="24"/>
        <v>216.44375000000002</v>
      </c>
      <c r="CV68" s="1">
        <f t="shared" si="24"/>
        <v>0</v>
      </c>
      <c r="CW68" s="1">
        <f t="shared" si="24"/>
        <v>247.44375000000002</v>
      </c>
      <c r="CX68" s="1">
        <f t="shared" si="31"/>
        <v>0</v>
      </c>
      <c r="CY68" s="1">
        <f t="shared" si="31"/>
        <v>122.88750000000002</v>
      </c>
      <c r="CZ68" s="1">
        <f t="shared" si="31"/>
        <v>0</v>
      </c>
      <c r="DA68" s="1">
        <f t="shared" si="31"/>
        <v>184.88749999999999</v>
      </c>
      <c r="DB68" s="1">
        <f t="shared" si="31"/>
        <v>0</v>
      </c>
      <c r="DC68" s="1">
        <f t="shared" si="31"/>
        <v>246.88749999999999</v>
      </c>
      <c r="DD68" s="1">
        <f t="shared" si="29"/>
        <v>0</v>
      </c>
      <c r="DE68" s="1">
        <f t="shared" si="29"/>
        <v>308.88750000000005</v>
      </c>
      <c r="DF68" s="1">
        <f t="shared" si="25"/>
        <v>0</v>
      </c>
      <c r="DG68" s="1">
        <f t="shared" si="25"/>
        <v>370.88750000000005</v>
      </c>
      <c r="DH68" s="1">
        <f t="shared" si="25"/>
        <v>0</v>
      </c>
      <c r="DI68" s="1">
        <f t="shared" si="25"/>
        <v>432.88750000000005</v>
      </c>
      <c r="DJ68" s="1">
        <f t="shared" si="25"/>
        <v>0</v>
      </c>
      <c r="DK68" s="1">
        <f t="shared" si="25"/>
        <v>494.88750000000005</v>
      </c>
      <c r="DL68" s="25"/>
      <c r="DM68" s="25"/>
      <c r="DN68" s="24"/>
      <c r="DO68" s="25"/>
      <c r="DP68" s="25"/>
      <c r="DQ68" s="25"/>
      <c r="DR68" s="25"/>
      <c r="DS68" s="25"/>
      <c r="DT68" s="25"/>
      <c r="DU68" s="25"/>
      <c r="DV68" s="25"/>
    </row>
    <row r="69" spans="1:126" x14ac:dyDescent="0.25">
      <c r="A69" s="261">
        <v>44044</v>
      </c>
      <c r="B69" s="262">
        <f t="shared" si="18"/>
        <v>2020</v>
      </c>
      <c r="C69" s="262">
        <f t="shared" si="19"/>
        <v>8</v>
      </c>
      <c r="D69" s="263">
        <v>53226824.671886824</v>
      </c>
      <c r="E69" s="263">
        <f>IFERROR(VLOOKUP($B69-1,CDM!$L$7:$T$18,2,FALSE)/12,0)+IFERROR(VLOOKUP($B69,CDM!$L$36:$T$46,2,FALSE)/24,0)+IFERROR(VLOOKUP($B69,CDM!$L$36:$T$46,2,FALSE)/2*$C69/78,0)</f>
        <v>2435842.4006410255</v>
      </c>
      <c r="F69" s="263">
        <f t="shared" si="20"/>
        <v>55662667.072527848</v>
      </c>
      <c r="G69" s="264">
        <v>54502</v>
      </c>
      <c r="H69" s="263">
        <v>10241045.210105941</v>
      </c>
      <c r="I69" s="263">
        <f>IFERROR(VLOOKUP($B69-1,CDM!$L$7:$T$18,3,FALSE)/12,0)+IFERROR(VLOOKUP($B69,CDM!$L$36:$T$46,3,FALSE)/24,0)+IFERROR(VLOOKUP($B69,CDM!$L$36:$T$46,3,FALSE)/2*$C69/78,0)</f>
        <v>547924.62339172617</v>
      </c>
      <c r="J69" s="263">
        <f t="shared" si="21"/>
        <v>10788969.833497668</v>
      </c>
      <c r="K69" s="265">
        <v>4205</v>
      </c>
      <c r="L69" s="4">
        <v>26270580.6002439</v>
      </c>
      <c r="M69" s="266">
        <f>IFERROR(VLOOKUP($B69-1,CDM!$L$7:$T$18,4,FALSE)/12,0)+IFERROR(VLOOKUP($B69,CDM!$L$36:$T$46,4,FALSE)/24,0)+IFERROR(VLOOKUP($B69,CDM!$L$36:$T$46,4,FALSE)/2*$C69/78,0)</f>
        <v>648453.69178859354</v>
      </c>
      <c r="N69" s="263">
        <f t="shared" si="22"/>
        <v>26919034.292032495</v>
      </c>
      <c r="O69" s="4">
        <v>69541.38</v>
      </c>
      <c r="P69" s="265">
        <v>540</v>
      </c>
      <c r="Q69" s="265">
        <v>7260309.3929578299</v>
      </c>
      <c r="R69" s="265">
        <f>IFERROR(VLOOKUP($B69-1,CDM!$L$7:$T$18,5,FALSE)/12,0)+IFERROR(VLOOKUP($B69,CDM!$L$36:$T$46,5,FALSE)/24,0)+IFERROR(VLOOKUP($B69,CDM!$L$36:$T$46,5,FALSE)/2*$C69/78,0)</f>
        <v>855576.59631118132</v>
      </c>
      <c r="S69" s="265">
        <f t="shared" si="32"/>
        <v>8115885.9892690107</v>
      </c>
      <c r="T69" s="265">
        <v>16312.430554</v>
      </c>
      <c r="U69" s="265">
        <v>15</v>
      </c>
      <c r="V69" s="265">
        <v>2823767.8385568643</v>
      </c>
      <c r="W69" s="265">
        <f>IFERROR(VLOOKUP($B69-1,CDM!$L$7:$T$18,6,FALSE)/12,0)+IFERROR(VLOOKUP($B69,CDM!$L$36:$T$46,6,FALSE)/24,0)+IFERROR(VLOOKUP($B69,CDM!$L$36:$T$46,6,FALSE)/2*$C69/78,0)</f>
        <v>23204.081570512819</v>
      </c>
      <c r="X69" s="265">
        <f t="shared" si="33"/>
        <v>2846971.9201273769</v>
      </c>
      <c r="Y69" s="265">
        <v>7453.5326879999993</v>
      </c>
      <c r="Z69" s="265">
        <v>1</v>
      </c>
      <c r="AA69" s="4">
        <v>292494.93183045869</v>
      </c>
      <c r="AB69" s="4">
        <v>1022.83</v>
      </c>
      <c r="AC69" s="265">
        <v>13978</v>
      </c>
      <c r="AD69" s="265">
        <v>2212.1999999999998</v>
      </c>
      <c r="AE69" s="265">
        <v>0</v>
      </c>
      <c r="AF69" s="265">
        <v>19</v>
      </c>
      <c r="AG69" s="4">
        <v>213656</v>
      </c>
      <c r="AH69" s="4">
        <v>254</v>
      </c>
      <c r="AI69" s="28">
        <f>Economic!H71</f>
        <v>769942</v>
      </c>
      <c r="AJ69" s="28">
        <f>Economic!I71</f>
        <v>596521.6</v>
      </c>
      <c r="AK69" s="28">
        <f>Economic!J71</f>
        <v>58159</v>
      </c>
      <c r="AL69" s="28">
        <f>Economic!K71</f>
        <v>777225</v>
      </c>
      <c r="AM69" s="28">
        <f>Economic!L71</f>
        <v>598852</v>
      </c>
      <c r="AN69" s="28">
        <f>Economic!M71</f>
        <v>22145</v>
      </c>
      <c r="AO69" s="28">
        <f>Economic!D71</f>
        <v>6879.1</v>
      </c>
      <c r="AP69" s="28">
        <f>Economic!E71</f>
        <v>6950.9</v>
      </c>
      <c r="AQ69" s="28">
        <f>Economic!F71</f>
        <v>202.7</v>
      </c>
      <c r="AR69" s="28">
        <f>Economic!G71</f>
        <v>205.5</v>
      </c>
      <c r="AS69" s="28">
        <f>Economic!N71</f>
        <v>-554.69999999999982</v>
      </c>
      <c r="AT69" s="28">
        <f>Economic!O71</f>
        <v>-572.40000000000055</v>
      </c>
      <c r="AU69" s="28">
        <f>Economic!P71</f>
        <v>-11.5</v>
      </c>
      <c r="AV69" s="28">
        <f>Economic!Q71</f>
        <v>-11.699999999999989</v>
      </c>
      <c r="AW69" s="28">
        <f>Economic!R71</f>
        <v>-37332.5</v>
      </c>
      <c r="AX69" s="28">
        <f>Economic!S71</f>
        <v>70686</v>
      </c>
      <c r="AY69" s="7">
        <f>Weather!D69</f>
        <v>20.997776148582602</v>
      </c>
      <c r="AZ69" s="7">
        <f>Weather!E69</f>
        <v>19.720833333333321</v>
      </c>
      <c r="BA69" s="7">
        <f>Weather!F69</f>
        <v>50.651893939393972</v>
      </c>
      <c r="BB69" s="7">
        <f>Weather!G69</f>
        <v>3.4874999999999972</v>
      </c>
      <c r="BC69" s="7">
        <f>Weather!H69</f>
        <v>96.418560606060637</v>
      </c>
      <c r="BD69" s="7">
        <f>Weather!I69</f>
        <v>0</v>
      </c>
      <c r="BE69" s="7">
        <f>Weather!J69</f>
        <v>154.93106060606064</v>
      </c>
      <c r="BF69" s="7">
        <f>Weather!K69</f>
        <v>0</v>
      </c>
      <c r="BG69" s="7">
        <f>Weather!L69</f>
        <v>216.93106060606064</v>
      </c>
      <c r="BH69" s="7">
        <f>Weather!M69</f>
        <v>0</v>
      </c>
      <c r="BI69" s="7">
        <f>Weather!N69</f>
        <v>278.93106060606061</v>
      </c>
      <c r="BJ69" s="7">
        <f>Weather!O69</f>
        <v>0</v>
      </c>
      <c r="BK69" s="7">
        <f>Weather!P69</f>
        <v>340.93106060606056</v>
      </c>
      <c r="BL69" s="7">
        <f>Weather!Q69</f>
        <v>0</v>
      </c>
      <c r="BM69" s="7">
        <f>Weather!R69</f>
        <v>402.93106060606067</v>
      </c>
      <c r="BN69" s="1">
        <f t="shared" si="27"/>
        <v>0</v>
      </c>
      <c r="BO69" s="1">
        <f t="shared" si="27"/>
        <v>0</v>
      </c>
      <c r="BP69" s="1">
        <f t="shared" si="27"/>
        <v>0</v>
      </c>
      <c r="BQ69" s="1">
        <f t="shared" si="27"/>
        <v>0</v>
      </c>
      <c r="BR69" s="1">
        <f t="shared" si="27"/>
        <v>0</v>
      </c>
      <c r="BS69" s="1">
        <f t="shared" si="27"/>
        <v>0</v>
      </c>
      <c r="BT69" s="1">
        <f t="shared" si="27"/>
        <v>0</v>
      </c>
      <c r="BU69" s="1">
        <f t="shared" si="27"/>
        <v>1</v>
      </c>
      <c r="BV69" s="1">
        <f t="shared" si="27"/>
        <v>0</v>
      </c>
      <c r="BW69" s="1">
        <f t="shared" si="27"/>
        <v>0</v>
      </c>
      <c r="BX69" s="1">
        <f t="shared" si="27"/>
        <v>0</v>
      </c>
      <c r="BY69" s="1">
        <f t="shared" si="27"/>
        <v>0</v>
      </c>
      <c r="BZ69" s="1">
        <f t="shared" si="27"/>
        <v>0</v>
      </c>
      <c r="CA69" s="1">
        <f t="shared" si="27"/>
        <v>0</v>
      </c>
      <c r="CB69" s="1">
        <f t="shared" si="27"/>
        <v>0</v>
      </c>
      <c r="CC69" s="1">
        <f t="shared" si="23"/>
        <v>68</v>
      </c>
      <c r="CD69" s="1">
        <f t="shared" si="17"/>
        <v>31</v>
      </c>
      <c r="CE69" s="1">
        <v>20</v>
      </c>
      <c r="CF69" s="1">
        <v>1</v>
      </c>
      <c r="CG69" s="1">
        <v>0.5</v>
      </c>
      <c r="CH69" s="1">
        <v>1</v>
      </c>
      <c r="CI69" s="1">
        <v>0</v>
      </c>
      <c r="CJ69" s="1">
        <f t="shared" si="30"/>
        <v>9.8604166666666604</v>
      </c>
      <c r="CK69" s="1">
        <f t="shared" si="30"/>
        <v>25.325946969696986</v>
      </c>
      <c r="CL69" s="1">
        <f t="shared" si="30"/>
        <v>1.7437499999999986</v>
      </c>
      <c r="CM69" s="1">
        <f t="shared" si="30"/>
        <v>48.209280303030319</v>
      </c>
      <c r="CN69" s="1">
        <f t="shared" si="30"/>
        <v>0</v>
      </c>
      <c r="CO69" s="1">
        <f t="shared" si="30"/>
        <v>77.46553030303032</v>
      </c>
      <c r="CP69" s="1">
        <f t="shared" si="28"/>
        <v>0</v>
      </c>
      <c r="CQ69" s="1">
        <f t="shared" si="28"/>
        <v>108.46553030303032</v>
      </c>
      <c r="CR69" s="1">
        <f t="shared" si="24"/>
        <v>0</v>
      </c>
      <c r="CS69" s="1">
        <f t="shared" si="24"/>
        <v>139.46553030303031</v>
      </c>
      <c r="CT69" s="1">
        <f t="shared" si="24"/>
        <v>0</v>
      </c>
      <c r="CU69" s="1">
        <f t="shared" si="24"/>
        <v>170.46553030303028</v>
      </c>
      <c r="CV69" s="1">
        <f t="shared" si="24"/>
        <v>0</v>
      </c>
      <c r="CW69" s="1">
        <f t="shared" si="24"/>
        <v>201.46553030303033</v>
      </c>
      <c r="CX69" s="1">
        <f t="shared" si="31"/>
        <v>19.720833333333321</v>
      </c>
      <c r="CY69" s="1">
        <f t="shared" si="31"/>
        <v>50.651893939393972</v>
      </c>
      <c r="CZ69" s="1">
        <f t="shared" si="31"/>
        <v>3.4874999999999972</v>
      </c>
      <c r="DA69" s="1">
        <f t="shared" si="31"/>
        <v>96.418560606060637</v>
      </c>
      <c r="DB69" s="1">
        <f t="shared" si="31"/>
        <v>0</v>
      </c>
      <c r="DC69" s="1">
        <f t="shared" si="31"/>
        <v>154.93106060606064</v>
      </c>
      <c r="DD69" s="1">
        <f t="shared" si="29"/>
        <v>0</v>
      </c>
      <c r="DE69" s="1">
        <f t="shared" si="29"/>
        <v>216.93106060606064</v>
      </c>
      <c r="DF69" s="1">
        <f t="shared" si="25"/>
        <v>0</v>
      </c>
      <c r="DG69" s="1">
        <f t="shared" si="25"/>
        <v>278.93106060606061</v>
      </c>
      <c r="DH69" s="1">
        <f t="shared" si="25"/>
        <v>0</v>
      </c>
      <c r="DI69" s="1">
        <f t="shared" si="25"/>
        <v>340.93106060606056</v>
      </c>
      <c r="DJ69" s="1">
        <f t="shared" si="25"/>
        <v>0</v>
      </c>
      <c r="DK69" s="1">
        <f t="shared" si="25"/>
        <v>402.93106060606067</v>
      </c>
      <c r="DL69" s="25"/>
      <c r="DM69" s="25"/>
      <c r="DN69" s="24"/>
      <c r="DO69" s="25"/>
      <c r="DP69" s="25"/>
      <c r="DQ69" s="25"/>
      <c r="DR69" s="25"/>
      <c r="DS69" s="25"/>
      <c r="DT69" s="25"/>
      <c r="DU69" s="25"/>
      <c r="DV69" s="25"/>
    </row>
    <row r="70" spans="1:126" x14ac:dyDescent="0.25">
      <c r="A70" s="261">
        <v>44075</v>
      </c>
      <c r="B70" s="262">
        <f t="shared" si="18"/>
        <v>2020</v>
      </c>
      <c r="C70" s="262">
        <f t="shared" si="19"/>
        <v>9</v>
      </c>
      <c r="D70" s="263">
        <v>41896950.032388642</v>
      </c>
      <c r="E70" s="263">
        <f>IFERROR(VLOOKUP($B70-1,CDM!$L$7:$T$18,2,FALSE)/12,0)+IFERROR(VLOOKUP($B70,CDM!$L$36:$T$46,2,FALSE)/24,0)+IFERROR(VLOOKUP($B70,CDM!$L$36:$T$46,2,FALSE)/2*$C70/78,0)</f>
        <v>2435830.4455128205</v>
      </c>
      <c r="F70" s="263">
        <f t="shared" si="20"/>
        <v>44332780.477901466</v>
      </c>
      <c r="G70" s="264">
        <v>54799</v>
      </c>
      <c r="H70" s="263">
        <v>8597696.8064562883</v>
      </c>
      <c r="I70" s="263">
        <f>IFERROR(VLOOKUP($B70-1,CDM!$L$7:$T$18,3,FALSE)/12,0)+IFERROR(VLOOKUP($B70,CDM!$L$36:$T$46,3,FALSE)/24,0)+IFERROR(VLOOKUP($B70,CDM!$L$36:$T$46,3,FALSE)/2*$C70/78,0)</f>
        <v>547357.6219141843</v>
      </c>
      <c r="J70" s="263">
        <f t="shared" si="21"/>
        <v>9145054.428370472</v>
      </c>
      <c r="K70" s="265">
        <v>4229</v>
      </c>
      <c r="L70" s="4">
        <v>22251630.377495181</v>
      </c>
      <c r="M70" s="266">
        <f>IFERROR(VLOOKUP($B70-1,CDM!$L$7:$T$18,4,FALSE)/12,0)+IFERROR(VLOOKUP($B70,CDM!$L$36:$T$46,4,FALSE)/24,0)+IFERROR(VLOOKUP($B70,CDM!$L$36:$T$46,4,FALSE)/2*$C70/78,0)</f>
        <v>648256.9952794913</v>
      </c>
      <c r="N70" s="263">
        <f t="shared" si="22"/>
        <v>22899887.372774672</v>
      </c>
      <c r="O70" s="4">
        <v>61429</v>
      </c>
      <c r="P70" s="265">
        <v>537</v>
      </c>
      <c r="Q70" s="265">
        <v>5985300.0510400096</v>
      </c>
      <c r="R70" s="265">
        <f>IFERROR(VLOOKUP($B70-1,CDM!$L$7:$T$18,5,FALSE)/12,0)+IFERROR(VLOOKUP($B70,CDM!$L$36:$T$46,5,FALSE)/24,0)+IFERROR(VLOOKUP($B70,CDM!$L$36:$T$46,5,FALSE)/2*$C70/78,0)</f>
        <v>855575.75227271975</v>
      </c>
      <c r="S70" s="265">
        <f t="shared" si="32"/>
        <v>6840875.8033127291</v>
      </c>
      <c r="T70" s="265">
        <v>15240.28</v>
      </c>
      <c r="U70" s="265">
        <v>15</v>
      </c>
      <c r="V70" s="265">
        <v>2773278.0060593467</v>
      </c>
      <c r="W70" s="265">
        <f>IFERROR(VLOOKUP($B70-1,CDM!$L$7:$T$18,6,FALSE)/12,0)+IFERROR(VLOOKUP($B70,CDM!$L$36:$T$46,6,FALSE)/24,0)+IFERROR(VLOOKUP($B70,CDM!$L$36:$T$46,6,FALSE)/2*$C70/78,0)</f>
        <v>23202.672061965808</v>
      </c>
      <c r="X70" s="265">
        <f t="shared" si="33"/>
        <v>2796480.6781213125</v>
      </c>
      <c r="Y70" s="265">
        <v>5435</v>
      </c>
      <c r="Z70" s="265">
        <v>1</v>
      </c>
      <c r="AA70" s="4">
        <v>300755.16915870161</v>
      </c>
      <c r="AB70" s="4">
        <v>1023</v>
      </c>
      <c r="AC70" s="265">
        <v>13978</v>
      </c>
      <c r="AD70" s="265">
        <v>2285.94</v>
      </c>
      <c r="AE70" s="265">
        <v>0</v>
      </c>
      <c r="AF70" s="265">
        <v>19</v>
      </c>
      <c r="AG70" s="4">
        <v>213926</v>
      </c>
      <c r="AH70" s="4">
        <v>254</v>
      </c>
      <c r="AI70" s="28">
        <f>Economic!H72</f>
        <v>769942</v>
      </c>
      <c r="AJ70" s="28">
        <f>Economic!I72</f>
        <v>596521.6</v>
      </c>
      <c r="AK70" s="28">
        <f>Economic!J72</f>
        <v>58159</v>
      </c>
      <c r="AL70" s="28">
        <f>Economic!K72</f>
        <v>777225</v>
      </c>
      <c r="AM70" s="28">
        <f>Economic!L72</f>
        <v>598852</v>
      </c>
      <c r="AN70" s="28">
        <f>Economic!M72</f>
        <v>22145</v>
      </c>
      <c r="AO70" s="28">
        <f>Economic!D72</f>
        <v>7040.8</v>
      </c>
      <c r="AP70" s="28">
        <f>Economic!E72</f>
        <v>7075.5</v>
      </c>
      <c r="AQ70" s="28">
        <f>Economic!F72</f>
        <v>208.8</v>
      </c>
      <c r="AR70" s="28">
        <f>Economic!G72</f>
        <v>209.1</v>
      </c>
      <c r="AS70" s="28">
        <f>Economic!N72</f>
        <v>-407.69999999999982</v>
      </c>
      <c r="AT70" s="28">
        <f>Economic!O72</f>
        <v>-429.60000000000036</v>
      </c>
      <c r="AU70" s="28">
        <f>Economic!P72</f>
        <v>-1.1999999999999886</v>
      </c>
      <c r="AV70" s="28">
        <f>Economic!Q72</f>
        <v>-1.5999999999999943</v>
      </c>
      <c r="AW70" s="28">
        <f>Economic!R72</f>
        <v>-37332.5</v>
      </c>
      <c r="AX70" s="28">
        <f>Economic!S72</f>
        <v>70686</v>
      </c>
      <c r="AY70" s="7">
        <f>Weather!D70</f>
        <v>15.728182367149758</v>
      </c>
      <c r="AZ70" s="7">
        <f>Weather!E70</f>
        <v>132.75869565217394</v>
      </c>
      <c r="BA70" s="7">
        <f>Weather!F70</f>
        <v>4.6041666666666714</v>
      </c>
      <c r="BB70" s="7">
        <f>Weather!G70</f>
        <v>85.042028985507244</v>
      </c>
      <c r="BC70" s="7">
        <f>Weather!H70</f>
        <v>16.887500000000003</v>
      </c>
      <c r="BD70" s="7">
        <f>Weather!I70</f>
        <v>46.033695652173925</v>
      </c>
      <c r="BE70" s="7">
        <f>Weather!J70</f>
        <v>37.879166666666663</v>
      </c>
      <c r="BF70" s="7">
        <f>Weather!K70</f>
        <v>23.967028985507248</v>
      </c>
      <c r="BG70" s="7">
        <f>Weather!L70</f>
        <v>75.812499999999972</v>
      </c>
      <c r="BH70" s="7">
        <f>Weather!M70</f>
        <v>8.9666666666666686</v>
      </c>
      <c r="BI70" s="7">
        <f>Weather!N70</f>
        <v>120.81213768115938</v>
      </c>
      <c r="BJ70" s="7">
        <f>Weather!O70</f>
        <v>2.2333333333333343</v>
      </c>
      <c r="BK70" s="7">
        <f>Weather!P70</f>
        <v>174.07880434782609</v>
      </c>
      <c r="BL70" s="7">
        <f>Weather!Q70</f>
        <v>0</v>
      </c>
      <c r="BM70" s="7">
        <f>Weather!R70</f>
        <v>231.84547101449272</v>
      </c>
      <c r="BN70" s="1">
        <f t="shared" si="27"/>
        <v>0</v>
      </c>
      <c r="BO70" s="1">
        <f t="shared" si="27"/>
        <v>0</v>
      </c>
      <c r="BP70" s="1">
        <f t="shared" si="27"/>
        <v>0</v>
      </c>
      <c r="BQ70" s="1">
        <f t="shared" si="27"/>
        <v>0</v>
      </c>
      <c r="BR70" s="1">
        <f t="shared" si="27"/>
        <v>0</v>
      </c>
      <c r="BS70" s="1">
        <f t="shared" si="27"/>
        <v>0</v>
      </c>
      <c r="BT70" s="1">
        <f t="shared" si="27"/>
        <v>0</v>
      </c>
      <c r="BU70" s="1">
        <f t="shared" si="27"/>
        <v>0</v>
      </c>
      <c r="BV70" s="1">
        <f t="shared" si="27"/>
        <v>1</v>
      </c>
      <c r="BW70" s="1">
        <f t="shared" si="27"/>
        <v>0</v>
      </c>
      <c r="BX70" s="1">
        <f t="shared" si="27"/>
        <v>0</v>
      </c>
      <c r="BY70" s="1">
        <f t="shared" si="27"/>
        <v>0</v>
      </c>
      <c r="BZ70" s="1">
        <f t="shared" si="27"/>
        <v>0</v>
      </c>
      <c r="CA70" s="1">
        <f t="shared" si="27"/>
        <v>1</v>
      </c>
      <c r="CB70" s="1">
        <f t="shared" si="27"/>
        <v>1</v>
      </c>
      <c r="CC70" s="1">
        <f t="shared" si="23"/>
        <v>69</v>
      </c>
      <c r="CD70" s="1">
        <f t="shared" si="17"/>
        <v>30</v>
      </c>
      <c r="CE70" s="1">
        <v>21</v>
      </c>
      <c r="CF70" s="1">
        <v>1</v>
      </c>
      <c r="CG70" s="1">
        <v>0.5</v>
      </c>
      <c r="CH70" s="1">
        <v>1</v>
      </c>
      <c r="CI70" s="1">
        <v>0</v>
      </c>
      <c r="CJ70" s="1">
        <f t="shared" si="30"/>
        <v>66.37934782608697</v>
      </c>
      <c r="CK70" s="1">
        <f t="shared" si="30"/>
        <v>2.3020833333333357</v>
      </c>
      <c r="CL70" s="1">
        <f t="shared" si="30"/>
        <v>42.521014492753622</v>
      </c>
      <c r="CM70" s="1">
        <f t="shared" si="30"/>
        <v>8.4437500000000014</v>
      </c>
      <c r="CN70" s="1">
        <f t="shared" si="30"/>
        <v>23.016847826086963</v>
      </c>
      <c r="CO70" s="1">
        <f t="shared" si="30"/>
        <v>18.939583333333331</v>
      </c>
      <c r="CP70" s="1">
        <f t="shared" si="28"/>
        <v>11.983514492753624</v>
      </c>
      <c r="CQ70" s="1">
        <f t="shared" si="28"/>
        <v>37.906249999999986</v>
      </c>
      <c r="CR70" s="1">
        <f t="shared" si="24"/>
        <v>4.4833333333333343</v>
      </c>
      <c r="CS70" s="1">
        <f t="shared" si="24"/>
        <v>60.406068840579692</v>
      </c>
      <c r="CT70" s="1">
        <f t="shared" si="24"/>
        <v>1.1166666666666671</v>
      </c>
      <c r="CU70" s="1">
        <f t="shared" si="24"/>
        <v>87.039402173913047</v>
      </c>
      <c r="CV70" s="1">
        <f t="shared" si="24"/>
        <v>0</v>
      </c>
      <c r="CW70" s="1">
        <f t="shared" si="24"/>
        <v>115.92273550724636</v>
      </c>
      <c r="CX70" s="1">
        <f t="shared" si="31"/>
        <v>132.75869565217394</v>
      </c>
      <c r="CY70" s="1">
        <f t="shared" si="31"/>
        <v>4.6041666666666714</v>
      </c>
      <c r="CZ70" s="1">
        <f t="shared" si="31"/>
        <v>85.042028985507244</v>
      </c>
      <c r="DA70" s="1">
        <f t="shared" si="31"/>
        <v>16.887500000000003</v>
      </c>
      <c r="DB70" s="1">
        <f t="shared" si="31"/>
        <v>46.033695652173925</v>
      </c>
      <c r="DC70" s="1">
        <f t="shared" si="31"/>
        <v>37.879166666666663</v>
      </c>
      <c r="DD70" s="1">
        <f t="shared" si="29"/>
        <v>23.967028985507248</v>
      </c>
      <c r="DE70" s="1">
        <f t="shared" si="29"/>
        <v>75.812499999999972</v>
      </c>
      <c r="DF70" s="1">
        <f t="shared" si="25"/>
        <v>8.9666666666666686</v>
      </c>
      <c r="DG70" s="1">
        <f t="shared" si="25"/>
        <v>120.81213768115938</v>
      </c>
      <c r="DH70" s="1">
        <f t="shared" si="25"/>
        <v>2.2333333333333343</v>
      </c>
      <c r="DI70" s="1">
        <f t="shared" si="25"/>
        <v>174.07880434782609</v>
      </c>
      <c r="DJ70" s="1">
        <f t="shared" si="25"/>
        <v>0</v>
      </c>
      <c r="DK70" s="1">
        <f t="shared" si="25"/>
        <v>231.84547101449272</v>
      </c>
      <c r="DL70" s="25"/>
      <c r="DM70" s="25"/>
      <c r="DN70" s="24"/>
      <c r="DO70" s="25"/>
      <c r="DP70" s="25"/>
      <c r="DQ70" s="25"/>
      <c r="DR70" s="25"/>
      <c r="DS70" s="25"/>
      <c r="DT70" s="25"/>
      <c r="DU70" s="25"/>
      <c r="DV70" s="25"/>
    </row>
    <row r="71" spans="1:126" x14ac:dyDescent="0.25">
      <c r="A71" s="261">
        <v>44105</v>
      </c>
      <c r="B71" s="262">
        <f t="shared" si="18"/>
        <v>2020</v>
      </c>
      <c r="C71" s="262">
        <f t="shared" si="19"/>
        <v>10</v>
      </c>
      <c r="D71" s="263">
        <v>34015292.279456615</v>
      </c>
      <c r="E71" s="263">
        <f>IFERROR(VLOOKUP($B71-1,CDM!$L$7:$T$18,2,FALSE)/12,0)+IFERROR(VLOOKUP($B71,CDM!$L$36:$T$46,2,FALSE)/24,0)+IFERROR(VLOOKUP($B71,CDM!$L$36:$T$46,2,FALSE)/2*$C71/78,0)</f>
        <v>2435818.490384615</v>
      </c>
      <c r="F71" s="263">
        <f t="shared" si="20"/>
        <v>36451110.769841231</v>
      </c>
      <c r="G71" s="264">
        <v>54927</v>
      </c>
      <c r="H71" s="263">
        <v>8570361.3646065779</v>
      </c>
      <c r="I71" s="263">
        <f>IFERROR(VLOOKUP($B71-1,CDM!$L$7:$T$18,3,FALSE)/12,0)+IFERROR(VLOOKUP($B71,CDM!$L$36:$T$46,3,FALSE)/24,0)+IFERROR(VLOOKUP($B71,CDM!$L$36:$T$46,3,FALSE)/2*$C71/78,0)</f>
        <v>546790.62043664232</v>
      </c>
      <c r="J71" s="263">
        <f t="shared" si="21"/>
        <v>9117151.9850432202</v>
      </c>
      <c r="K71" s="265">
        <v>4208</v>
      </c>
      <c r="L71" s="265">
        <v>21713263.563351534</v>
      </c>
      <c r="M71" s="266">
        <f>IFERROR(VLOOKUP($B71-1,CDM!$L$7:$T$18,4,FALSE)/12,0)+IFERROR(VLOOKUP($B71,CDM!$L$36:$T$46,4,FALSE)/24,0)+IFERROR(VLOOKUP($B71,CDM!$L$36:$T$46,4,FALSE)/2*$C71/78,0)</f>
        <v>648060.29877038894</v>
      </c>
      <c r="N71" s="263">
        <f t="shared" si="22"/>
        <v>22361323.862121925</v>
      </c>
      <c r="O71" s="4">
        <v>67806.589777999994</v>
      </c>
      <c r="P71" s="265">
        <v>542</v>
      </c>
      <c r="Q71" s="265">
        <v>5240957.1587472521</v>
      </c>
      <c r="R71" s="265">
        <f>IFERROR(VLOOKUP($B71-1,CDM!$L$7:$T$18,5,FALSE)/12,0)+IFERROR(VLOOKUP($B71,CDM!$L$36:$T$46,5,FALSE)/24,0)+IFERROR(VLOOKUP($B71,CDM!$L$36:$T$46,5,FALSE)/2*$C71/78,0)</f>
        <v>855574.9082342583</v>
      </c>
      <c r="S71" s="265">
        <f t="shared" si="32"/>
        <v>6096532.0669815103</v>
      </c>
      <c r="T71" s="265">
        <v>15182.696762</v>
      </c>
      <c r="U71" s="265">
        <v>15</v>
      </c>
      <c r="V71" s="265">
        <v>2549443.6415996617</v>
      </c>
      <c r="W71" s="265">
        <f>IFERROR(VLOOKUP($B71-1,CDM!$L$7:$T$18,6,FALSE)/12,0)+IFERROR(VLOOKUP($B71,CDM!$L$36:$T$46,6,FALSE)/24,0)+IFERROR(VLOOKUP($B71,CDM!$L$36:$T$46,6,FALSE)/2*$C71/78,0)</f>
        <v>23201.262553418801</v>
      </c>
      <c r="X71" s="265">
        <f t="shared" si="33"/>
        <v>2572644.9041530807</v>
      </c>
      <c r="Y71" s="265">
        <v>5932.1294339999995</v>
      </c>
      <c r="Z71" s="265">
        <v>1</v>
      </c>
      <c r="AA71" s="4">
        <v>418122.92709509423</v>
      </c>
      <c r="AB71" s="4">
        <v>1023</v>
      </c>
      <c r="AC71" s="265">
        <v>13978</v>
      </c>
      <c r="AD71" s="265">
        <v>2212.1999999999998</v>
      </c>
      <c r="AE71" s="265">
        <v>0</v>
      </c>
      <c r="AF71" s="265">
        <v>19</v>
      </c>
      <c r="AG71" s="4">
        <v>214872</v>
      </c>
      <c r="AH71" s="4">
        <v>252</v>
      </c>
      <c r="AI71" s="28">
        <f>Economic!H73</f>
        <v>769942</v>
      </c>
      <c r="AJ71" s="28">
        <f>Economic!I73</f>
        <v>596521.6</v>
      </c>
      <c r="AK71" s="28">
        <f>Economic!J73</f>
        <v>58159</v>
      </c>
      <c r="AL71" s="28">
        <f>Economic!K73</f>
        <v>795879</v>
      </c>
      <c r="AM71" s="28">
        <f>Economic!L73</f>
        <v>613516</v>
      </c>
      <c r="AN71" s="28">
        <f>Economic!M73</f>
        <v>21752</v>
      </c>
      <c r="AO71" s="28">
        <f>Economic!D73</f>
        <v>7159.1</v>
      </c>
      <c r="AP71" s="28">
        <f>Economic!E73</f>
        <v>7184.1</v>
      </c>
      <c r="AQ71" s="28">
        <f>Economic!F73</f>
        <v>213.3</v>
      </c>
      <c r="AR71" s="28">
        <f>Economic!G73</f>
        <v>212</v>
      </c>
      <c r="AS71" s="28">
        <f>Economic!N73</f>
        <v>-303.09999999999945</v>
      </c>
      <c r="AT71" s="28">
        <f>Economic!O73</f>
        <v>-317.09999999999945</v>
      </c>
      <c r="AU71" s="28">
        <f>Economic!P73</f>
        <v>5.8000000000000114</v>
      </c>
      <c r="AV71" s="28">
        <f>Economic!Q73</f>
        <v>5.9000000000000057</v>
      </c>
      <c r="AW71" s="28">
        <f>Economic!R73</f>
        <v>-37332.5</v>
      </c>
      <c r="AX71" s="28">
        <f>Economic!S73</f>
        <v>18654</v>
      </c>
      <c r="AY71" s="7">
        <f>Weather!D71</f>
        <v>8.7150537634408618</v>
      </c>
      <c r="AZ71" s="7">
        <f>Weather!E71</f>
        <v>349.83333333333326</v>
      </c>
      <c r="BA71" s="7">
        <f>Weather!F71</f>
        <v>0</v>
      </c>
      <c r="BB71" s="7">
        <f>Weather!G71</f>
        <v>287.83333333333331</v>
      </c>
      <c r="BC71" s="7">
        <f>Weather!H71</f>
        <v>0</v>
      </c>
      <c r="BD71" s="7">
        <f>Weather!I71</f>
        <v>226.0625</v>
      </c>
      <c r="BE71" s="7">
        <f>Weather!J71</f>
        <v>0.22916666666666785</v>
      </c>
      <c r="BF71" s="7">
        <f>Weather!K71</f>
        <v>167.76250000000005</v>
      </c>
      <c r="BG71" s="7">
        <f>Weather!L71</f>
        <v>3.9291666666666654</v>
      </c>
      <c r="BH71" s="7">
        <f>Weather!M71</f>
        <v>112.09583333333335</v>
      </c>
      <c r="BI71" s="7">
        <f>Weather!N71</f>
        <v>10.262500000000003</v>
      </c>
      <c r="BJ71" s="7">
        <f>Weather!O71</f>
        <v>71.3</v>
      </c>
      <c r="BK71" s="7">
        <f>Weather!P71</f>
        <v>31.466666666666676</v>
      </c>
      <c r="BL71" s="7">
        <f>Weather!Q71</f>
        <v>38.454166666666666</v>
      </c>
      <c r="BM71" s="7">
        <f>Weather!R71</f>
        <v>60.620833333333344</v>
      </c>
      <c r="BN71" s="1">
        <f t="shared" si="27"/>
        <v>0</v>
      </c>
      <c r="BO71" s="1">
        <f t="shared" si="27"/>
        <v>0</v>
      </c>
      <c r="BP71" s="1">
        <f t="shared" si="27"/>
        <v>0</v>
      </c>
      <c r="BQ71" s="1">
        <f t="shared" si="27"/>
        <v>0</v>
      </c>
      <c r="BR71" s="1">
        <f t="shared" si="27"/>
        <v>0</v>
      </c>
      <c r="BS71" s="1">
        <f t="shared" si="27"/>
        <v>0</v>
      </c>
      <c r="BT71" s="1">
        <f t="shared" si="27"/>
        <v>0</v>
      </c>
      <c r="BU71" s="1">
        <f t="shared" si="27"/>
        <v>0</v>
      </c>
      <c r="BV71" s="1">
        <f t="shared" si="27"/>
        <v>0</v>
      </c>
      <c r="BW71" s="1">
        <f t="shared" si="27"/>
        <v>1</v>
      </c>
      <c r="BX71" s="1">
        <f t="shared" si="27"/>
        <v>0</v>
      </c>
      <c r="BY71" s="1">
        <f t="shared" si="27"/>
        <v>0</v>
      </c>
      <c r="BZ71" s="1">
        <f t="shared" si="27"/>
        <v>0</v>
      </c>
      <c r="CA71" s="1">
        <f t="shared" si="27"/>
        <v>1</v>
      </c>
      <c r="CB71" s="1">
        <f t="shared" si="27"/>
        <v>1</v>
      </c>
      <c r="CC71" s="1">
        <f t="shared" si="23"/>
        <v>70</v>
      </c>
      <c r="CD71" s="1">
        <f t="shared" si="17"/>
        <v>31</v>
      </c>
      <c r="CE71" s="1">
        <v>21</v>
      </c>
      <c r="CF71" s="1">
        <v>1</v>
      </c>
      <c r="CG71" s="1">
        <v>0.5</v>
      </c>
      <c r="CH71" s="1">
        <v>1</v>
      </c>
      <c r="CI71" s="1">
        <v>0</v>
      </c>
      <c r="CJ71" s="1">
        <f t="shared" si="30"/>
        <v>174.91666666666663</v>
      </c>
      <c r="CK71" s="1">
        <f t="shared" si="30"/>
        <v>0</v>
      </c>
      <c r="CL71" s="1">
        <f t="shared" si="30"/>
        <v>143.91666666666666</v>
      </c>
      <c r="CM71" s="1">
        <f t="shared" si="30"/>
        <v>0</v>
      </c>
      <c r="CN71" s="1">
        <f t="shared" si="30"/>
        <v>113.03125</v>
      </c>
      <c r="CO71" s="1">
        <f t="shared" si="30"/>
        <v>0.11458333333333393</v>
      </c>
      <c r="CP71" s="1">
        <f t="shared" si="28"/>
        <v>83.881250000000023</v>
      </c>
      <c r="CQ71" s="1">
        <f t="shared" si="28"/>
        <v>1.9645833333333327</v>
      </c>
      <c r="CR71" s="1">
        <f t="shared" si="24"/>
        <v>56.047916666666673</v>
      </c>
      <c r="CS71" s="1">
        <f t="shared" si="24"/>
        <v>5.1312500000000014</v>
      </c>
      <c r="CT71" s="1">
        <f t="shared" si="24"/>
        <v>35.65</v>
      </c>
      <c r="CU71" s="1">
        <f t="shared" si="24"/>
        <v>15.733333333333338</v>
      </c>
      <c r="CV71" s="1">
        <f t="shared" si="24"/>
        <v>19.227083333333333</v>
      </c>
      <c r="CW71" s="1">
        <f t="shared" si="24"/>
        <v>30.310416666666672</v>
      </c>
      <c r="CX71" s="1">
        <f t="shared" si="31"/>
        <v>349.83333333333326</v>
      </c>
      <c r="CY71" s="1">
        <f t="shared" si="31"/>
        <v>0</v>
      </c>
      <c r="CZ71" s="1">
        <f t="shared" si="31"/>
        <v>287.83333333333331</v>
      </c>
      <c r="DA71" s="1">
        <f t="shared" si="31"/>
        <v>0</v>
      </c>
      <c r="DB71" s="1">
        <f t="shared" si="31"/>
        <v>226.0625</v>
      </c>
      <c r="DC71" s="1">
        <f t="shared" si="31"/>
        <v>0.22916666666666785</v>
      </c>
      <c r="DD71" s="1">
        <f t="shared" si="29"/>
        <v>167.76250000000005</v>
      </c>
      <c r="DE71" s="1">
        <f t="shared" si="29"/>
        <v>3.9291666666666654</v>
      </c>
      <c r="DF71" s="1">
        <f t="shared" si="25"/>
        <v>112.09583333333335</v>
      </c>
      <c r="DG71" s="1">
        <f t="shared" si="25"/>
        <v>10.262500000000003</v>
      </c>
      <c r="DH71" s="1">
        <f t="shared" si="25"/>
        <v>71.3</v>
      </c>
      <c r="DI71" s="1">
        <f t="shared" si="25"/>
        <v>31.466666666666676</v>
      </c>
      <c r="DJ71" s="1">
        <f t="shared" si="25"/>
        <v>38.454166666666666</v>
      </c>
      <c r="DK71" s="1">
        <f t="shared" si="25"/>
        <v>60.620833333333344</v>
      </c>
      <c r="DL71" s="25"/>
      <c r="DM71" s="25"/>
      <c r="DN71" s="24"/>
      <c r="DO71" s="25"/>
      <c r="DP71" s="25"/>
      <c r="DQ71" s="25"/>
      <c r="DR71" s="25"/>
      <c r="DS71" s="25"/>
      <c r="DT71" s="25"/>
      <c r="DU71" s="25"/>
      <c r="DV71" s="25"/>
    </row>
    <row r="72" spans="1:126" x14ac:dyDescent="0.25">
      <c r="A72" s="261">
        <v>44136</v>
      </c>
      <c r="B72" s="262">
        <f t="shared" si="18"/>
        <v>2020</v>
      </c>
      <c r="C72" s="262">
        <f t="shared" si="19"/>
        <v>11</v>
      </c>
      <c r="D72" s="263">
        <v>37167527.507904202</v>
      </c>
      <c r="E72" s="263">
        <f>IFERROR(VLOOKUP($B72-1,CDM!$L$7:$T$18,2,FALSE)/12,0)+IFERROR(VLOOKUP($B72,CDM!$L$36:$T$46,2,FALSE)/24,0)+IFERROR(VLOOKUP($B72,CDM!$L$36:$T$46,2,FALSE)/2*$C72/78,0)</f>
        <v>2435806.53525641</v>
      </c>
      <c r="F72" s="263">
        <f t="shared" si="20"/>
        <v>39603334.04316061</v>
      </c>
      <c r="G72" s="264">
        <v>54904</v>
      </c>
      <c r="H72" s="263">
        <v>9063097.1047539897</v>
      </c>
      <c r="I72" s="263">
        <f>IFERROR(VLOOKUP($B72-1,CDM!$L$7:$T$18,3,FALSE)/12,0)+IFERROR(VLOOKUP($B72,CDM!$L$36:$T$46,3,FALSE)/24,0)+IFERROR(VLOOKUP($B72,CDM!$L$36:$T$46,3,FALSE)/2*$C72/78,0)</f>
        <v>546223.61895910045</v>
      </c>
      <c r="J72" s="263">
        <f t="shared" si="21"/>
        <v>9609320.7237130906</v>
      </c>
      <c r="K72" s="265">
        <v>4241</v>
      </c>
      <c r="L72" s="265">
        <v>22453332.966335453</v>
      </c>
      <c r="M72" s="266">
        <f>IFERROR(VLOOKUP($B72-1,CDM!$L$7:$T$18,4,FALSE)/12,0)+IFERROR(VLOOKUP($B72,CDM!$L$36:$T$46,4,FALSE)/24,0)+IFERROR(VLOOKUP($B72,CDM!$L$36:$T$46,4,FALSE)/2*$C72/78,0)</f>
        <v>647863.60226128669</v>
      </c>
      <c r="N72" s="263">
        <f t="shared" si="22"/>
        <v>23101196.568596739</v>
      </c>
      <c r="O72" s="4">
        <v>66735.299555999998</v>
      </c>
      <c r="P72" s="265">
        <v>539</v>
      </c>
      <c r="Q72" s="265">
        <v>5419588.6216879468</v>
      </c>
      <c r="R72" s="265">
        <f>IFERROR(VLOOKUP($B72-1,CDM!$L$7:$T$18,5,FALSE)/12,0)+IFERROR(VLOOKUP($B72,CDM!$L$36:$T$46,5,FALSE)/24,0)+IFERROR(VLOOKUP($B72,CDM!$L$36:$T$46,5,FALSE)/2*$C72/78,0)</f>
        <v>855574.06419579673</v>
      </c>
      <c r="S72" s="265">
        <f t="shared" si="32"/>
        <v>6275162.6858837437</v>
      </c>
      <c r="T72" s="265">
        <v>15700.179971999998</v>
      </c>
      <c r="U72" s="265">
        <v>15</v>
      </c>
      <c r="V72" s="265">
        <v>2612945.5044569829</v>
      </c>
      <c r="W72" s="265">
        <f>IFERROR(VLOOKUP($B72-1,CDM!$L$7:$T$18,6,FALSE)/12,0)+IFERROR(VLOOKUP($B72,CDM!$L$36:$T$46,6,FALSE)/24,0)+IFERROR(VLOOKUP($B72,CDM!$L$36:$T$46,6,FALSE)/2*$C72/78,0)</f>
        <v>23199.85304487179</v>
      </c>
      <c r="X72" s="265">
        <f t="shared" si="33"/>
        <v>2636145.3575018547</v>
      </c>
      <c r="Y72" s="265">
        <v>6079.8876600000003</v>
      </c>
      <c r="Z72" s="265">
        <v>1</v>
      </c>
      <c r="AA72" s="4">
        <v>451299.46328435984</v>
      </c>
      <c r="AB72" s="4">
        <v>1023</v>
      </c>
      <c r="AC72" s="265">
        <v>13978</v>
      </c>
      <c r="AD72" s="265">
        <v>2285.94</v>
      </c>
      <c r="AE72" s="265">
        <v>0</v>
      </c>
      <c r="AF72" s="265">
        <v>19</v>
      </c>
      <c r="AG72" s="4">
        <v>214872</v>
      </c>
      <c r="AH72" s="4">
        <v>253</v>
      </c>
      <c r="AI72" s="28">
        <f>Economic!H74</f>
        <v>769942</v>
      </c>
      <c r="AJ72" s="28">
        <f>Economic!I74</f>
        <v>596521.6</v>
      </c>
      <c r="AK72" s="28">
        <f>Economic!J74</f>
        <v>58159</v>
      </c>
      <c r="AL72" s="28">
        <f>Economic!K74</f>
        <v>795879</v>
      </c>
      <c r="AM72" s="28">
        <f>Economic!L74</f>
        <v>613516</v>
      </c>
      <c r="AN72" s="28">
        <f>Economic!M74</f>
        <v>21752</v>
      </c>
      <c r="AO72" s="28">
        <f>Economic!D74</f>
        <v>7242.5</v>
      </c>
      <c r="AP72" s="28">
        <f>Economic!E74</f>
        <v>7255.2</v>
      </c>
      <c r="AQ72" s="28">
        <f>Economic!F74</f>
        <v>214.2</v>
      </c>
      <c r="AR72" s="28">
        <f>Economic!G74</f>
        <v>211.6</v>
      </c>
      <c r="AS72" s="28">
        <f>Economic!N74</f>
        <v>-227.60000000000036</v>
      </c>
      <c r="AT72" s="28">
        <f>Economic!O74</f>
        <v>-233.10000000000036</v>
      </c>
      <c r="AU72" s="28">
        <f>Economic!P74</f>
        <v>7.8999999999999773</v>
      </c>
      <c r="AV72" s="28">
        <f>Economic!Q74</f>
        <v>8</v>
      </c>
      <c r="AW72" s="28">
        <f>Economic!R74</f>
        <v>-37332.5</v>
      </c>
      <c r="AX72" s="28">
        <f>Economic!S74</f>
        <v>18654</v>
      </c>
      <c r="AY72" s="7">
        <f>Weather!D72</f>
        <v>5.7899758454106278</v>
      </c>
      <c r="AZ72" s="7">
        <f>Weather!E72</f>
        <v>426.30072463768113</v>
      </c>
      <c r="BA72" s="7">
        <f>Weather!F72</f>
        <v>0</v>
      </c>
      <c r="BB72" s="7">
        <f>Weather!G72</f>
        <v>366.30072463768118</v>
      </c>
      <c r="BC72" s="7">
        <f>Weather!H72</f>
        <v>0</v>
      </c>
      <c r="BD72" s="7">
        <f>Weather!I72</f>
        <v>306.30072463768124</v>
      </c>
      <c r="BE72" s="7">
        <f>Weather!J72</f>
        <v>0</v>
      </c>
      <c r="BF72" s="7">
        <f>Weather!K72</f>
        <v>246.30072463768118</v>
      </c>
      <c r="BG72" s="7">
        <f>Weather!L72</f>
        <v>0</v>
      </c>
      <c r="BH72" s="7">
        <f>Weather!M72</f>
        <v>188.12989130434778</v>
      </c>
      <c r="BI72" s="7">
        <f>Weather!N72</f>
        <v>1.8291666666666622</v>
      </c>
      <c r="BJ72" s="7">
        <f>Weather!O72</f>
        <v>136.26322463768113</v>
      </c>
      <c r="BK72" s="7">
        <f>Weather!P72</f>
        <v>9.9624999999999932</v>
      </c>
      <c r="BL72" s="7">
        <f>Weather!Q72</f>
        <v>92.875724637681159</v>
      </c>
      <c r="BM72" s="7">
        <f>Weather!R72</f>
        <v>26.574999999999996</v>
      </c>
      <c r="BN72" s="1">
        <f t="shared" si="27"/>
        <v>0</v>
      </c>
      <c r="BO72" s="1">
        <f t="shared" si="27"/>
        <v>0</v>
      </c>
      <c r="BP72" s="1">
        <f t="shared" si="27"/>
        <v>0</v>
      </c>
      <c r="BQ72" s="1">
        <f t="shared" si="27"/>
        <v>0</v>
      </c>
      <c r="BR72" s="1">
        <f t="shared" si="27"/>
        <v>0</v>
      </c>
      <c r="BS72" s="1">
        <f t="shared" si="27"/>
        <v>0</v>
      </c>
      <c r="BT72" s="1">
        <f t="shared" si="27"/>
        <v>0</v>
      </c>
      <c r="BU72" s="1">
        <f t="shared" si="27"/>
        <v>0</v>
      </c>
      <c r="BV72" s="1">
        <f t="shared" si="27"/>
        <v>0</v>
      </c>
      <c r="BW72" s="1">
        <f t="shared" si="27"/>
        <v>0</v>
      </c>
      <c r="BX72" s="1">
        <f t="shared" si="27"/>
        <v>1</v>
      </c>
      <c r="BY72" s="1">
        <f t="shared" si="27"/>
        <v>0</v>
      </c>
      <c r="BZ72" s="1">
        <f t="shared" si="27"/>
        <v>0</v>
      </c>
      <c r="CA72" s="1">
        <f t="shared" si="27"/>
        <v>1</v>
      </c>
      <c r="CB72" s="1">
        <f t="shared" si="27"/>
        <v>1</v>
      </c>
      <c r="CC72" s="1">
        <f t="shared" si="23"/>
        <v>71</v>
      </c>
      <c r="CD72" s="1">
        <f t="shared" si="17"/>
        <v>30</v>
      </c>
      <c r="CE72" s="1">
        <v>21</v>
      </c>
      <c r="CF72" s="1">
        <v>1</v>
      </c>
      <c r="CG72" s="1">
        <v>0.5</v>
      </c>
      <c r="CH72" s="1">
        <v>1</v>
      </c>
      <c r="CI72" s="1">
        <v>0</v>
      </c>
      <c r="CJ72" s="1">
        <f t="shared" si="30"/>
        <v>213.15036231884056</v>
      </c>
      <c r="CK72" s="1">
        <f t="shared" si="30"/>
        <v>0</v>
      </c>
      <c r="CL72" s="1">
        <f t="shared" si="30"/>
        <v>183.15036231884059</v>
      </c>
      <c r="CM72" s="1">
        <f t="shared" si="30"/>
        <v>0</v>
      </c>
      <c r="CN72" s="1">
        <f t="shared" si="30"/>
        <v>153.15036231884062</v>
      </c>
      <c r="CO72" s="1">
        <f t="shared" si="30"/>
        <v>0</v>
      </c>
      <c r="CP72" s="1">
        <f t="shared" si="28"/>
        <v>123.15036231884059</v>
      </c>
      <c r="CQ72" s="1">
        <f t="shared" si="28"/>
        <v>0</v>
      </c>
      <c r="CR72" s="1">
        <f t="shared" si="24"/>
        <v>94.06494565217389</v>
      </c>
      <c r="CS72" s="1">
        <f t="shared" si="24"/>
        <v>0.91458333333333108</v>
      </c>
      <c r="CT72" s="1">
        <f t="shared" si="24"/>
        <v>68.131612318840567</v>
      </c>
      <c r="CU72" s="1">
        <f t="shared" si="24"/>
        <v>4.9812499999999966</v>
      </c>
      <c r="CV72" s="1">
        <f t="shared" si="24"/>
        <v>46.43786231884058</v>
      </c>
      <c r="CW72" s="1">
        <f t="shared" si="24"/>
        <v>13.287499999999998</v>
      </c>
      <c r="CX72" s="1">
        <f t="shared" si="31"/>
        <v>426.30072463768113</v>
      </c>
      <c r="CY72" s="1">
        <f t="shared" si="31"/>
        <v>0</v>
      </c>
      <c r="CZ72" s="1">
        <f t="shared" si="31"/>
        <v>366.30072463768118</v>
      </c>
      <c r="DA72" s="1">
        <f t="shared" si="31"/>
        <v>0</v>
      </c>
      <c r="DB72" s="1">
        <f t="shared" si="31"/>
        <v>306.30072463768124</v>
      </c>
      <c r="DC72" s="1">
        <f t="shared" si="31"/>
        <v>0</v>
      </c>
      <c r="DD72" s="1">
        <f t="shared" si="29"/>
        <v>246.30072463768118</v>
      </c>
      <c r="DE72" s="1">
        <f t="shared" si="29"/>
        <v>0</v>
      </c>
      <c r="DF72" s="1">
        <f t="shared" si="25"/>
        <v>188.12989130434778</v>
      </c>
      <c r="DG72" s="1">
        <f t="shared" si="25"/>
        <v>1.8291666666666622</v>
      </c>
      <c r="DH72" s="1">
        <f t="shared" si="25"/>
        <v>136.26322463768113</v>
      </c>
      <c r="DI72" s="1">
        <f t="shared" si="25"/>
        <v>9.9624999999999932</v>
      </c>
      <c r="DJ72" s="1">
        <f t="shared" si="25"/>
        <v>92.875724637681159</v>
      </c>
      <c r="DK72" s="1">
        <f t="shared" si="25"/>
        <v>26.574999999999996</v>
      </c>
      <c r="DL72" s="25"/>
      <c r="DM72" s="25"/>
      <c r="DN72" s="24"/>
      <c r="DO72" s="25"/>
      <c r="DP72" s="25"/>
      <c r="DQ72" s="25"/>
      <c r="DR72" s="25"/>
      <c r="DS72" s="25"/>
      <c r="DT72" s="25"/>
      <c r="DU72" s="25"/>
      <c r="DV72" s="25"/>
    </row>
    <row r="73" spans="1:126" x14ac:dyDescent="0.25">
      <c r="A73" s="261">
        <v>44166</v>
      </c>
      <c r="B73" s="262">
        <f t="shared" si="18"/>
        <v>2020</v>
      </c>
      <c r="C73" s="262">
        <f t="shared" si="19"/>
        <v>12</v>
      </c>
      <c r="D73" s="263">
        <v>43659564.519347161</v>
      </c>
      <c r="E73" s="263">
        <f>IFERROR(VLOOKUP($B73-1,CDM!$L$7:$T$18,2,FALSE)/12,0)+IFERROR(VLOOKUP($B73,CDM!$L$36:$T$46,2,FALSE)/24,0)+IFERROR(VLOOKUP($B73,CDM!$L$36:$T$46,2,FALSE)/2*$C73/78,0)</f>
        <v>2435794.580128205</v>
      </c>
      <c r="F73" s="263">
        <f t="shared" si="20"/>
        <v>46095359.099475369</v>
      </c>
      <c r="G73" s="264">
        <v>54850</v>
      </c>
      <c r="H73" s="263">
        <v>10344114.057866329</v>
      </c>
      <c r="I73" s="263">
        <f>IFERROR(VLOOKUP($B73-1,CDM!$L$7:$T$18,3,FALSE)/12,0)+IFERROR(VLOOKUP($B73,CDM!$L$36:$T$46,3,FALSE)/24,0)+IFERROR(VLOOKUP($B73,CDM!$L$36:$T$46,3,FALSE)/2*$C73/78,0)</f>
        <v>545656.61748155858</v>
      </c>
      <c r="J73" s="263">
        <f t="shared" si="21"/>
        <v>10889770.675347887</v>
      </c>
      <c r="K73" s="265">
        <v>4248</v>
      </c>
      <c r="L73" s="4">
        <v>31094410.374063455</v>
      </c>
      <c r="M73" s="266">
        <f>IFERROR(VLOOKUP($B73-1,CDM!$L$7:$T$18,4,FALSE)/12,0)+IFERROR(VLOOKUP($B73,CDM!$L$36:$T$46,4,FALSE)/24,0)+IFERROR(VLOOKUP($B73,CDM!$L$36:$T$46,4,FALSE)/2*$C73/78,0)</f>
        <v>647666.90575218434</v>
      </c>
      <c r="N73" s="263">
        <f t="shared" si="22"/>
        <v>31742077.27981564</v>
      </c>
      <c r="O73" s="4">
        <v>76317</v>
      </c>
      <c r="P73" s="265">
        <v>538</v>
      </c>
      <c r="Q73" s="265">
        <v>5739317.214428829</v>
      </c>
      <c r="R73" s="265">
        <f>IFERROR(VLOOKUP($B73-1,CDM!$L$7:$T$18,5,FALSE)/12,0)+IFERROR(VLOOKUP($B73,CDM!$L$36:$T$46,5,FALSE)/24,0)+IFERROR(VLOOKUP($B73,CDM!$L$36:$T$46,5,FALSE)/2*$C73/78,0)</f>
        <v>855573.22015733516</v>
      </c>
      <c r="S73" s="265">
        <f t="shared" si="32"/>
        <v>6594890.4345861645</v>
      </c>
      <c r="T73" s="265">
        <v>13337.41</v>
      </c>
      <c r="U73" s="265">
        <v>15</v>
      </c>
      <c r="V73" s="265">
        <v>2701865.657163329</v>
      </c>
      <c r="W73" s="265">
        <f>IFERROR(VLOOKUP($B73-1,CDM!$L$7:$T$18,6,FALSE)/12,0)+IFERROR(VLOOKUP($B73,CDM!$L$36:$T$46,6,FALSE)/24,0)+IFERROR(VLOOKUP($B73,CDM!$L$36:$T$46,6,FALSE)/2*$C73/78,0)</f>
        <v>23198.443536324783</v>
      </c>
      <c r="X73" s="265">
        <f t="shared" si="33"/>
        <v>2725064.1006996538</v>
      </c>
      <c r="Y73" s="265">
        <v>6286.79</v>
      </c>
      <c r="Z73" s="265">
        <v>1</v>
      </c>
      <c r="AA73" s="4">
        <v>372072.82511036575</v>
      </c>
      <c r="AB73" s="4">
        <v>1024.0739626556017</v>
      </c>
      <c r="AC73" s="265">
        <v>13995</v>
      </c>
      <c r="AD73" s="265">
        <v>2285.94</v>
      </c>
      <c r="AE73" s="265">
        <v>85</v>
      </c>
      <c r="AF73" s="265">
        <v>19</v>
      </c>
      <c r="AG73" s="4">
        <v>214934</v>
      </c>
      <c r="AH73" s="4">
        <v>253</v>
      </c>
      <c r="AI73" s="28">
        <f>Economic!H75</f>
        <v>769942</v>
      </c>
      <c r="AJ73" s="28">
        <f>Economic!I75</f>
        <v>596521.6</v>
      </c>
      <c r="AK73" s="28">
        <f>Economic!J75</f>
        <v>58159</v>
      </c>
      <c r="AL73" s="28">
        <f>Economic!K75</f>
        <v>795879</v>
      </c>
      <c r="AM73" s="28">
        <f>Economic!L75</f>
        <v>613516</v>
      </c>
      <c r="AN73" s="28">
        <f>Economic!M75</f>
        <v>21752</v>
      </c>
      <c r="AO73" s="28">
        <f>Economic!D75</f>
        <v>7258.1</v>
      </c>
      <c r="AP73" s="28">
        <f>Economic!E75</f>
        <v>7273.3</v>
      </c>
      <c r="AQ73" s="28">
        <f>Economic!F75</f>
        <v>213.6</v>
      </c>
      <c r="AR73" s="28">
        <f>Economic!G75</f>
        <v>211.4</v>
      </c>
      <c r="AS73" s="28">
        <f>Economic!N75</f>
        <v>-224.5</v>
      </c>
      <c r="AT73" s="28">
        <f>Economic!O75</f>
        <v>-220.5</v>
      </c>
      <c r="AU73" s="28">
        <f>Economic!P75</f>
        <v>6</v>
      </c>
      <c r="AV73" s="28">
        <f>Economic!Q75</f>
        <v>6.5</v>
      </c>
      <c r="AW73" s="28">
        <f>Economic!R75</f>
        <v>-37332.5</v>
      </c>
      <c r="AX73" s="28">
        <f>Economic!S75</f>
        <v>18654</v>
      </c>
      <c r="AY73" s="7">
        <f>Weather!D73</f>
        <v>-0.80336021505376376</v>
      </c>
      <c r="AZ73" s="7">
        <f>Weather!E73</f>
        <v>644.90416666666681</v>
      </c>
      <c r="BA73" s="7">
        <f>Weather!F73</f>
        <v>0</v>
      </c>
      <c r="BB73" s="7">
        <f>Weather!G73</f>
        <v>582.90416666666681</v>
      </c>
      <c r="BC73" s="7">
        <f>Weather!H73</f>
        <v>0</v>
      </c>
      <c r="BD73" s="7">
        <f>Weather!I73</f>
        <v>520.90416666666681</v>
      </c>
      <c r="BE73" s="7">
        <f>Weather!J73</f>
        <v>0</v>
      </c>
      <c r="BF73" s="7">
        <f>Weather!K73</f>
        <v>458.90416666666681</v>
      </c>
      <c r="BG73" s="7">
        <f>Weather!L73</f>
        <v>0</v>
      </c>
      <c r="BH73" s="7">
        <f>Weather!M73</f>
        <v>396.9041666666667</v>
      </c>
      <c r="BI73" s="7">
        <f>Weather!N73</f>
        <v>0</v>
      </c>
      <c r="BJ73" s="7">
        <f>Weather!O73</f>
        <v>334.90416666666664</v>
      </c>
      <c r="BK73" s="7">
        <f>Weather!P73</f>
        <v>0</v>
      </c>
      <c r="BL73" s="7">
        <f>Weather!Q73</f>
        <v>272.9041666666667</v>
      </c>
      <c r="BM73" s="7">
        <f>Weather!R73</f>
        <v>0</v>
      </c>
      <c r="BN73" s="1">
        <f t="shared" si="27"/>
        <v>0</v>
      </c>
      <c r="BO73" s="1">
        <f t="shared" si="27"/>
        <v>0</v>
      </c>
      <c r="BP73" s="1">
        <f t="shared" si="27"/>
        <v>0</v>
      </c>
      <c r="BQ73" s="1">
        <f t="shared" si="27"/>
        <v>0</v>
      </c>
      <c r="BR73" s="1">
        <f t="shared" si="27"/>
        <v>0</v>
      </c>
      <c r="BS73" s="1">
        <f t="shared" si="27"/>
        <v>0</v>
      </c>
      <c r="BT73" s="1">
        <f t="shared" si="27"/>
        <v>0</v>
      </c>
      <c r="BU73" s="1">
        <f t="shared" si="27"/>
        <v>0</v>
      </c>
      <c r="BV73" s="1">
        <f t="shared" si="27"/>
        <v>0</v>
      </c>
      <c r="BW73" s="1">
        <f t="shared" si="27"/>
        <v>0</v>
      </c>
      <c r="BX73" s="1">
        <f t="shared" si="27"/>
        <v>0</v>
      </c>
      <c r="BY73" s="1">
        <f t="shared" si="27"/>
        <v>1</v>
      </c>
      <c r="BZ73" s="1">
        <f t="shared" si="27"/>
        <v>0</v>
      </c>
      <c r="CA73" s="1">
        <f t="shared" si="27"/>
        <v>0</v>
      </c>
      <c r="CB73" s="1">
        <f t="shared" si="27"/>
        <v>0</v>
      </c>
      <c r="CC73" s="1">
        <f t="shared" si="23"/>
        <v>72</v>
      </c>
      <c r="CD73" s="1">
        <f t="shared" si="17"/>
        <v>31</v>
      </c>
      <c r="CE73" s="1">
        <v>21</v>
      </c>
      <c r="CF73" s="1">
        <v>1</v>
      </c>
      <c r="CG73" s="1">
        <v>0.5</v>
      </c>
      <c r="CH73" s="1">
        <v>1</v>
      </c>
      <c r="CI73" s="1">
        <v>0</v>
      </c>
      <c r="CJ73" s="1">
        <f t="shared" si="30"/>
        <v>322.45208333333341</v>
      </c>
      <c r="CK73" s="1">
        <f t="shared" si="30"/>
        <v>0</v>
      </c>
      <c r="CL73" s="1">
        <f t="shared" si="30"/>
        <v>291.45208333333341</v>
      </c>
      <c r="CM73" s="1">
        <f t="shared" si="30"/>
        <v>0</v>
      </c>
      <c r="CN73" s="1">
        <f t="shared" si="30"/>
        <v>260.45208333333341</v>
      </c>
      <c r="CO73" s="1">
        <f t="shared" si="30"/>
        <v>0</v>
      </c>
      <c r="CP73" s="1">
        <f t="shared" si="28"/>
        <v>229.45208333333341</v>
      </c>
      <c r="CQ73" s="1">
        <f t="shared" si="28"/>
        <v>0</v>
      </c>
      <c r="CR73" s="1">
        <f t="shared" si="24"/>
        <v>198.45208333333335</v>
      </c>
      <c r="CS73" s="1">
        <f t="shared" si="24"/>
        <v>0</v>
      </c>
      <c r="CT73" s="1">
        <f t="shared" si="24"/>
        <v>167.45208333333332</v>
      </c>
      <c r="CU73" s="1">
        <f t="shared" si="24"/>
        <v>0</v>
      </c>
      <c r="CV73" s="1">
        <f t="shared" si="24"/>
        <v>136.45208333333335</v>
      </c>
      <c r="CW73" s="1">
        <f t="shared" si="24"/>
        <v>0</v>
      </c>
      <c r="CX73" s="1">
        <f t="shared" si="31"/>
        <v>644.90416666666681</v>
      </c>
      <c r="CY73" s="1">
        <f t="shared" si="31"/>
        <v>0</v>
      </c>
      <c r="CZ73" s="1">
        <f t="shared" si="31"/>
        <v>582.90416666666681</v>
      </c>
      <c r="DA73" s="1">
        <f t="shared" si="31"/>
        <v>0</v>
      </c>
      <c r="DB73" s="1">
        <f t="shared" si="31"/>
        <v>520.90416666666681</v>
      </c>
      <c r="DC73" s="1">
        <f t="shared" si="31"/>
        <v>0</v>
      </c>
      <c r="DD73" s="1">
        <f t="shared" si="29"/>
        <v>458.90416666666681</v>
      </c>
      <c r="DE73" s="1">
        <f t="shared" si="29"/>
        <v>0</v>
      </c>
      <c r="DF73" s="1">
        <f t="shared" si="25"/>
        <v>396.9041666666667</v>
      </c>
      <c r="DG73" s="1">
        <f t="shared" si="25"/>
        <v>0</v>
      </c>
      <c r="DH73" s="1">
        <f t="shared" si="25"/>
        <v>334.90416666666664</v>
      </c>
      <c r="DI73" s="1">
        <f t="shared" si="25"/>
        <v>0</v>
      </c>
      <c r="DJ73" s="1">
        <f t="shared" si="25"/>
        <v>272.9041666666667</v>
      </c>
      <c r="DK73" s="1">
        <f t="shared" si="25"/>
        <v>0</v>
      </c>
      <c r="DL73" s="25"/>
      <c r="DM73" s="25"/>
      <c r="DN73" s="24"/>
      <c r="DO73" s="25"/>
      <c r="DP73" s="25"/>
      <c r="DQ73" s="25"/>
      <c r="DR73" s="25"/>
      <c r="DS73" s="25"/>
      <c r="DT73" s="25"/>
      <c r="DU73" s="25"/>
      <c r="DV73" s="25"/>
    </row>
    <row r="74" spans="1:126" x14ac:dyDescent="0.25">
      <c r="A74" s="261">
        <v>44197</v>
      </c>
      <c r="B74" s="262">
        <f t="shared" si="18"/>
        <v>2021</v>
      </c>
      <c r="C74" s="262">
        <f t="shared" si="19"/>
        <v>1</v>
      </c>
      <c r="D74" s="263">
        <v>49145423.65801616</v>
      </c>
      <c r="E74" s="263">
        <f>IFERROR(VLOOKUP($B74-1,CDM!$L$7:$T$18,2,FALSE)/12,0)+IFERROR(VLOOKUP($B74,CDM!$L$36:$T$46,2,FALSE)/24,0)+IFERROR(VLOOKUP($B74,CDM!$L$36:$T$46,2,FALSE)/2*$C74/78,0)</f>
        <v>2439492.4455900784</v>
      </c>
      <c r="F74" s="263">
        <f t="shared" si="20"/>
        <v>51584916.103606239</v>
      </c>
      <c r="G74" s="264">
        <v>54632</v>
      </c>
      <c r="H74" s="263">
        <v>10200950.573480561</v>
      </c>
      <c r="I74" s="263">
        <f>IFERROR(VLOOKUP($B74-1,CDM!$L$7:$T$18,3,FALSE)/12,0)+IFERROR(VLOOKUP($B74,CDM!$L$36:$T$46,3,FALSE)/24,0)+IFERROR(VLOOKUP($B74,CDM!$L$36:$T$46,3,FALSE)/2*$C74/78,0)</f>
        <v>555405.03025522188</v>
      </c>
      <c r="J74" s="263">
        <f t="shared" si="21"/>
        <v>10756355.603735784</v>
      </c>
      <c r="K74" s="265">
        <v>4251</v>
      </c>
      <c r="L74" s="4">
        <v>29109174.013384208</v>
      </c>
      <c r="M74" s="266">
        <f>IFERROR(VLOOKUP($B74-1,CDM!$L$7:$T$18,4,FALSE)/12,0)+IFERROR(VLOOKUP($B74,CDM!$L$36:$T$46,4,FALSE)/24,0)+IFERROR(VLOOKUP($B74,CDM!$L$36:$T$46,4,FALSE)/2*$C74/78,0)</f>
        <v>679233.58604701003</v>
      </c>
      <c r="N74" s="263">
        <f t="shared" si="22"/>
        <v>29788407.599431217</v>
      </c>
      <c r="O74" s="4">
        <v>66156.36</v>
      </c>
      <c r="P74" s="265">
        <v>534</v>
      </c>
      <c r="Q74" s="265">
        <v>5601737.3531048754</v>
      </c>
      <c r="R74" s="265">
        <f>IFERROR(VLOOKUP($B74-1,CDM!$L$7:$T$18,5,FALSE)/12,0)+IFERROR(VLOOKUP($B74,CDM!$L$36:$T$46,5,FALSE)/24,0)+IFERROR(VLOOKUP($B74,CDM!$L$36:$T$46,5,FALSE)/2*$C74/78,0)</f>
        <v>861244.37788435968</v>
      </c>
      <c r="S74" s="265">
        <f t="shared" si="32"/>
        <v>6462981.7309892355</v>
      </c>
      <c r="T74" s="265">
        <v>12482.34</v>
      </c>
      <c r="U74" s="265">
        <v>17</v>
      </c>
      <c r="V74" s="265">
        <v>2837674</v>
      </c>
      <c r="W74" s="265">
        <f>IFERROR(VLOOKUP($B74-1,CDM!$L$7:$T$18,6,FALSE)/12,0)+IFERROR(VLOOKUP($B74,CDM!$L$36:$T$46,6,FALSE)/24,0)+IFERROR(VLOOKUP($B74,CDM!$L$36:$T$46,6,FALSE)/2*$C74/78,0)</f>
        <v>24936.808000110388</v>
      </c>
      <c r="X74" s="265">
        <f t="shared" si="33"/>
        <v>2862610.8080001106</v>
      </c>
      <c r="Y74" s="265">
        <v>5352.13</v>
      </c>
      <c r="Z74" s="265">
        <v>1</v>
      </c>
      <c r="AA74" s="4">
        <v>353367.51756721607</v>
      </c>
      <c r="AB74" s="4">
        <v>1024.2441694090712</v>
      </c>
      <c r="AC74" s="265">
        <v>13995</v>
      </c>
      <c r="AD74" s="265">
        <v>2064.7199999999998</v>
      </c>
      <c r="AE74" s="265">
        <v>0</v>
      </c>
      <c r="AF74" s="265">
        <v>19</v>
      </c>
      <c r="AG74" s="4">
        <v>216848</v>
      </c>
      <c r="AH74" s="4">
        <v>251</v>
      </c>
      <c r="AI74" s="28">
        <f>Economic!H76</f>
        <v>817265.5</v>
      </c>
      <c r="AJ74" s="28">
        <f>Economic!I76</f>
        <v>634181.69999999995</v>
      </c>
      <c r="AK74" s="28">
        <f>Economic!J76</f>
        <v>64910</v>
      </c>
      <c r="AL74" s="28">
        <f>Economic!K76</f>
        <v>808584</v>
      </c>
      <c r="AM74" s="28">
        <f>Economic!L76</f>
        <v>622695</v>
      </c>
      <c r="AN74" s="28">
        <f>Economic!M76</f>
        <v>23185</v>
      </c>
      <c r="AO74" s="28">
        <f>Economic!D76</f>
        <v>7204.7</v>
      </c>
      <c r="AP74" s="28">
        <f>Economic!E76</f>
        <v>7180.4</v>
      </c>
      <c r="AQ74" s="28">
        <f>Economic!F76</f>
        <v>207.3</v>
      </c>
      <c r="AR74" s="28">
        <f>Economic!G76</f>
        <v>205.5</v>
      </c>
      <c r="AS74" s="28">
        <f>Economic!N76</f>
        <v>-300.19999999999982</v>
      </c>
      <c r="AT74" s="28">
        <f>Economic!O76</f>
        <v>-291.20000000000073</v>
      </c>
      <c r="AU74" s="28">
        <f>Economic!P76</f>
        <v>-0.79999999999998295</v>
      </c>
      <c r="AV74" s="28">
        <f>Economic!Q76</f>
        <v>0</v>
      </c>
      <c r="AW74" s="28">
        <f>Economic!R76</f>
        <v>47323.5</v>
      </c>
      <c r="AX74" s="28">
        <f>Economic!S76</f>
        <v>12705</v>
      </c>
      <c r="AY74" s="7">
        <f>Weather!D74</f>
        <v>-3.0807795698924729</v>
      </c>
      <c r="AZ74" s="7">
        <f>Weather!E74</f>
        <v>715.50416666666661</v>
      </c>
      <c r="BA74" s="7">
        <f>Weather!F74</f>
        <v>0</v>
      </c>
      <c r="BB74" s="7">
        <f>Weather!G74</f>
        <v>653.50416666666661</v>
      </c>
      <c r="BC74" s="7">
        <f>Weather!H74</f>
        <v>0</v>
      </c>
      <c r="BD74" s="7">
        <f>Weather!I74</f>
        <v>591.50416666666661</v>
      </c>
      <c r="BE74" s="7">
        <f>Weather!J74</f>
        <v>0</v>
      </c>
      <c r="BF74" s="7">
        <f>Weather!K74</f>
        <v>529.50416666666661</v>
      </c>
      <c r="BG74" s="7">
        <f>Weather!L74</f>
        <v>0</v>
      </c>
      <c r="BH74" s="7">
        <f>Weather!M74</f>
        <v>467.50416666666661</v>
      </c>
      <c r="BI74" s="7">
        <f>Weather!N74</f>
        <v>0</v>
      </c>
      <c r="BJ74" s="7">
        <f>Weather!O74</f>
        <v>405.50416666666661</v>
      </c>
      <c r="BK74" s="7">
        <f>Weather!P74</f>
        <v>0</v>
      </c>
      <c r="BL74" s="7">
        <f>Weather!Q74</f>
        <v>343.50416666666661</v>
      </c>
      <c r="BM74" s="7">
        <f>Weather!R74</f>
        <v>0</v>
      </c>
      <c r="BN74" s="1">
        <f t="shared" si="27"/>
        <v>1</v>
      </c>
      <c r="BO74" s="1">
        <f t="shared" si="27"/>
        <v>0</v>
      </c>
      <c r="BP74" s="1">
        <f t="shared" si="27"/>
        <v>0</v>
      </c>
      <c r="BQ74" s="1">
        <f t="shared" si="27"/>
        <v>0</v>
      </c>
      <c r="BR74" s="1">
        <f t="shared" si="27"/>
        <v>0</v>
      </c>
      <c r="BS74" s="1">
        <f t="shared" si="27"/>
        <v>0</v>
      </c>
      <c r="BT74" s="1">
        <f t="shared" si="27"/>
        <v>0</v>
      </c>
      <c r="BU74" s="1">
        <f t="shared" si="27"/>
        <v>0</v>
      </c>
      <c r="BV74" s="1">
        <f t="shared" si="27"/>
        <v>0</v>
      </c>
      <c r="BW74" s="1">
        <f t="shared" si="27"/>
        <v>0</v>
      </c>
      <c r="BX74" s="1">
        <f t="shared" si="27"/>
        <v>0</v>
      </c>
      <c r="BY74" s="1">
        <f t="shared" si="27"/>
        <v>0</v>
      </c>
      <c r="BZ74" s="1">
        <f t="shared" si="27"/>
        <v>0</v>
      </c>
      <c r="CA74" s="1">
        <f t="shared" si="27"/>
        <v>0</v>
      </c>
      <c r="CB74" s="1">
        <f t="shared" si="27"/>
        <v>0</v>
      </c>
      <c r="CC74" s="1">
        <f t="shared" si="23"/>
        <v>73</v>
      </c>
      <c r="CD74" s="1">
        <f t="shared" si="17"/>
        <v>31</v>
      </c>
      <c r="CE74" s="1">
        <v>20</v>
      </c>
      <c r="CF74" s="1">
        <v>1</v>
      </c>
      <c r="CG74" s="1">
        <v>0.5</v>
      </c>
      <c r="CH74" s="1">
        <v>0.75</v>
      </c>
      <c r="CI74" s="1">
        <v>0</v>
      </c>
      <c r="CJ74" s="1">
        <f t="shared" si="30"/>
        <v>357.7520833333333</v>
      </c>
      <c r="CK74" s="1">
        <f t="shared" si="30"/>
        <v>0</v>
      </c>
      <c r="CL74" s="1">
        <f t="shared" si="30"/>
        <v>326.7520833333333</v>
      </c>
      <c r="CM74" s="1">
        <f t="shared" si="30"/>
        <v>0</v>
      </c>
      <c r="CN74" s="1">
        <f t="shared" si="30"/>
        <v>295.7520833333333</v>
      </c>
      <c r="CO74" s="1">
        <f t="shared" si="30"/>
        <v>0</v>
      </c>
      <c r="CP74" s="1">
        <f t="shared" si="28"/>
        <v>264.7520833333333</v>
      </c>
      <c r="CQ74" s="1">
        <f t="shared" si="28"/>
        <v>0</v>
      </c>
      <c r="CR74" s="1">
        <f t="shared" si="24"/>
        <v>233.7520833333333</v>
      </c>
      <c r="CS74" s="1">
        <f t="shared" si="24"/>
        <v>0</v>
      </c>
      <c r="CT74" s="1">
        <f t="shared" si="24"/>
        <v>202.7520833333333</v>
      </c>
      <c r="CU74" s="1">
        <f t="shared" si="24"/>
        <v>0</v>
      </c>
      <c r="CV74" s="1">
        <f t="shared" si="24"/>
        <v>171.7520833333333</v>
      </c>
      <c r="CW74" s="1">
        <f t="shared" si="24"/>
        <v>0</v>
      </c>
      <c r="CX74" s="1">
        <f t="shared" si="31"/>
        <v>536.62812499999995</v>
      </c>
      <c r="CY74" s="1">
        <f t="shared" si="31"/>
        <v>0</v>
      </c>
      <c r="CZ74" s="1">
        <f t="shared" si="31"/>
        <v>490.12812499999995</v>
      </c>
      <c r="DA74" s="1">
        <f t="shared" si="31"/>
        <v>0</v>
      </c>
      <c r="DB74" s="1">
        <f t="shared" si="31"/>
        <v>443.62812499999995</v>
      </c>
      <c r="DC74" s="1">
        <f t="shared" si="31"/>
        <v>0</v>
      </c>
      <c r="DD74" s="1">
        <f t="shared" si="29"/>
        <v>397.12812499999995</v>
      </c>
      <c r="DE74" s="1">
        <f t="shared" si="29"/>
        <v>0</v>
      </c>
      <c r="DF74" s="1">
        <f t="shared" si="25"/>
        <v>350.62812499999995</v>
      </c>
      <c r="DG74" s="1">
        <f t="shared" si="25"/>
        <v>0</v>
      </c>
      <c r="DH74" s="1">
        <f t="shared" si="25"/>
        <v>304.12812499999995</v>
      </c>
      <c r="DI74" s="1">
        <f t="shared" si="25"/>
        <v>0</v>
      </c>
      <c r="DJ74" s="1">
        <f t="shared" si="25"/>
        <v>257.62812499999995</v>
      </c>
      <c r="DK74" s="1">
        <f t="shared" si="25"/>
        <v>0</v>
      </c>
      <c r="DL74" s="25"/>
      <c r="DM74" s="25"/>
      <c r="DN74" s="24"/>
      <c r="DO74" s="25"/>
      <c r="DP74" s="25"/>
      <c r="DQ74" s="25"/>
      <c r="DR74" s="25"/>
      <c r="DS74" s="25"/>
      <c r="DT74" s="25"/>
      <c r="DU74" s="25"/>
      <c r="DV74" s="25"/>
    </row>
    <row r="75" spans="1:126" x14ac:dyDescent="0.25">
      <c r="A75" s="261">
        <v>44228</v>
      </c>
      <c r="B75" s="262">
        <f t="shared" si="18"/>
        <v>2021</v>
      </c>
      <c r="C75" s="262">
        <f t="shared" si="19"/>
        <v>2</v>
      </c>
      <c r="D75" s="263">
        <v>47923330.879952654</v>
      </c>
      <c r="E75" s="263">
        <f>IFERROR(VLOOKUP($B75-1,CDM!$L$7:$T$18,2,FALSE)/12,0)+IFERROR(VLOOKUP($B75,CDM!$L$36:$T$46,2,FALSE)/24,0)+IFERROR(VLOOKUP($B75,CDM!$L$36:$T$46,2,FALSE)/2*$C75/78,0)</f>
        <v>2439976.7272243113</v>
      </c>
      <c r="F75" s="263">
        <f t="shared" si="20"/>
        <v>50363307.607176967</v>
      </c>
      <c r="G75" s="264">
        <v>54720</v>
      </c>
      <c r="H75" s="265">
        <v>9567954.3547166176</v>
      </c>
      <c r="I75" s="263">
        <f>IFERROR(VLOOKUP($B75-1,CDM!$L$7:$T$18,3,FALSE)/12,0)+IFERROR(VLOOKUP($B75,CDM!$L$36:$T$46,3,FALSE)/24,0)+IFERROR(VLOOKUP($B75,CDM!$L$36:$T$46,3,FALSE)/2*$C75/78,0)</f>
        <v>556289.01754151285</v>
      </c>
      <c r="J75" s="263">
        <f t="shared" si="21"/>
        <v>10124243.37225813</v>
      </c>
      <c r="K75" s="265">
        <v>4260</v>
      </c>
      <c r="L75" s="4">
        <v>25010966.92218937</v>
      </c>
      <c r="M75" s="266">
        <f>IFERROR(VLOOKUP($B75-1,CDM!$L$7:$T$18,4,FALSE)/12,0)+IFERROR(VLOOKUP($B75,CDM!$L$36:$T$46,4,FALSE)/24,0)+IFERROR(VLOOKUP($B75,CDM!$L$36:$T$46,4,FALSE)/2*$C75/78,0)</f>
        <v>683298.23264631175</v>
      </c>
      <c r="N75" s="263">
        <f t="shared" si="22"/>
        <v>25694265.154835682</v>
      </c>
      <c r="O75" s="4">
        <v>66828.53</v>
      </c>
      <c r="P75" s="265">
        <v>537</v>
      </c>
      <c r="Q75" s="265">
        <v>4596159.5861919159</v>
      </c>
      <c r="R75" s="265">
        <f>IFERROR(VLOOKUP($B75-1,CDM!$L$7:$T$18,5,FALSE)/12,0)+IFERROR(VLOOKUP($B75,CDM!$L$36:$T$46,5,FALSE)/24,0)+IFERROR(VLOOKUP($B75,CDM!$L$36:$T$46,5,FALSE)/2*$C75/78,0)</f>
        <v>861999.91328642447</v>
      </c>
      <c r="S75" s="265">
        <f t="shared" si="32"/>
        <v>5458159.4994783401</v>
      </c>
      <c r="T75" s="265">
        <v>8854.77</v>
      </c>
      <c r="U75" s="265">
        <v>17</v>
      </c>
      <c r="V75" s="265">
        <v>2471480</v>
      </c>
      <c r="W75" s="265">
        <f>IFERROR(VLOOKUP($B75-1,CDM!$L$7:$T$18,6,FALSE)/12,0)+IFERROR(VLOOKUP($B75,CDM!$L$36:$T$46,6,FALSE)/24,0)+IFERROR(VLOOKUP($B75,CDM!$L$36:$T$46,6,FALSE)/2*$C75/78,0)</f>
        <v>25167.556289013995</v>
      </c>
      <c r="X75" s="265">
        <f t="shared" si="33"/>
        <v>2496647.5562890139</v>
      </c>
      <c r="Y75" s="265">
        <v>5609.43</v>
      </c>
      <c r="Z75" s="265">
        <v>1</v>
      </c>
      <c r="AA75" s="4">
        <v>353367.51756721607</v>
      </c>
      <c r="AB75" s="4">
        <v>1024.4398340248963</v>
      </c>
      <c r="AC75" s="265">
        <v>14000</v>
      </c>
      <c r="AD75" s="265">
        <v>2285.94</v>
      </c>
      <c r="AE75" s="265">
        <v>0</v>
      </c>
      <c r="AF75" s="265">
        <v>19</v>
      </c>
      <c r="AG75" s="4">
        <v>216848</v>
      </c>
      <c r="AH75" s="4">
        <v>251</v>
      </c>
      <c r="AI75" s="28">
        <f>Economic!H77</f>
        <v>817265.5</v>
      </c>
      <c r="AJ75" s="28">
        <f>Economic!I77</f>
        <v>634181.69999999995</v>
      </c>
      <c r="AK75" s="28">
        <f>Economic!J77</f>
        <v>64910</v>
      </c>
      <c r="AL75" s="28">
        <f>Economic!K77</f>
        <v>808584</v>
      </c>
      <c r="AM75" s="28">
        <f>Economic!L77</f>
        <v>622695</v>
      </c>
      <c r="AN75" s="28">
        <f>Economic!M77</f>
        <v>23185</v>
      </c>
      <c r="AO75" s="28">
        <f>Economic!D77</f>
        <v>7181.2</v>
      </c>
      <c r="AP75" s="28">
        <f>Economic!E77</f>
        <v>7124.8</v>
      </c>
      <c r="AQ75" s="28">
        <f>Economic!F77</f>
        <v>205.4</v>
      </c>
      <c r="AR75" s="28">
        <f>Economic!G77</f>
        <v>204.1</v>
      </c>
      <c r="AS75" s="28">
        <f>Economic!N77</f>
        <v>-331.10000000000036</v>
      </c>
      <c r="AT75" s="28">
        <f>Economic!O77</f>
        <v>-317.30000000000018</v>
      </c>
      <c r="AU75" s="28">
        <f>Economic!P77</f>
        <v>-5.2999999999999829</v>
      </c>
      <c r="AV75" s="28">
        <f>Economic!Q77</f>
        <v>-4.7000000000000171</v>
      </c>
      <c r="AW75" s="28">
        <f>Economic!R77</f>
        <v>47323.5</v>
      </c>
      <c r="AX75" s="28">
        <f>Economic!S77</f>
        <v>12705</v>
      </c>
      <c r="AY75" s="7">
        <f>Weather!D75</f>
        <v>-5.3376488095238086</v>
      </c>
      <c r="AZ75" s="7">
        <f>Weather!E75</f>
        <v>709.45416666666654</v>
      </c>
      <c r="BA75" s="7">
        <f>Weather!F75</f>
        <v>0</v>
      </c>
      <c r="BB75" s="7">
        <f>Weather!G75</f>
        <v>653.45416666666654</v>
      </c>
      <c r="BC75" s="7">
        <f>Weather!H75</f>
        <v>0</v>
      </c>
      <c r="BD75" s="7">
        <f>Weather!I75</f>
        <v>597.45416666666665</v>
      </c>
      <c r="BE75" s="7">
        <f>Weather!J75</f>
        <v>0</v>
      </c>
      <c r="BF75" s="7">
        <f>Weather!K75</f>
        <v>541.45416666666677</v>
      </c>
      <c r="BG75" s="7">
        <f>Weather!L75</f>
        <v>0</v>
      </c>
      <c r="BH75" s="7">
        <f>Weather!M75</f>
        <v>485.45416666666677</v>
      </c>
      <c r="BI75" s="7">
        <f>Weather!N75</f>
        <v>0</v>
      </c>
      <c r="BJ75" s="7">
        <f>Weather!O75</f>
        <v>429.45416666666677</v>
      </c>
      <c r="BK75" s="7">
        <f>Weather!P75</f>
        <v>0</v>
      </c>
      <c r="BL75" s="7">
        <f>Weather!Q75</f>
        <v>373.45416666666665</v>
      </c>
      <c r="BM75" s="7">
        <f>Weather!R75</f>
        <v>0</v>
      </c>
      <c r="BN75" s="1">
        <f t="shared" si="27"/>
        <v>0</v>
      </c>
      <c r="BO75" s="1">
        <f t="shared" si="27"/>
        <v>1</v>
      </c>
      <c r="BP75" s="1">
        <f t="shared" si="27"/>
        <v>0</v>
      </c>
      <c r="BQ75" s="1">
        <f t="shared" si="27"/>
        <v>0</v>
      </c>
      <c r="BR75" s="1">
        <f t="shared" si="27"/>
        <v>0</v>
      </c>
      <c r="BS75" s="1">
        <f t="shared" si="27"/>
        <v>0</v>
      </c>
      <c r="BT75" s="1">
        <f t="shared" si="27"/>
        <v>0</v>
      </c>
      <c r="BU75" s="1">
        <f t="shared" si="27"/>
        <v>0</v>
      </c>
      <c r="BV75" s="1">
        <f t="shared" si="27"/>
        <v>0</v>
      </c>
      <c r="BW75" s="1">
        <f t="shared" si="27"/>
        <v>0</v>
      </c>
      <c r="BX75" s="1">
        <f t="shared" si="27"/>
        <v>0</v>
      </c>
      <c r="BY75" s="1">
        <f t="shared" si="27"/>
        <v>0</v>
      </c>
      <c r="BZ75" s="1">
        <f t="shared" si="27"/>
        <v>0</v>
      </c>
      <c r="CA75" s="1">
        <f t="shared" si="27"/>
        <v>0</v>
      </c>
      <c r="CB75" s="1">
        <f t="shared" si="27"/>
        <v>0</v>
      </c>
      <c r="CC75" s="1">
        <f t="shared" si="23"/>
        <v>74</v>
      </c>
      <c r="CD75" s="1">
        <f t="shared" si="17"/>
        <v>28</v>
      </c>
      <c r="CE75" s="1">
        <v>19</v>
      </c>
      <c r="CF75" s="1">
        <v>1</v>
      </c>
      <c r="CG75" s="1">
        <v>0.5</v>
      </c>
      <c r="CH75" s="1">
        <v>0.75</v>
      </c>
      <c r="CI75" s="1">
        <v>0</v>
      </c>
      <c r="CJ75" s="1">
        <f t="shared" si="30"/>
        <v>354.72708333333327</v>
      </c>
      <c r="CK75" s="1">
        <f t="shared" si="30"/>
        <v>0</v>
      </c>
      <c r="CL75" s="1">
        <f t="shared" si="30"/>
        <v>326.72708333333327</v>
      </c>
      <c r="CM75" s="1">
        <f t="shared" si="30"/>
        <v>0</v>
      </c>
      <c r="CN75" s="1">
        <f t="shared" si="30"/>
        <v>298.72708333333333</v>
      </c>
      <c r="CO75" s="1">
        <f t="shared" si="30"/>
        <v>0</v>
      </c>
      <c r="CP75" s="1">
        <f t="shared" si="28"/>
        <v>270.72708333333338</v>
      </c>
      <c r="CQ75" s="1">
        <f t="shared" si="28"/>
        <v>0</v>
      </c>
      <c r="CR75" s="1">
        <f t="shared" si="24"/>
        <v>242.72708333333338</v>
      </c>
      <c r="CS75" s="1">
        <f t="shared" si="24"/>
        <v>0</v>
      </c>
      <c r="CT75" s="1">
        <f t="shared" si="24"/>
        <v>214.72708333333338</v>
      </c>
      <c r="CU75" s="1">
        <f t="shared" si="24"/>
        <v>0</v>
      </c>
      <c r="CV75" s="1">
        <f t="shared" si="24"/>
        <v>186.72708333333333</v>
      </c>
      <c r="CW75" s="1">
        <f t="shared" si="24"/>
        <v>0</v>
      </c>
      <c r="CX75" s="1">
        <f t="shared" si="31"/>
        <v>532.09062499999993</v>
      </c>
      <c r="CY75" s="1">
        <f t="shared" si="31"/>
        <v>0</v>
      </c>
      <c r="CZ75" s="1">
        <f t="shared" si="31"/>
        <v>490.09062499999993</v>
      </c>
      <c r="DA75" s="1">
        <f t="shared" si="31"/>
        <v>0</v>
      </c>
      <c r="DB75" s="1">
        <f t="shared" si="31"/>
        <v>448.09062499999999</v>
      </c>
      <c r="DC75" s="1">
        <f t="shared" si="31"/>
        <v>0</v>
      </c>
      <c r="DD75" s="1">
        <f t="shared" si="29"/>
        <v>406.09062500000005</v>
      </c>
      <c r="DE75" s="1">
        <f t="shared" si="29"/>
        <v>0</v>
      </c>
      <c r="DF75" s="1">
        <f t="shared" si="25"/>
        <v>364.09062500000005</v>
      </c>
      <c r="DG75" s="1">
        <f t="shared" si="25"/>
        <v>0</v>
      </c>
      <c r="DH75" s="1">
        <f t="shared" si="25"/>
        <v>322.09062500000005</v>
      </c>
      <c r="DI75" s="1">
        <f t="shared" si="25"/>
        <v>0</v>
      </c>
      <c r="DJ75" s="1">
        <f t="shared" si="25"/>
        <v>280.09062499999999</v>
      </c>
      <c r="DK75" s="1">
        <f t="shared" si="25"/>
        <v>0</v>
      </c>
      <c r="DL75" s="25"/>
      <c r="DM75" s="25"/>
      <c r="DN75" s="24"/>
      <c r="DO75" s="25"/>
      <c r="DP75" s="25"/>
      <c r="DQ75" s="25"/>
      <c r="DR75" s="25"/>
      <c r="DS75" s="25"/>
      <c r="DT75" s="25"/>
      <c r="DU75" s="25"/>
      <c r="DV75" s="25"/>
    </row>
    <row r="76" spans="1:126" x14ac:dyDescent="0.25">
      <c r="A76" s="261">
        <v>44256</v>
      </c>
      <c r="B76" s="262">
        <f t="shared" si="18"/>
        <v>2021</v>
      </c>
      <c r="C76" s="262">
        <f t="shared" si="19"/>
        <v>3</v>
      </c>
      <c r="D76" s="263">
        <v>39145126.205931425</v>
      </c>
      <c r="E76" s="263">
        <f>IFERROR(VLOOKUP($B76-1,CDM!$L$7:$T$18,2,FALSE)/12,0)+IFERROR(VLOOKUP($B76,CDM!$L$36:$T$46,2,FALSE)/24,0)+IFERROR(VLOOKUP($B76,CDM!$L$36:$T$46,2,FALSE)/2*$C76/78,0)</f>
        <v>2440461.0088585438</v>
      </c>
      <c r="F76" s="263">
        <f t="shared" si="20"/>
        <v>41585587.214789972</v>
      </c>
      <c r="G76" s="264">
        <v>54871</v>
      </c>
      <c r="H76" s="265">
        <v>11126791.162067626</v>
      </c>
      <c r="I76" s="263">
        <f>IFERROR(VLOOKUP($B76-1,CDM!$L$7:$T$18,3,FALSE)/12,0)+IFERROR(VLOOKUP($B76,CDM!$L$36:$T$46,3,FALSE)/24,0)+IFERROR(VLOOKUP($B76,CDM!$L$36:$T$46,3,FALSE)/2*$C76/78,0)</f>
        <v>557173.00482780393</v>
      </c>
      <c r="J76" s="263">
        <f t="shared" si="21"/>
        <v>11683964.166895431</v>
      </c>
      <c r="K76" s="265">
        <v>4267</v>
      </c>
      <c r="L76" s="4">
        <v>29085820.79171351</v>
      </c>
      <c r="M76" s="266">
        <f>IFERROR(VLOOKUP($B76-1,CDM!$L$7:$T$18,4,FALSE)/12,0)+IFERROR(VLOOKUP($B76,CDM!$L$36:$T$46,4,FALSE)/24,0)+IFERROR(VLOOKUP($B76,CDM!$L$36:$T$46,4,FALSE)/2*$C76/78,0)</f>
        <v>687362.87924561347</v>
      </c>
      <c r="N76" s="263">
        <f t="shared" si="22"/>
        <v>29773183.670959122</v>
      </c>
      <c r="O76" s="4">
        <v>66039.520000000004</v>
      </c>
      <c r="P76" s="265">
        <v>536</v>
      </c>
      <c r="Q76" s="265">
        <v>5224858.0969039006</v>
      </c>
      <c r="R76" s="265">
        <f>IFERROR(VLOOKUP($B76-1,CDM!$L$7:$T$18,5,FALSE)/12,0)+IFERROR(VLOOKUP($B76,CDM!$L$36:$T$46,5,FALSE)/24,0)+IFERROR(VLOOKUP($B76,CDM!$L$36:$T$46,5,FALSE)/2*$C76/78,0)</f>
        <v>862755.44868848927</v>
      </c>
      <c r="S76" s="265">
        <f t="shared" si="32"/>
        <v>6087613.54559239</v>
      </c>
      <c r="T76" s="265">
        <v>12865.09</v>
      </c>
      <c r="U76" s="265">
        <v>17</v>
      </c>
      <c r="V76" s="265">
        <v>3003749</v>
      </c>
      <c r="W76" s="265">
        <f>IFERROR(VLOOKUP($B76-1,CDM!$L$7:$T$18,6,FALSE)/12,0)+IFERROR(VLOOKUP($B76,CDM!$L$36:$T$46,6,FALSE)/24,0)+IFERROR(VLOOKUP($B76,CDM!$L$36:$T$46,6,FALSE)/2*$C76/78,0)</f>
        <v>25398.304577917603</v>
      </c>
      <c r="X76" s="265">
        <f t="shared" si="33"/>
        <v>3029147.3045779178</v>
      </c>
      <c r="Y76" s="265">
        <v>5224.8</v>
      </c>
      <c r="Z76" s="265">
        <v>1</v>
      </c>
      <c r="AA76" s="4">
        <v>353367.51756721607</v>
      </c>
      <c r="AB76" s="4">
        <v>1025.3910995850624</v>
      </c>
      <c r="AC76" s="265">
        <v>14013</v>
      </c>
      <c r="AD76" s="265">
        <v>2212.1999999999998</v>
      </c>
      <c r="AE76" s="265">
        <v>0</v>
      </c>
      <c r="AF76" s="265">
        <v>19</v>
      </c>
      <c r="AG76" s="4">
        <v>217478</v>
      </c>
      <c r="AH76" s="4">
        <v>251</v>
      </c>
      <c r="AI76" s="28">
        <f>Economic!H78</f>
        <v>817265.5</v>
      </c>
      <c r="AJ76" s="28">
        <f>Economic!I78</f>
        <v>634181.69999999995</v>
      </c>
      <c r="AK76" s="28">
        <f>Economic!J78</f>
        <v>64910</v>
      </c>
      <c r="AL76" s="28">
        <f>Economic!K78</f>
        <v>808584</v>
      </c>
      <c r="AM76" s="28">
        <f>Economic!L78</f>
        <v>622695</v>
      </c>
      <c r="AN76" s="28">
        <f>Economic!M78</f>
        <v>23185</v>
      </c>
      <c r="AO76" s="28">
        <f>Economic!D78</f>
        <v>7218.1</v>
      </c>
      <c r="AP76" s="28">
        <f>Economic!E78</f>
        <v>7129.5</v>
      </c>
      <c r="AQ76" s="28">
        <f>Economic!F78</f>
        <v>204.5</v>
      </c>
      <c r="AR76" s="28">
        <f>Economic!G78</f>
        <v>203.7</v>
      </c>
      <c r="AS76" s="28">
        <f>Economic!N78</f>
        <v>-139.89999999999964</v>
      </c>
      <c r="AT76" s="28">
        <f>Economic!O78</f>
        <v>-126.69999999999982</v>
      </c>
      <c r="AU76" s="28">
        <f>Economic!P78</f>
        <v>-3.8000000000000114</v>
      </c>
      <c r="AV76" s="28">
        <f>Economic!Q78</f>
        <v>-3.5</v>
      </c>
      <c r="AW76" s="28">
        <f>Economic!R78</f>
        <v>47323.5</v>
      </c>
      <c r="AX76" s="28">
        <f>Economic!S78</f>
        <v>12705</v>
      </c>
      <c r="AY76" s="7">
        <f>Weather!D76</f>
        <v>2.1097942964001866</v>
      </c>
      <c r="AZ76" s="7">
        <f>Weather!E76</f>
        <v>554.59637681159427</v>
      </c>
      <c r="BA76" s="7">
        <f>Weather!F76</f>
        <v>0</v>
      </c>
      <c r="BB76" s="7">
        <f>Weather!G76</f>
        <v>492.59637681159415</v>
      </c>
      <c r="BC76" s="7">
        <f>Weather!H76</f>
        <v>0</v>
      </c>
      <c r="BD76" s="7">
        <f>Weather!I76</f>
        <v>430.59637681159427</v>
      </c>
      <c r="BE76" s="7">
        <f>Weather!J76</f>
        <v>0</v>
      </c>
      <c r="BF76" s="7">
        <f>Weather!K76</f>
        <v>368.59637681159427</v>
      </c>
      <c r="BG76" s="7">
        <f>Weather!L76</f>
        <v>0</v>
      </c>
      <c r="BH76" s="7">
        <f>Weather!M76</f>
        <v>306.89221014492756</v>
      </c>
      <c r="BI76" s="7">
        <f>Weather!N76</f>
        <v>0.29583333333332895</v>
      </c>
      <c r="BJ76" s="7">
        <f>Weather!O76</f>
        <v>249.74637681159425</v>
      </c>
      <c r="BK76" s="7">
        <f>Weather!P76</f>
        <v>5.1499999999999932</v>
      </c>
      <c r="BL76" s="7">
        <f>Weather!Q76</f>
        <v>194.65054347826086</v>
      </c>
      <c r="BM76" s="7">
        <f>Weather!R76</f>
        <v>12.05416666666666</v>
      </c>
      <c r="BN76" s="1">
        <f t="shared" si="27"/>
        <v>0</v>
      </c>
      <c r="BO76" s="1">
        <f t="shared" si="27"/>
        <v>0</v>
      </c>
      <c r="BP76" s="1">
        <f t="shared" si="27"/>
        <v>1</v>
      </c>
      <c r="BQ76" s="1">
        <f t="shared" si="27"/>
        <v>0</v>
      </c>
      <c r="BR76" s="1">
        <f t="shared" si="27"/>
        <v>0</v>
      </c>
      <c r="BS76" s="1">
        <f t="shared" si="27"/>
        <v>0</v>
      </c>
      <c r="BT76" s="1">
        <f t="shared" si="27"/>
        <v>0</v>
      </c>
      <c r="BU76" s="1">
        <f t="shared" si="27"/>
        <v>0</v>
      </c>
      <c r="BV76" s="1">
        <f t="shared" si="27"/>
        <v>0</v>
      </c>
      <c r="BW76" s="1">
        <f t="shared" si="27"/>
        <v>0</v>
      </c>
      <c r="BX76" s="1">
        <f t="shared" si="27"/>
        <v>0</v>
      </c>
      <c r="BY76" s="1">
        <f t="shared" si="27"/>
        <v>0</v>
      </c>
      <c r="BZ76" s="1">
        <f t="shared" si="27"/>
        <v>1</v>
      </c>
      <c r="CA76" s="1">
        <f t="shared" si="27"/>
        <v>0</v>
      </c>
      <c r="CB76" s="1">
        <f t="shared" si="27"/>
        <v>1</v>
      </c>
      <c r="CC76" s="1">
        <f t="shared" si="23"/>
        <v>75</v>
      </c>
      <c r="CD76" s="1">
        <f t="shared" si="17"/>
        <v>31</v>
      </c>
      <c r="CE76" s="1">
        <v>23</v>
      </c>
      <c r="CF76" s="1">
        <v>1</v>
      </c>
      <c r="CG76" s="1">
        <v>0.5</v>
      </c>
      <c r="CH76" s="1">
        <v>0.75</v>
      </c>
      <c r="CI76" s="1">
        <v>0</v>
      </c>
      <c r="CJ76" s="1">
        <f t="shared" si="30"/>
        <v>277.29818840579713</v>
      </c>
      <c r="CK76" s="1">
        <f t="shared" si="30"/>
        <v>0</v>
      </c>
      <c r="CL76" s="1">
        <f t="shared" si="30"/>
        <v>246.29818840579708</v>
      </c>
      <c r="CM76" s="1">
        <f t="shared" si="30"/>
        <v>0</v>
      </c>
      <c r="CN76" s="1">
        <f t="shared" si="30"/>
        <v>215.29818840579713</v>
      </c>
      <c r="CO76" s="1">
        <f t="shared" si="30"/>
        <v>0</v>
      </c>
      <c r="CP76" s="1">
        <f t="shared" si="28"/>
        <v>184.29818840579713</v>
      </c>
      <c r="CQ76" s="1">
        <f t="shared" si="28"/>
        <v>0</v>
      </c>
      <c r="CR76" s="1">
        <f t="shared" si="24"/>
        <v>153.44610507246378</v>
      </c>
      <c r="CS76" s="1">
        <f t="shared" si="24"/>
        <v>0.14791666666666448</v>
      </c>
      <c r="CT76" s="1">
        <f t="shared" si="24"/>
        <v>124.87318840579712</v>
      </c>
      <c r="CU76" s="1">
        <f t="shared" si="24"/>
        <v>2.5749999999999966</v>
      </c>
      <c r="CV76" s="1">
        <f t="shared" si="24"/>
        <v>97.325271739130429</v>
      </c>
      <c r="CW76" s="1">
        <f t="shared" si="24"/>
        <v>6.02708333333333</v>
      </c>
      <c r="CX76" s="1">
        <f t="shared" si="31"/>
        <v>415.94728260869567</v>
      </c>
      <c r="CY76" s="1">
        <f t="shared" si="31"/>
        <v>0</v>
      </c>
      <c r="CZ76" s="1">
        <f t="shared" si="31"/>
        <v>369.44728260869562</v>
      </c>
      <c r="DA76" s="1">
        <f t="shared" si="31"/>
        <v>0</v>
      </c>
      <c r="DB76" s="1">
        <f t="shared" si="31"/>
        <v>322.94728260869567</v>
      </c>
      <c r="DC76" s="1">
        <f t="shared" si="31"/>
        <v>0</v>
      </c>
      <c r="DD76" s="1">
        <f t="shared" si="29"/>
        <v>276.44728260869567</v>
      </c>
      <c r="DE76" s="1">
        <f t="shared" si="29"/>
        <v>0</v>
      </c>
      <c r="DF76" s="1">
        <f t="shared" si="25"/>
        <v>230.16915760869568</v>
      </c>
      <c r="DG76" s="1">
        <f t="shared" si="25"/>
        <v>0.22187499999999671</v>
      </c>
      <c r="DH76" s="1">
        <f t="shared" si="25"/>
        <v>187.30978260869568</v>
      </c>
      <c r="DI76" s="1">
        <f t="shared" si="25"/>
        <v>3.8624999999999949</v>
      </c>
      <c r="DJ76" s="1">
        <f t="shared" si="25"/>
        <v>145.98790760869565</v>
      </c>
      <c r="DK76" s="1">
        <f t="shared" si="25"/>
        <v>9.040624999999995</v>
      </c>
      <c r="DL76" s="25"/>
      <c r="DM76" s="25"/>
      <c r="DN76" s="24"/>
      <c r="DO76" s="25"/>
      <c r="DP76" s="25"/>
      <c r="DQ76" s="25"/>
      <c r="DR76" s="25"/>
      <c r="DS76" s="25"/>
      <c r="DT76" s="25"/>
      <c r="DU76" s="25"/>
      <c r="DV76" s="25"/>
    </row>
    <row r="77" spans="1:126" x14ac:dyDescent="0.25">
      <c r="A77" s="261">
        <v>44287</v>
      </c>
      <c r="B77" s="262">
        <f t="shared" si="18"/>
        <v>2021</v>
      </c>
      <c r="C77" s="262">
        <f t="shared" si="19"/>
        <v>4</v>
      </c>
      <c r="D77" s="263">
        <v>36828281.665552825</v>
      </c>
      <c r="E77" s="263">
        <f>IFERROR(VLOOKUP($B77-1,CDM!$L$7:$T$18,2,FALSE)/12,0)+IFERROR(VLOOKUP($B77,CDM!$L$36:$T$46,2,FALSE)/24,0)+IFERROR(VLOOKUP($B77,CDM!$L$36:$T$46,2,FALSE)/2*$C77/78,0)</f>
        <v>2440945.2904927768</v>
      </c>
      <c r="F77" s="263">
        <f t="shared" si="20"/>
        <v>39269226.956045598</v>
      </c>
      <c r="G77" s="264">
        <v>55046</v>
      </c>
      <c r="H77" s="263">
        <v>8759108.6372692473</v>
      </c>
      <c r="I77" s="263">
        <f>IFERROR(VLOOKUP($B77-1,CDM!$L$7:$T$18,3,FALSE)/12,0)+IFERROR(VLOOKUP($B77,CDM!$L$36:$T$46,3,FALSE)/24,0)+IFERROR(VLOOKUP($B77,CDM!$L$36:$T$46,3,FALSE)/2*$C77/78,0)</f>
        <v>558056.99211409502</v>
      </c>
      <c r="J77" s="263">
        <f t="shared" si="21"/>
        <v>9317165.6293833423</v>
      </c>
      <c r="K77" s="265">
        <v>4264</v>
      </c>
      <c r="L77" s="4">
        <v>22896615.961238336</v>
      </c>
      <c r="M77" s="266">
        <f>IFERROR(VLOOKUP($B77-1,CDM!$L$7:$T$18,4,FALSE)/12,0)+IFERROR(VLOOKUP($B77,CDM!$L$36:$T$46,4,FALSE)/24,0)+IFERROR(VLOOKUP($B77,CDM!$L$36:$T$46,4,FALSE)/2*$C77/78,0)</f>
        <v>691427.52584491519</v>
      </c>
      <c r="N77" s="263">
        <f t="shared" si="22"/>
        <v>23588043.487083253</v>
      </c>
      <c r="O77" s="4">
        <v>60354.57</v>
      </c>
      <c r="P77" s="265">
        <v>537</v>
      </c>
      <c r="Q77" s="265">
        <v>6062437.8063914152</v>
      </c>
      <c r="R77" s="265">
        <f>IFERROR(VLOOKUP($B77-1,CDM!$L$7:$T$18,5,FALSE)/12,0)+IFERROR(VLOOKUP($B77,CDM!$L$36:$T$46,5,FALSE)/24,0)+IFERROR(VLOOKUP($B77,CDM!$L$36:$T$46,5,FALSE)/2*$C77/78,0)</f>
        <v>863510.98409055418</v>
      </c>
      <c r="S77" s="265">
        <f t="shared" si="32"/>
        <v>6925948.7904819697</v>
      </c>
      <c r="T77" s="265">
        <v>14927.449999999999</v>
      </c>
      <c r="U77" s="265">
        <v>17</v>
      </c>
      <c r="V77" s="265">
        <v>2727156</v>
      </c>
      <c r="W77" s="265">
        <f>IFERROR(VLOOKUP($B77-1,CDM!$L$7:$T$18,6,FALSE)/12,0)+IFERROR(VLOOKUP($B77,CDM!$L$36:$T$46,6,FALSE)/24,0)+IFERROR(VLOOKUP($B77,CDM!$L$36:$T$46,6,FALSE)/2*$C77/78,0)</f>
        <v>25629.052866821214</v>
      </c>
      <c r="X77" s="265">
        <f t="shared" si="33"/>
        <v>2752785.0528668212</v>
      </c>
      <c r="Y77" s="265">
        <v>7290.36</v>
      </c>
      <c r="Z77" s="265">
        <v>1</v>
      </c>
      <c r="AA77" s="4">
        <v>353367.51756721607</v>
      </c>
      <c r="AB77" s="4">
        <v>1026.1960165975104</v>
      </c>
      <c r="AC77" s="265">
        <v>14024</v>
      </c>
      <c r="AD77" s="265">
        <v>2285.94</v>
      </c>
      <c r="AE77" s="265">
        <v>0</v>
      </c>
      <c r="AF77" s="265">
        <v>19</v>
      </c>
      <c r="AG77" s="4">
        <v>217478</v>
      </c>
      <c r="AH77" s="4">
        <v>251</v>
      </c>
      <c r="AI77" s="28">
        <f>Economic!H79</f>
        <v>817265.5</v>
      </c>
      <c r="AJ77" s="28">
        <f>Economic!I79</f>
        <v>634181.69999999995</v>
      </c>
      <c r="AK77" s="28">
        <f>Economic!J79</f>
        <v>64910</v>
      </c>
      <c r="AL77" s="28">
        <f>Economic!K79</f>
        <v>802518</v>
      </c>
      <c r="AM77" s="28">
        <f>Economic!L79</f>
        <v>620093</v>
      </c>
      <c r="AN77" s="28">
        <f>Economic!M79</f>
        <v>24138</v>
      </c>
      <c r="AO77" s="28">
        <f>Economic!D79</f>
        <v>7264</v>
      </c>
      <c r="AP77" s="28">
        <f>Economic!E79</f>
        <v>7197</v>
      </c>
      <c r="AQ77" s="28">
        <f>Economic!F79</f>
        <v>206</v>
      </c>
      <c r="AR77" s="28">
        <f>Economic!G79</f>
        <v>206.1</v>
      </c>
      <c r="AS77" s="28">
        <f>Economic!N79</f>
        <v>300.30000000000018</v>
      </c>
      <c r="AT77" s="28">
        <f>Economic!O79</f>
        <v>311.80000000000018</v>
      </c>
      <c r="AU77" s="28">
        <f>Economic!P79</f>
        <v>4.0999999999999943</v>
      </c>
      <c r="AV77" s="28">
        <f>Economic!Q79</f>
        <v>3.7999999999999829</v>
      </c>
      <c r="AW77" s="28">
        <f>Economic!R79</f>
        <v>47323.5</v>
      </c>
      <c r="AX77" s="28">
        <f>Economic!S79</f>
        <v>-6066</v>
      </c>
      <c r="AY77" s="7">
        <f>Weather!D77</f>
        <v>7.3401388888888865</v>
      </c>
      <c r="AZ77" s="7">
        <f>Weather!E77</f>
        <v>379.79583333333329</v>
      </c>
      <c r="BA77" s="7">
        <f>Weather!F77</f>
        <v>0</v>
      </c>
      <c r="BB77" s="7">
        <f>Weather!G77</f>
        <v>319.79583333333329</v>
      </c>
      <c r="BC77" s="7">
        <f>Weather!H77</f>
        <v>0</v>
      </c>
      <c r="BD77" s="7">
        <f>Weather!I77</f>
        <v>260.00833333333338</v>
      </c>
      <c r="BE77" s="7">
        <f>Weather!J77</f>
        <v>0.21249999999999858</v>
      </c>
      <c r="BF77" s="7">
        <f>Weather!K77</f>
        <v>203.50416666666672</v>
      </c>
      <c r="BG77" s="7">
        <f>Weather!L77</f>
        <v>3.7083333333333339</v>
      </c>
      <c r="BH77" s="7">
        <f>Weather!M77</f>
        <v>150.85000000000002</v>
      </c>
      <c r="BI77" s="7">
        <f>Weather!N77</f>
        <v>11.054166666666664</v>
      </c>
      <c r="BJ77" s="7">
        <f>Weather!O77</f>
        <v>102.15833333333332</v>
      </c>
      <c r="BK77" s="7">
        <f>Weather!P77</f>
        <v>22.362499999999997</v>
      </c>
      <c r="BL77" s="7">
        <f>Weather!Q77</f>
        <v>60.454166666666659</v>
      </c>
      <c r="BM77" s="7">
        <f>Weather!R77</f>
        <v>40.658333333333331</v>
      </c>
      <c r="BN77" s="1">
        <f t="shared" si="27"/>
        <v>0</v>
      </c>
      <c r="BO77" s="1">
        <f t="shared" si="27"/>
        <v>0</v>
      </c>
      <c r="BP77" s="1">
        <f t="shared" si="27"/>
        <v>0</v>
      </c>
      <c r="BQ77" s="1">
        <f t="shared" si="27"/>
        <v>1</v>
      </c>
      <c r="BR77" s="1">
        <f t="shared" si="27"/>
        <v>0</v>
      </c>
      <c r="BS77" s="1">
        <f t="shared" si="27"/>
        <v>0</v>
      </c>
      <c r="BT77" s="1">
        <f t="shared" si="27"/>
        <v>0</v>
      </c>
      <c r="BU77" s="1">
        <f t="shared" si="27"/>
        <v>0</v>
      </c>
      <c r="BV77" s="1">
        <f t="shared" si="27"/>
        <v>0</v>
      </c>
      <c r="BW77" s="1">
        <f t="shared" si="27"/>
        <v>0</v>
      </c>
      <c r="BX77" s="1">
        <f t="shared" si="27"/>
        <v>0</v>
      </c>
      <c r="BY77" s="1">
        <f t="shared" si="27"/>
        <v>0</v>
      </c>
      <c r="BZ77" s="1">
        <f t="shared" si="27"/>
        <v>1</v>
      </c>
      <c r="CA77" s="1">
        <f t="shared" si="27"/>
        <v>0</v>
      </c>
      <c r="CB77" s="1">
        <f t="shared" si="27"/>
        <v>1</v>
      </c>
      <c r="CC77" s="1">
        <f t="shared" si="23"/>
        <v>76</v>
      </c>
      <c r="CD77" s="1">
        <f t="shared" si="17"/>
        <v>30</v>
      </c>
      <c r="CE77" s="1">
        <v>21</v>
      </c>
      <c r="CF77" s="1">
        <v>1</v>
      </c>
      <c r="CG77" s="1">
        <v>0.5</v>
      </c>
      <c r="CH77" s="1">
        <v>0.75</v>
      </c>
      <c r="CI77" s="1">
        <v>0</v>
      </c>
      <c r="CJ77" s="1">
        <f t="shared" si="30"/>
        <v>189.89791666666665</v>
      </c>
      <c r="CK77" s="1">
        <f t="shared" si="30"/>
        <v>0</v>
      </c>
      <c r="CL77" s="1">
        <f t="shared" si="30"/>
        <v>159.89791666666665</v>
      </c>
      <c r="CM77" s="1">
        <f t="shared" si="30"/>
        <v>0</v>
      </c>
      <c r="CN77" s="1">
        <f t="shared" si="30"/>
        <v>130.00416666666669</v>
      </c>
      <c r="CO77" s="1">
        <f t="shared" si="30"/>
        <v>0.10624999999999929</v>
      </c>
      <c r="CP77" s="1">
        <f t="shared" si="28"/>
        <v>101.75208333333336</v>
      </c>
      <c r="CQ77" s="1">
        <f t="shared" si="28"/>
        <v>1.854166666666667</v>
      </c>
      <c r="CR77" s="1">
        <f t="shared" si="24"/>
        <v>75.425000000000011</v>
      </c>
      <c r="CS77" s="1">
        <f t="shared" si="24"/>
        <v>5.5270833333333318</v>
      </c>
      <c r="CT77" s="1">
        <f t="shared" si="24"/>
        <v>51.079166666666659</v>
      </c>
      <c r="CU77" s="1">
        <f t="shared" si="24"/>
        <v>11.181249999999999</v>
      </c>
      <c r="CV77" s="1">
        <f t="shared" si="24"/>
        <v>30.227083333333329</v>
      </c>
      <c r="CW77" s="1">
        <f t="shared" si="24"/>
        <v>20.329166666666666</v>
      </c>
      <c r="CX77" s="1">
        <f t="shared" si="31"/>
        <v>284.84687499999995</v>
      </c>
      <c r="CY77" s="1">
        <f t="shared" si="31"/>
        <v>0</v>
      </c>
      <c r="CZ77" s="1">
        <f t="shared" si="31"/>
        <v>239.84687499999995</v>
      </c>
      <c r="DA77" s="1">
        <f t="shared" si="31"/>
        <v>0</v>
      </c>
      <c r="DB77" s="1">
        <f t="shared" si="31"/>
        <v>195.00625000000002</v>
      </c>
      <c r="DC77" s="1">
        <f t="shared" si="31"/>
        <v>0.15937499999999893</v>
      </c>
      <c r="DD77" s="1">
        <f t="shared" si="29"/>
        <v>152.62812500000004</v>
      </c>
      <c r="DE77" s="1">
        <f t="shared" si="29"/>
        <v>2.7812500000000004</v>
      </c>
      <c r="DF77" s="1">
        <f t="shared" si="25"/>
        <v>113.13750000000002</v>
      </c>
      <c r="DG77" s="1">
        <f t="shared" si="25"/>
        <v>8.2906249999999986</v>
      </c>
      <c r="DH77" s="1">
        <f t="shared" si="25"/>
        <v>76.618749999999991</v>
      </c>
      <c r="DI77" s="1">
        <f t="shared" si="25"/>
        <v>16.771874999999998</v>
      </c>
      <c r="DJ77" s="1">
        <f t="shared" si="25"/>
        <v>45.340624999999996</v>
      </c>
      <c r="DK77" s="1">
        <f t="shared" si="25"/>
        <v>30.493749999999999</v>
      </c>
      <c r="DL77" s="25"/>
      <c r="DM77" s="25"/>
      <c r="DN77" s="24"/>
      <c r="DO77" s="25"/>
      <c r="DP77" s="25"/>
      <c r="DQ77" s="25"/>
      <c r="DR77" s="25"/>
      <c r="DS77" s="25"/>
      <c r="DT77" s="25"/>
      <c r="DU77" s="25"/>
      <c r="DV77" s="25"/>
    </row>
    <row r="78" spans="1:126" x14ac:dyDescent="0.25">
      <c r="A78" s="261">
        <v>44317</v>
      </c>
      <c r="B78" s="262">
        <f t="shared" si="18"/>
        <v>2021</v>
      </c>
      <c r="C78" s="262">
        <f t="shared" si="19"/>
        <v>5</v>
      </c>
      <c r="D78" s="263">
        <v>35995803.39913632</v>
      </c>
      <c r="E78" s="263">
        <f>IFERROR(VLOOKUP($B78-1,CDM!$L$7:$T$18,2,FALSE)/12,0)+IFERROR(VLOOKUP($B78,CDM!$L$36:$T$46,2,FALSE)/24,0)+IFERROR(VLOOKUP($B78,CDM!$L$36:$T$46,2,FALSE)/2*$C78/78,0)</f>
        <v>2441429.5721270093</v>
      </c>
      <c r="F78" s="263">
        <f t="shared" si="20"/>
        <v>38437232.971263327</v>
      </c>
      <c r="G78" s="264">
        <v>55153</v>
      </c>
      <c r="H78" s="263">
        <v>8442837.8660268169</v>
      </c>
      <c r="I78" s="263">
        <f>IFERROR(VLOOKUP($B78-1,CDM!$L$7:$T$18,3,FALSE)/12,0)+IFERROR(VLOOKUP($B78,CDM!$L$36:$T$46,3,FALSE)/24,0)+IFERROR(VLOOKUP($B78,CDM!$L$36:$T$46,3,FALSE)/2*$C78/78,0)</f>
        <v>558940.9794003861</v>
      </c>
      <c r="J78" s="263">
        <f t="shared" si="21"/>
        <v>9001778.8454272039</v>
      </c>
      <c r="K78" s="265">
        <v>4268</v>
      </c>
      <c r="L78" s="4">
        <v>22498975.641380794</v>
      </c>
      <c r="M78" s="266">
        <f>IFERROR(VLOOKUP($B78-1,CDM!$L$7:$T$18,4,FALSE)/12,0)+IFERROR(VLOOKUP($B78,CDM!$L$36:$T$46,4,FALSE)/24,0)+IFERROR(VLOOKUP($B78,CDM!$L$36:$T$46,4,FALSE)/2*$C78/78,0)</f>
        <v>695492.17244421691</v>
      </c>
      <c r="N78" s="263">
        <f t="shared" si="22"/>
        <v>23194467.813825011</v>
      </c>
      <c r="O78" s="4">
        <v>62132.58</v>
      </c>
      <c r="P78" s="265">
        <v>537</v>
      </c>
      <c r="Q78" s="265">
        <v>5815255.4507628521</v>
      </c>
      <c r="R78" s="265">
        <f>IFERROR(VLOOKUP($B78-1,CDM!$L$7:$T$18,5,FALSE)/12,0)+IFERROR(VLOOKUP($B78,CDM!$L$36:$T$46,5,FALSE)/24,0)+IFERROR(VLOOKUP($B78,CDM!$L$36:$T$46,5,FALSE)/2*$C78/78,0)</f>
        <v>864266.51949261897</v>
      </c>
      <c r="S78" s="265">
        <f t="shared" si="32"/>
        <v>6679521.9702554708</v>
      </c>
      <c r="T78" s="265">
        <v>18335.22</v>
      </c>
      <c r="U78" s="265">
        <v>17</v>
      </c>
      <c r="V78" s="265">
        <v>2846646</v>
      </c>
      <c r="W78" s="265">
        <f>IFERROR(VLOOKUP($B78-1,CDM!$L$7:$T$18,6,FALSE)/12,0)+IFERROR(VLOOKUP($B78,CDM!$L$36:$T$46,6,FALSE)/24,0)+IFERROR(VLOOKUP($B78,CDM!$L$36:$T$46,6,FALSE)/2*$C78/78,0)</f>
        <v>25859.801155724821</v>
      </c>
      <c r="X78" s="265">
        <f t="shared" si="33"/>
        <v>2872505.801155725</v>
      </c>
      <c r="Y78" s="265">
        <v>6273.96</v>
      </c>
      <c r="Z78" s="265">
        <v>1</v>
      </c>
      <c r="AA78" s="4">
        <v>353367.51756721607</v>
      </c>
      <c r="AB78" s="4">
        <v>1026.1960165975104</v>
      </c>
      <c r="AC78" s="265">
        <v>14024</v>
      </c>
      <c r="AD78" s="265">
        <v>2212.1999999999998</v>
      </c>
      <c r="AE78" s="265">
        <v>0</v>
      </c>
      <c r="AF78" s="265">
        <v>19</v>
      </c>
      <c r="AG78" s="4">
        <v>217583</v>
      </c>
      <c r="AH78" s="4">
        <v>251</v>
      </c>
      <c r="AI78" s="28">
        <f>Economic!H80</f>
        <v>817265.5</v>
      </c>
      <c r="AJ78" s="28">
        <f>Economic!I80</f>
        <v>634181.69999999995</v>
      </c>
      <c r="AK78" s="28">
        <f>Economic!J80</f>
        <v>64910</v>
      </c>
      <c r="AL78" s="28">
        <f>Economic!K80</f>
        <v>802518</v>
      </c>
      <c r="AM78" s="28">
        <f>Economic!L80</f>
        <v>620093</v>
      </c>
      <c r="AN78" s="28">
        <f>Economic!M80</f>
        <v>24138</v>
      </c>
      <c r="AO78" s="28">
        <f>Economic!D80</f>
        <v>7259.3</v>
      </c>
      <c r="AP78" s="28">
        <f>Economic!E80</f>
        <v>7237.7</v>
      </c>
      <c r="AQ78" s="28">
        <f>Economic!F80</f>
        <v>204.1</v>
      </c>
      <c r="AR78" s="28">
        <f>Economic!G80</f>
        <v>206</v>
      </c>
      <c r="AS78" s="28">
        <f>Economic!N80</f>
        <v>691.10000000000036</v>
      </c>
      <c r="AT78" s="28">
        <f>Economic!O80</f>
        <v>701</v>
      </c>
      <c r="AU78" s="28">
        <f>Economic!P80</f>
        <v>10.799999999999983</v>
      </c>
      <c r="AV78" s="28">
        <f>Economic!Q80</f>
        <v>10.5</v>
      </c>
      <c r="AW78" s="28">
        <f>Economic!R80</f>
        <v>47323.5</v>
      </c>
      <c r="AX78" s="28">
        <f>Economic!S80</f>
        <v>-6066</v>
      </c>
      <c r="AY78" s="7">
        <f>Weather!D78</f>
        <v>13.049417562724015</v>
      </c>
      <c r="AZ78" s="7">
        <f>Weather!E78</f>
        <v>221.92222222222222</v>
      </c>
      <c r="BA78" s="7">
        <f>Weather!F78</f>
        <v>6.4541666666666622</v>
      </c>
      <c r="BB78" s="7">
        <f>Weather!G78</f>
        <v>173.64305555555555</v>
      </c>
      <c r="BC78" s="7">
        <f>Weather!H78</f>
        <v>20.174999999999997</v>
      </c>
      <c r="BD78" s="7">
        <f>Weather!I78</f>
        <v>127.04305555555555</v>
      </c>
      <c r="BE78" s="7">
        <f>Weather!J78</f>
        <v>35.574999999999996</v>
      </c>
      <c r="BF78" s="7">
        <f>Weather!K78</f>
        <v>83.376388888888897</v>
      </c>
      <c r="BG78" s="7">
        <f>Weather!L78</f>
        <v>53.908333333333317</v>
      </c>
      <c r="BH78" s="7">
        <f>Weather!M78</f>
        <v>50.724999999999987</v>
      </c>
      <c r="BI78" s="7">
        <f>Weather!N78</f>
        <v>83.256944444444414</v>
      </c>
      <c r="BJ78" s="7">
        <f>Weather!O78</f>
        <v>25.983333333333327</v>
      </c>
      <c r="BK78" s="7">
        <f>Weather!P78</f>
        <v>120.51527777777777</v>
      </c>
      <c r="BL78" s="7">
        <f>Weather!Q78</f>
        <v>8.125</v>
      </c>
      <c r="BM78" s="7">
        <f>Weather!R78</f>
        <v>164.65694444444446</v>
      </c>
      <c r="BN78" s="1">
        <f t="shared" si="27"/>
        <v>0</v>
      </c>
      <c r="BO78" s="1">
        <f t="shared" si="27"/>
        <v>0</v>
      </c>
      <c r="BP78" s="1">
        <f t="shared" si="27"/>
        <v>0</v>
      </c>
      <c r="BQ78" s="1">
        <f t="shared" si="27"/>
        <v>0</v>
      </c>
      <c r="BR78" s="1">
        <f t="shared" si="27"/>
        <v>1</v>
      </c>
      <c r="BS78" s="1">
        <f t="shared" si="27"/>
        <v>0</v>
      </c>
      <c r="BT78" s="1">
        <f t="shared" si="27"/>
        <v>0</v>
      </c>
      <c r="BU78" s="1">
        <f t="shared" si="27"/>
        <v>0</v>
      </c>
      <c r="BV78" s="1">
        <f t="shared" si="27"/>
        <v>0</v>
      </c>
      <c r="BW78" s="1">
        <f t="shared" si="27"/>
        <v>0</v>
      </c>
      <c r="BX78" s="1">
        <f t="shared" si="27"/>
        <v>0</v>
      </c>
      <c r="BY78" s="1">
        <f t="shared" si="27"/>
        <v>0</v>
      </c>
      <c r="BZ78" s="1">
        <f t="shared" si="27"/>
        <v>1</v>
      </c>
      <c r="CA78" s="1">
        <f t="shared" si="27"/>
        <v>0</v>
      </c>
      <c r="CB78" s="1">
        <f t="shared" si="27"/>
        <v>1</v>
      </c>
      <c r="CC78" s="1">
        <f t="shared" si="23"/>
        <v>77</v>
      </c>
      <c r="CD78" s="1">
        <f t="shared" si="17"/>
        <v>31</v>
      </c>
      <c r="CE78" s="1">
        <v>20</v>
      </c>
      <c r="CF78" s="1">
        <v>1</v>
      </c>
      <c r="CG78" s="1">
        <v>0.5</v>
      </c>
      <c r="CH78" s="1">
        <v>0.75</v>
      </c>
      <c r="CI78" s="1">
        <v>0</v>
      </c>
      <c r="CJ78" s="1">
        <f t="shared" si="30"/>
        <v>110.96111111111111</v>
      </c>
      <c r="CK78" s="1">
        <f t="shared" si="30"/>
        <v>3.2270833333333311</v>
      </c>
      <c r="CL78" s="1">
        <f t="shared" si="30"/>
        <v>86.821527777777774</v>
      </c>
      <c r="CM78" s="1">
        <f t="shared" si="30"/>
        <v>10.087499999999999</v>
      </c>
      <c r="CN78" s="1">
        <f t="shared" si="30"/>
        <v>63.521527777777777</v>
      </c>
      <c r="CO78" s="1">
        <f t="shared" si="30"/>
        <v>17.787499999999998</v>
      </c>
      <c r="CP78" s="1">
        <f t="shared" si="28"/>
        <v>41.688194444444449</v>
      </c>
      <c r="CQ78" s="1">
        <f t="shared" si="28"/>
        <v>26.954166666666659</v>
      </c>
      <c r="CR78" s="1">
        <f t="shared" si="24"/>
        <v>25.362499999999994</v>
      </c>
      <c r="CS78" s="1">
        <f t="shared" si="24"/>
        <v>41.628472222222207</v>
      </c>
      <c r="CT78" s="1">
        <f t="shared" si="24"/>
        <v>12.991666666666664</v>
      </c>
      <c r="CU78" s="1">
        <f t="shared" si="24"/>
        <v>60.257638888888884</v>
      </c>
      <c r="CV78" s="1">
        <f t="shared" si="24"/>
        <v>4.0625</v>
      </c>
      <c r="CW78" s="1">
        <f t="shared" si="24"/>
        <v>82.328472222222231</v>
      </c>
      <c r="CX78" s="1">
        <f t="shared" si="31"/>
        <v>166.44166666666666</v>
      </c>
      <c r="CY78" s="1">
        <f t="shared" si="31"/>
        <v>4.8406249999999966</v>
      </c>
      <c r="CZ78" s="1">
        <f t="shared" si="31"/>
        <v>130.23229166666667</v>
      </c>
      <c r="DA78" s="1">
        <f t="shared" si="31"/>
        <v>15.131249999999998</v>
      </c>
      <c r="DB78" s="1">
        <f t="shared" si="31"/>
        <v>95.282291666666666</v>
      </c>
      <c r="DC78" s="1">
        <f t="shared" si="31"/>
        <v>26.681249999999999</v>
      </c>
      <c r="DD78" s="1">
        <f t="shared" si="29"/>
        <v>62.532291666666673</v>
      </c>
      <c r="DE78" s="1">
        <f t="shared" si="29"/>
        <v>40.431249999999991</v>
      </c>
      <c r="DF78" s="1">
        <f t="shared" si="25"/>
        <v>38.043749999999989</v>
      </c>
      <c r="DG78" s="1">
        <f t="shared" si="25"/>
        <v>62.442708333333314</v>
      </c>
      <c r="DH78" s="1">
        <f t="shared" si="25"/>
        <v>19.487499999999997</v>
      </c>
      <c r="DI78" s="1">
        <f t="shared" si="25"/>
        <v>90.386458333333323</v>
      </c>
      <c r="DJ78" s="1">
        <f t="shared" si="25"/>
        <v>6.09375</v>
      </c>
      <c r="DK78" s="1">
        <f t="shared" si="25"/>
        <v>123.49270833333335</v>
      </c>
      <c r="DL78" s="25"/>
      <c r="DM78" s="25"/>
      <c r="DN78" s="24"/>
      <c r="DO78" s="25"/>
      <c r="DP78" s="25"/>
      <c r="DQ78" s="25"/>
      <c r="DR78" s="25"/>
      <c r="DS78" s="25"/>
      <c r="DT78" s="25"/>
      <c r="DU78" s="25"/>
      <c r="DV78" s="25"/>
    </row>
    <row r="79" spans="1:126" x14ac:dyDescent="0.25">
      <c r="A79" s="261">
        <v>44348</v>
      </c>
      <c r="B79" s="262">
        <f t="shared" si="18"/>
        <v>2021</v>
      </c>
      <c r="C79" s="262">
        <f t="shared" si="19"/>
        <v>6</v>
      </c>
      <c r="D79" s="263">
        <v>43713536.892255127</v>
      </c>
      <c r="E79" s="263">
        <f>IFERROR(VLOOKUP($B79-1,CDM!$L$7:$T$18,2,FALSE)/12,0)+IFERROR(VLOOKUP($B79,CDM!$L$36:$T$46,2,FALSE)/24,0)+IFERROR(VLOOKUP($B79,CDM!$L$36:$T$46,2,FALSE)/2*$C79/78,0)</f>
        <v>2441913.8537612422</v>
      </c>
      <c r="F79" s="263">
        <f t="shared" si="20"/>
        <v>46155450.746016368</v>
      </c>
      <c r="G79" s="264">
        <v>55404</v>
      </c>
      <c r="H79" s="263">
        <v>9587962.8296610471</v>
      </c>
      <c r="I79" s="263">
        <f>IFERROR(VLOOKUP($B79-1,CDM!$L$7:$T$18,3,FALSE)/12,0)+IFERROR(VLOOKUP($B79,CDM!$L$36:$T$46,3,FALSE)/24,0)+IFERROR(VLOOKUP($B79,CDM!$L$36:$T$46,3,FALSE)/2*$C79/78,0)</f>
        <v>559824.96668667707</v>
      </c>
      <c r="J79" s="263">
        <f t="shared" si="21"/>
        <v>10147787.796347724</v>
      </c>
      <c r="K79" s="265">
        <v>4270</v>
      </c>
      <c r="L79" s="4">
        <v>24562188.53065829</v>
      </c>
      <c r="M79" s="266">
        <f>IFERROR(VLOOKUP($B79-1,CDM!$L$7:$T$18,4,FALSE)/12,0)+IFERROR(VLOOKUP($B79,CDM!$L$36:$T$46,4,FALSE)/24,0)+IFERROR(VLOOKUP($B79,CDM!$L$36:$T$46,4,FALSE)/2*$C79/78,0)</f>
        <v>699556.81904351863</v>
      </c>
      <c r="N79" s="263">
        <f t="shared" si="22"/>
        <v>25261745.349701807</v>
      </c>
      <c r="O79" s="4">
        <v>69109.299999999988</v>
      </c>
      <c r="P79" s="265">
        <v>537</v>
      </c>
      <c r="Q79" s="265">
        <v>6382156.0224160412</v>
      </c>
      <c r="R79" s="265">
        <f>IFERROR(VLOOKUP($B79-1,CDM!$L$7:$T$18,5,FALSE)/12,0)+IFERROR(VLOOKUP($B79,CDM!$L$36:$T$46,5,FALSE)/24,0)+IFERROR(VLOOKUP($B79,CDM!$L$36:$T$46,5,FALSE)/2*$C79/78,0)</f>
        <v>865022.05489468377</v>
      </c>
      <c r="S79" s="265">
        <f t="shared" si="32"/>
        <v>7247178.0773107251</v>
      </c>
      <c r="T79" s="265">
        <v>14217.419999999998</v>
      </c>
      <c r="U79" s="265">
        <v>17</v>
      </c>
      <c r="V79" s="265">
        <v>3068568</v>
      </c>
      <c r="W79" s="265">
        <f>IFERROR(VLOOKUP($B79-1,CDM!$L$7:$T$18,6,FALSE)/12,0)+IFERROR(VLOOKUP($B79,CDM!$L$36:$T$46,6,FALSE)/24,0)+IFERROR(VLOOKUP($B79,CDM!$L$36:$T$46,6,FALSE)/2*$C79/78,0)</f>
        <v>26090.549444628428</v>
      </c>
      <c r="X79" s="265">
        <f t="shared" si="33"/>
        <v>3094658.5494446284</v>
      </c>
      <c r="Y79" s="265">
        <v>5985.84</v>
      </c>
      <c r="Z79" s="265">
        <v>1</v>
      </c>
      <c r="AA79" s="4">
        <v>353367.51756721607</v>
      </c>
      <c r="AB79" s="4">
        <v>1026.1960165975104</v>
      </c>
      <c r="AC79" s="265">
        <v>14024</v>
      </c>
      <c r="AD79" s="265">
        <v>2285.94</v>
      </c>
      <c r="AE79" s="265">
        <v>0</v>
      </c>
      <c r="AF79" s="265">
        <v>19</v>
      </c>
      <c r="AG79" s="4">
        <v>217583</v>
      </c>
      <c r="AH79" s="4">
        <v>251</v>
      </c>
      <c r="AI79" s="28">
        <f>Economic!H81</f>
        <v>817265.5</v>
      </c>
      <c r="AJ79" s="28">
        <f>Economic!I81</f>
        <v>634181.69999999995</v>
      </c>
      <c r="AK79" s="28">
        <f>Economic!J81</f>
        <v>64910</v>
      </c>
      <c r="AL79" s="28">
        <f>Economic!K81</f>
        <v>802518</v>
      </c>
      <c r="AM79" s="28">
        <f>Economic!L81</f>
        <v>620093</v>
      </c>
      <c r="AN79" s="28">
        <f>Economic!M81</f>
        <v>24138</v>
      </c>
      <c r="AO79" s="28">
        <f>Economic!D81</f>
        <v>7245.3</v>
      </c>
      <c r="AP79" s="28">
        <f>Economic!E81</f>
        <v>7293</v>
      </c>
      <c r="AQ79" s="28">
        <f>Economic!F81</f>
        <v>203.9</v>
      </c>
      <c r="AR79" s="28">
        <f>Economic!G81</f>
        <v>207.1</v>
      </c>
      <c r="AS79" s="28">
        <f>Economic!N81</f>
        <v>785.60000000000036</v>
      </c>
      <c r="AT79" s="28">
        <f>Economic!O81</f>
        <v>794.5</v>
      </c>
      <c r="AU79" s="28">
        <f>Economic!P81</f>
        <v>13.599999999999994</v>
      </c>
      <c r="AV79" s="28">
        <f>Economic!Q81</f>
        <v>13.199999999999989</v>
      </c>
      <c r="AW79" s="28">
        <f>Economic!R81</f>
        <v>47323.5</v>
      </c>
      <c r="AX79" s="28">
        <f>Economic!S81</f>
        <v>-6066</v>
      </c>
      <c r="AY79" s="7">
        <f>Weather!D79</f>
        <v>20.055833333333332</v>
      </c>
      <c r="AZ79" s="7">
        <f>Weather!E79</f>
        <v>36.066666666666677</v>
      </c>
      <c r="BA79" s="7">
        <f>Weather!F79</f>
        <v>37.74166666666666</v>
      </c>
      <c r="BB79" s="7">
        <f>Weather!G79</f>
        <v>14.254166666666677</v>
      </c>
      <c r="BC79" s="7">
        <f>Weather!H79</f>
        <v>75.92916666666666</v>
      </c>
      <c r="BD79" s="7">
        <f>Weather!I79</f>
        <v>3.2708333333333357</v>
      </c>
      <c r="BE79" s="7">
        <f>Weather!J79</f>
        <v>124.94583333333331</v>
      </c>
      <c r="BF79" s="7">
        <f>Weather!K79</f>
        <v>0</v>
      </c>
      <c r="BG79" s="7">
        <f>Weather!L79</f>
        <v>181.67499999999995</v>
      </c>
      <c r="BH79" s="7">
        <f>Weather!M79</f>
        <v>0</v>
      </c>
      <c r="BI79" s="7">
        <f>Weather!N79</f>
        <v>241.67500000000001</v>
      </c>
      <c r="BJ79" s="7">
        <f>Weather!O79</f>
        <v>0</v>
      </c>
      <c r="BK79" s="7">
        <f>Weather!P79</f>
        <v>301.67500000000001</v>
      </c>
      <c r="BL79" s="7">
        <f>Weather!Q79</f>
        <v>0</v>
      </c>
      <c r="BM79" s="7">
        <f>Weather!R79</f>
        <v>361.67500000000001</v>
      </c>
      <c r="BN79" s="1">
        <f t="shared" ref="BN79:CB94" si="34">BN67</f>
        <v>0</v>
      </c>
      <c r="BO79" s="1">
        <f t="shared" si="34"/>
        <v>0</v>
      </c>
      <c r="BP79" s="1">
        <f t="shared" si="34"/>
        <v>0</v>
      </c>
      <c r="BQ79" s="1">
        <f t="shared" si="34"/>
        <v>0</v>
      </c>
      <c r="BR79" s="1">
        <f t="shared" si="34"/>
        <v>0</v>
      </c>
      <c r="BS79" s="1">
        <f t="shared" si="34"/>
        <v>1</v>
      </c>
      <c r="BT79" s="1">
        <f t="shared" si="34"/>
        <v>0</v>
      </c>
      <c r="BU79" s="1">
        <f t="shared" si="34"/>
        <v>0</v>
      </c>
      <c r="BV79" s="1">
        <f t="shared" si="34"/>
        <v>0</v>
      </c>
      <c r="BW79" s="1">
        <f t="shared" si="34"/>
        <v>0</v>
      </c>
      <c r="BX79" s="1">
        <f t="shared" si="34"/>
        <v>0</v>
      </c>
      <c r="BY79" s="1">
        <f t="shared" si="34"/>
        <v>0</v>
      </c>
      <c r="BZ79" s="1">
        <f t="shared" si="34"/>
        <v>0</v>
      </c>
      <c r="CA79" s="1">
        <f t="shared" si="34"/>
        <v>0</v>
      </c>
      <c r="CB79" s="1">
        <f t="shared" si="34"/>
        <v>0</v>
      </c>
      <c r="CC79" s="1">
        <f t="shared" si="23"/>
        <v>78</v>
      </c>
      <c r="CD79" s="1">
        <f t="shared" si="17"/>
        <v>30</v>
      </c>
      <c r="CE79" s="1">
        <v>22</v>
      </c>
      <c r="CF79" s="1">
        <v>1</v>
      </c>
      <c r="CG79" s="1">
        <v>0.5</v>
      </c>
      <c r="CH79" s="1">
        <v>0.75</v>
      </c>
      <c r="CI79" s="1">
        <v>0</v>
      </c>
      <c r="CJ79" s="1">
        <f t="shared" si="30"/>
        <v>18.033333333333339</v>
      </c>
      <c r="CK79" s="1">
        <f t="shared" si="30"/>
        <v>18.87083333333333</v>
      </c>
      <c r="CL79" s="1">
        <f t="shared" si="30"/>
        <v>7.1270833333333385</v>
      </c>
      <c r="CM79" s="1">
        <f t="shared" si="30"/>
        <v>37.96458333333333</v>
      </c>
      <c r="CN79" s="1">
        <f t="shared" si="30"/>
        <v>1.6354166666666679</v>
      </c>
      <c r="CO79" s="1">
        <f t="shared" si="30"/>
        <v>62.472916666666656</v>
      </c>
      <c r="CP79" s="1">
        <f t="shared" si="28"/>
        <v>0</v>
      </c>
      <c r="CQ79" s="1">
        <f t="shared" si="28"/>
        <v>90.837499999999977</v>
      </c>
      <c r="CR79" s="1">
        <f t="shared" si="24"/>
        <v>0</v>
      </c>
      <c r="CS79" s="1">
        <f t="shared" si="24"/>
        <v>120.83750000000001</v>
      </c>
      <c r="CT79" s="1">
        <f t="shared" si="24"/>
        <v>0</v>
      </c>
      <c r="CU79" s="1">
        <f t="shared" si="24"/>
        <v>150.83750000000001</v>
      </c>
      <c r="CV79" s="1">
        <f t="shared" si="24"/>
        <v>0</v>
      </c>
      <c r="CW79" s="1">
        <f t="shared" si="24"/>
        <v>180.83750000000001</v>
      </c>
      <c r="CX79" s="1">
        <f t="shared" si="31"/>
        <v>27.050000000000008</v>
      </c>
      <c r="CY79" s="1">
        <f t="shared" si="31"/>
        <v>28.306249999999995</v>
      </c>
      <c r="CZ79" s="1">
        <f t="shared" si="31"/>
        <v>10.690625000000008</v>
      </c>
      <c r="DA79" s="1">
        <f t="shared" si="31"/>
        <v>56.946874999999991</v>
      </c>
      <c r="DB79" s="1">
        <f t="shared" si="31"/>
        <v>2.4531250000000018</v>
      </c>
      <c r="DC79" s="1">
        <f t="shared" si="31"/>
        <v>93.70937499999998</v>
      </c>
      <c r="DD79" s="1">
        <f t="shared" si="29"/>
        <v>0</v>
      </c>
      <c r="DE79" s="1">
        <f t="shared" si="29"/>
        <v>136.25624999999997</v>
      </c>
      <c r="DF79" s="1">
        <f t="shared" si="25"/>
        <v>0</v>
      </c>
      <c r="DG79" s="1">
        <f t="shared" si="25"/>
        <v>181.25625000000002</v>
      </c>
      <c r="DH79" s="1">
        <f t="shared" si="25"/>
        <v>0</v>
      </c>
      <c r="DI79" s="1">
        <f t="shared" si="25"/>
        <v>226.25625000000002</v>
      </c>
      <c r="DJ79" s="1">
        <f t="shared" si="25"/>
        <v>0</v>
      </c>
      <c r="DK79" s="1">
        <f t="shared" si="25"/>
        <v>271.25625000000002</v>
      </c>
      <c r="DL79" s="25"/>
      <c r="DM79" s="25"/>
      <c r="DN79" s="24"/>
      <c r="DO79" s="25"/>
      <c r="DP79" s="25"/>
      <c r="DQ79" s="25"/>
      <c r="DR79" s="25"/>
      <c r="DS79" s="25"/>
      <c r="DT79" s="25"/>
      <c r="DU79" s="25"/>
      <c r="DV79" s="25"/>
    </row>
    <row r="80" spans="1:126" x14ac:dyDescent="0.25">
      <c r="A80" s="261">
        <v>44378</v>
      </c>
      <c r="B80" s="262">
        <f t="shared" si="18"/>
        <v>2021</v>
      </c>
      <c r="C80" s="262">
        <f t="shared" si="19"/>
        <v>7</v>
      </c>
      <c r="D80" s="263">
        <v>47047389.679963157</v>
      </c>
      <c r="E80" s="263">
        <f>IFERROR(VLOOKUP($B80-1,CDM!$L$7:$T$18,2,FALSE)/12,0)+IFERROR(VLOOKUP($B80,CDM!$L$36:$T$46,2,FALSE)/24,0)+IFERROR(VLOOKUP($B80,CDM!$L$36:$T$46,2,FALSE)/2*$C80/78,0)</f>
        <v>2442398.1353954747</v>
      </c>
      <c r="F80" s="263">
        <f t="shared" si="20"/>
        <v>49489787.815358631</v>
      </c>
      <c r="G80" s="264">
        <v>55324</v>
      </c>
      <c r="H80" s="263">
        <v>10358324.258117903</v>
      </c>
      <c r="I80" s="263">
        <f>IFERROR(VLOOKUP($B80-1,CDM!$L$7:$T$18,3,FALSE)/12,0)+IFERROR(VLOOKUP($B80,CDM!$L$36:$T$46,3,FALSE)/24,0)+IFERROR(VLOOKUP($B80,CDM!$L$36:$T$46,3,FALSE)/2*$C80/78,0)</f>
        <v>560708.95397296816</v>
      </c>
      <c r="J80" s="263">
        <f t="shared" si="21"/>
        <v>10919033.21209087</v>
      </c>
      <c r="K80" s="265">
        <v>4273</v>
      </c>
      <c r="L80" s="4">
        <v>25551058.954685975</v>
      </c>
      <c r="M80" s="266">
        <f>IFERROR(VLOOKUP($B80-1,CDM!$L$7:$T$18,4,FALSE)/12,0)+IFERROR(VLOOKUP($B80,CDM!$L$36:$T$46,4,FALSE)/24,0)+IFERROR(VLOOKUP($B80,CDM!$L$36:$T$46,4,FALSE)/2*$C80/78,0)</f>
        <v>703621.46564282046</v>
      </c>
      <c r="N80" s="263">
        <f t="shared" si="22"/>
        <v>26254680.420328796</v>
      </c>
      <c r="O80" s="4">
        <v>67554.58</v>
      </c>
      <c r="P80" s="265">
        <v>538</v>
      </c>
      <c r="Q80" s="265">
        <v>6381407.9570662873</v>
      </c>
      <c r="R80" s="265">
        <f>IFERROR(VLOOKUP($B80-1,CDM!$L$7:$T$18,5,FALSE)/12,0)+IFERROR(VLOOKUP($B80,CDM!$L$36:$T$46,5,FALSE)/24,0)+IFERROR(VLOOKUP($B80,CDM!$L$36:$T$46,5,FALSE)/2*$C80/78,0)</f>
        <v>865777.59029674856</v>
      </c>
      <c r="S80" s="265">
        <f t="shared" si="32"/>
        <v>7247185.5473630354</v>
      </c>
      <c r="T80" s="265">
        <v>15863.15</v>
      </c>
      <c r="U80" s="265">
        <v>17</v>
      </c>
      <c r="V80" s="265">
        <v>3205744</v>
      </c>
      <c r="W80" s="265">
        <f>IFERROR(VLOOKUP($B80-1,CDM!$L$7:$T$18,6,FALSE)/12,0)+IFERROR(VLOOKUP($B80,CDM!$L$36:$T$46,6,FALSE)/24,0)+IFERROR(VLOOKUP($B80,CDM!$L$36:$T$46,6,FALSE)/2*$C80/78,0)</f>
        <v>26321.297733532036</v>
      </c>
      <c r="X80" s="265">
        <f t="shared" si="33"/>
        <v>3232065.2977335323</v>
      </c>
      <c r="Y80" s="265">
        <v>7051.8</v>
      </c>
      <c r="Z80" s="265">
        <v>1</v>
      </c>
      <c r="AA80" s="4">
        <v>353367.51756721607</v>
      </c>
      <c r="AB80" s="4">
        <v>1026.1960165975104</v>
      </c>
      <c r="AC80" s="265">
        <v>14024</v>
      </c>
      <c r="AD80" s="265">
        <v>2285.94</v>
      </c>
      <c r="AE80" s="265">
        <v>0</v>
      </c>
      <c r="AF80" s="265">
        <v>19</v>
      </c>
      <c r="AG80" s="4">
        <v>209359</v>
      </c>
      <c r="AH80" s="4">
        <v>251</v>
      </c>
      <c r="AI80" s="28">
        <f>Economic!H82</f>
        <v>817265.5</v>
      </c>
      <c r="AJ80" s="28">
        <f>Economic!I82</f>
        <v>634181.69999999995</v>
      </c>
      <c r="AK80" s="28">
        <f>Economic!J82</f>
        <v>64910</v>
      </c>
      <c r="AL80" s="28">
        <f>Economic!K82</f>
        <v>819564</v>
      </c>
      <c r="AM80" s="28">
        <f>Economic!L82</f>
        <v>639578</v>
      </c>
      <c r="AN80" s="28">
        <f>Economic!M82</f>
        <v>25974</v>
      </c>
      <c r="AO80" s="28">
        <f>Economic!D82</f>
        <v>7311.4</v>
      </c>
      <c r="AP80" s="28">
        <f>Economic!E82</f>
        <v>7391.8</v>
      </c>
      <c r="AQ80" s="28">
        <f>Economic!F82</f>
        <v>205.7</v>
      </c>
      <c r="AR80" s="28">
        <f>Economic!G82</f>
        <v>208.8</v>
      </c>
      <c r="AS80" s="28">
        <f>Economic!N82</f>
        <v>667.89999999999964</v>
      </c>
      <c r="AT80" s="28">
        <f>Economic!O82</f>
        <v>679.90000000000055</v>
      </c>
      <c r="AU80" s="28">
        <f>Economic!P82</f>
        <v>10.099999999999994</v>
      </c>
      <c r="AV80" s="28">
        <f>Economic!Q82</f>
        <v>9.3000000000000114</v>
      </c>
      <c r="AW80" s="28">
        <f>Economic!R82</f>
        <v>47323.5</v>
      </c>
      <c r="AX80" s="28">
        <f>Economic!S82</f>
        <v>17046</v>
      </c>
      <c r="AY80" s="7">
        <f>Weather!D80</f>
        <v>20.221774193548388</v>
      </c>
      <c r="AZ80" s="7">
        <f>Weather!E80</f>
        <v>25.516666666666669</v>
      </c>
      <c r="BA80" s="7">
        <f>Weather!F80</f>
        <v>32.391666666666652</v>
      </c>
      <c r="BB80" s="7">
        <f>Weather!G80</f>
        <v>5.3541666666666572</v>
      </c>
      <c r="BC80" s="7">
        <f>Weather!H80</f>
        <v>74.229166666666615</v>
      </c>
      <c r="BD80" s="7">
        <f>Weather!I80</f>
        <v>0.74583333333333002</v>
      </c>
      <c r="BE80" s="7">
        <f>Weather!J80</f>
        <v>131.62083333333331</v>
      </c>
      <c r="BF80" s="7">
        <f>Weather!K80</f>
        <v>0</v>
      </c>
      <c r="BG80" s="7">
        <f>Weather!L80</f>
        <v>192.87499999999994</v>
      </c>
      <c r="BH80" s="7">
        <f>Weather!M80</f>
        <v>0</v>
      </c>
      <c r="BI80" s="7">
        <f>Weather!N80</f>
        <v>254.87499999999994</v>
      </c>
      <c r="BJ80" s="7">
        <f>Weather!O80</f>
        <v>0</v>
      </c>
      <c r="BK80" s="7">
        <f>Weather!P80</f>
        <v>316.87499999999994</v>
      </c>
      <c r="BL80" s="7">
        <f>Weather!Q80</f>
        <v>0</v>
      </c>
      <c r="BM80" s="7">
        <f>Weather!R80</f>
        <v>378.87499999999994</v>
      </c>
      <c r="BN80" s="1">
        <f t="shared" si="34"/>
        <v>0</v>
      </c>
      <c r="BO80" s="1">
        <f t="shared" si="34"/>
        <v>0</v>
      </c>
      <c r="BP80" s="1">
        <f t="shared" si="34"/>
        <v>0</v>
      </c>
      <c r="BQ80" s="1">
        <f t="shared" si="34"/>
        <v>0</v>
      </c>
      <c r="BR80" s="1">
        <f t="shared" si="34"/>
        <v>0</v>
      </c>
      <c r="BS80" s="1">
        <f t="shared" si="34"/>
        <v>0</v>
      </c>
      <c r="BT80" s="1">
        <f t="shared" si="34"/>
        <v>1</v>
      </c>
      <c r="BU80" s="1">
        <f t="shared" si="34"/>
        <v>0</v>
      </c>
      <c r="BV80" s="1">
        <f t="shared" si="34"/>
        <v>0</v>
      </c>
      <c r="BW80" s="1">
        <f t="shared" si="34"/>
        <v>0</v>
      </c>
      <c r="BX80" s="1">
        <f t="shared" si="34"/>
        <v>0</v>
      </c>
      <c r="BY80" s="1">
        <f t="shared" si="34"/>
        <v>0</v>
      </c>
      <c r="BZ80" s="1">
        <f t="shared" si="34"/>
        <v>0</v>
      </c>
      <c r="CA80" s="1">
        <f t="shared" si="34"/>
        <v>0</v>
      </c>
      <c r="CB80" s="1">
        <f t="shared" si="34"/>
        <v>0</v>
      </c>
      <c r="CC80" s="1">
        <f t="shared" si="23"/>
        <v>79</v>
      </c>
      <c r="CD80" s="1">
        <f t="shared" si="17"/>
        <v>31</v>
      </c>
      <c r="CE80" s="1">
        <v>21</v>
      </c>
      <c r="CF80" s="1">
        <v>1</v>
      </c>
      <c r="CG80" s="1">
        <v>0.5</v>
      </c>
      <c r="CH80" s="1">
        <v>0.75</v>
      </c>
      <c r="CI80" s="1">
        <v>0</v>
      </c>
      <c r="CJ80" s="1">
        <f t="shared" si="30"/>
        <v>12.758333333333335</v>
      </c>
      <c r="CK80" s="1">
        <f t="shared" si="30"/>
        <v>16.195833333333326</v>
      </c>
      <c r="CL80" s="1">
        <f t="shared" si="30"/>
        <v>2.6770833333333286</v>
      </c>
      <c r="CM80" s="1">
        <f t="shared" si="30"/>
        <v>37.114583333333307</v>
      </c>
      <c r="CN80" s="1">
        <f t="shared" si="30"/>
        <v>0.37291666666666501</v>
      </c>
      <c r="CO80" s="1">
        <f t="shared" si="30"/>
        <v>65.810416666666654</v>
      </c>
      <c r="CP80" s="1">
        <f t="shared" si="28"/>
        <v>0</v>
      </c>
      <c r="CQ80" s="1">
        <f t="shared" si="28"/>
        <v>96.437499999999972</v>
      </c>
      <c r="CR80" s="1">
        <f t="shared" si="24"/>
        <v>0</v>
      </c>
      <c r="CS80" s="1">
        <f t="shared" si="24"/>
        <v>127.43749999999997</v>
      </c>
      <c r="CT80" s="1">
        <f t="shared" si="24"/>
        <v>0</v>
      </c>
      <c r="CU80" s="1">
        <f t="shared" si="24"/>
        <v>158.43749999999997</v>
      </c>
      <c r="CV80" s="1">
        <f t="shared" si="24"/>
        <v>0</v>
      </c>
      <c r="CW80" s="1">
        <f t="shared" si="24"/>
        <v>189.43749999999997</v>
      </c>
      <c r="CX80" s="1">
        <f t="shared" si="31"/>
        <v>19.137500000000003</v>
      </c>
      <c r="CY80" s="1">
        <f t="shared" si="31"/>
        <v>24.293749999999989</v>
      </c>
      <c r="CZ80" s="1">
        <f t="shared" si="31"/>
        <v>4.0156249999999929</v>
      </c>
      <c r="DA80" s="1">
        <f t="shared" si="31"/>
        <v>55.671874999999957</v>
      </c>
      <c r="DB80" s="1">
        <f t="shared" si="31"/>
        <v>0.55937499999999751</v>
      </c>
      <c r="DC80" s="1">
        <f t="shared" si="31"/>
        <v>98.715624999999989</v>
      </c>
      <c r="DD80" s="1">
        <f t="shared" si="29"/>
        <v>0</v>
      </c>
      <c r="DE80" s="1">
        <f t="shared" si="29"/>
        <v>144.65624999999994</v>
      </c>
      <c r="DF80" s="1">
        <f t="shared" si="25"/>
        <v>0</v>
      </c>
      <c r="DG80" s="1">
        <f t="shared" si="25"/>
        <v>191.15624999999994</v>
      </c>
      <c r="DH80" s="1">
        <f t="shared" si="25"/>
        <v>0</v>
      </c>
      <c r="DI80" s="1">
        <f t="shared" si="25"/>
        <v>237.65624999999994</v>
      </c>
      <c r="DJ80" s="1">
        <f t="shared" si="25"/>
        <v>0</v>
      </c>
      <c r="DK80" s="1">
        <f t="shared" si="25"/>
        <v>284.15624999999994</v>
      </c>
      <c r="DL80" s="25"/>
      <c r="DM80" s="25"/>
      <c r="DN80" s="24"/>
      <c r="DO80" s="25"/>
      <c r="DP80" s="25"/>
      <c r="DQ80" s="25"/>
      <c r="DR80" s="25"/>
      <c r="DS80" s="25"/>
      <c r="DT80" s="25"/>
      <c r="DU80" s="25"/>
      <c r="DV80" s="25"/>
    </row>
    <row r="81" spans="1:126" x14ac:dyDescent="0.25">
      <c r="A81" s="261">
        <v>44409</v>
      </c>
      <c r="B81" s="262">
        <f t="shared" si="18"/>
        <v>2021</v>
      </c>
      <c r="C81" s="262">
        <f t="shared" si="19"/>
        <v>8</v>
      </c>
      <c r="D81" s="263">
        <v>52851836.160633028</v>
      </c>
      <c r="E81" s="263">
        <f>IFERROR(VLOOKUP($B81-1,CDM!$L$7:$T$18,2,FALSE)/12,0)+IFERROR(VLOOKUP($B81,CDM!$L$36:$T$46,2,FALSE)/24,0)+IFERROR(VLOOKUP($B81,CDM!$L$36:$T$46,2,FALSE)/2*$C81/78,0)</f>
        <v>2442882.4170297072</v>
      </c>
      <c r="F81" s="263">
        <f t="shared" si="20"/>
        <v>55294718.577662736</v>
      </c>
      <c r="G81" s="264">
        <v>55241</v>
      </c>
      <c r="H81" s="263">
        <v>11530835.803471135</v>
      </c>
      <c r="I81" s="263">
        <f>IFERROR(VLOOKUP($B81-1,CDM!$L$7:$T$18,3,FALSE)/12,0)+IFERROR(VLOOKUP($B81,CDM!$L$36:$T$46,3,FALSE)/24,0)+IFERROR(VLOOKUP($B81,CDM!$L$36:$T$46,3,FALSE)/2*$C81/78,0)</f>
        <v>561592.94125925924</v>
      </c>
      <c r="J81" s="263">
        <f t="shared" si="21"/>
        <v>12092428.744730394</v>
      </c>
      <c r="K81" s="265">
        <v>4277</v>
      </c>
      <c r="L81" s="4">
        <v>28650378.844364963</v>
      </c>
      <c r="M81" s="266">
        <f>IFERROR(VLOOKUP($B81-1,CDM!$L$7:$T$18,4,FALSE)/12,0)+IFERROR(VLOOKUP($B81,CDM!$L$36:$T$46,4,FALSE)/24,0)+IFERROR(VLOOKUP($B81,CDM!$L$36:$T$46,4,FALSE)/2*$C81/78,0)</f>
        <v>707686.11224212218</v>
      </c>
      <c r="N81" s="263">
        <f t="shared" si="22"/>
        <v>29358064.956607085</v>
      </c>
      <c r="O81" s="4">
        <v>73268.13</v>
      </c>
      <c r="P81" s="265">
        <v>539</v>
      </c>
      <c r="Q81" s="265">
        <v>7499460.5497037359</v>
      </c>
      <c r="R81" s="265">
        <f>IFERROR(VLOOKUP($B81-1,CDM!$L$7:$T$18,5,FALSE)/12,0)+IFERROR(VLOOKUP($B81,CDM!$L$36:$T$46,5,FALSE)/24,0)+IFERROR(VLOOKUP($B81,CDM!$L$36:$T$46,5,FALSE)/2*$C81/78,0)</f>
        <v>866533.12569881335</v>
      </c>
      <c r="S81" s="265">
        <f t="shared" si="32"/>
        <v>8365993.6754025491</v>
      </c>
      <c r="T81" s="265">
        <v>16684.54</v>
      </c>
      <c r="U81" s="265">
        <v>17</v>
      </c>
      <c r="V81" s="265">
        <v>3545099</v>
      </c>
      <c r="W81" s="265">
        <f>IFERROR(VLOOKUP($B81-1,CDM!$L$7:$T$18,6,FALSE)/12,0)+IFERROR(VLOOKUP($B81,CDM!$L$36:$T$46,6,FALSE)/24,0)+IFERROR(VLOOKUP($B81,CDM!$L$36:$T$46,6,FALSE)/2*$C81/78,0)</f>
        <v>26552.046022435643</v>
      </c>
      <c r="X81" s="265">
        <f t="shared" si="33"/>
        <v>3571651.0460224357</v>
      </c>
      <c r="Y81" s="265">
        <v>6362.16</v>
      </c>
      <c r="Z81" s="265">
        <v>1</v>
      </c>
      <c r="AA81" s="4">
        <v>353367.51756721607</v>
      </c>
      <c r="AB81" s="4">
        <v>1026.3665760480756</v>
      </c>
      <c r="AC81" s="265">
        <v>14024</v>
      </c>
      <c r="AD81" s="265">
        <v>2212.1999999999998</v>
      </c>
      <c r="AE81" s="265">
        <v>0</v>
      </c>
      <c r="AF81" s="265">
        <v>19</v>
      </c>
      <c r="AG81" s="4">
        <v>218214</v>
      </c>
      <c r="AH81" s="4">
        <v>252</v>
      </c>
      <c r="AI81" s="28">
        <f>Economic!H83</f>
        <v>817265.5</v>
      </c>
      <c r="AJ81" s="28">
        <f>Economic!I83</f>
        <v>634181.69999999995</v>
      </c>
      <c r="AK81" s="28">
        <f>Economic!J83</f>
        <v>64910</v>
      </c>
      <c r="AL81" s="28">
        <f>Economic!K83</f>
        <v>819564</v>
      </c>
      <c r="AM81" s="28">
        <f>Economic!L83</f>
        <v>639578</v>
      </c>
      <c r="AN81" s="28">
        <f>Economic!M83</f>
        <v>25974</v>
      </c>
      <c r="AO81" s="28">
        <f>Economic!D83</f>
        <v>7400.1</v>
      </c>
      <c r="AP81" s="28">
        <f>Economic!E83</f>
        <v>7475.2</v>
      </c>
      <c r="AQ81" s="28">
        <f>Economic!F83</f>
        <v>208.6</v>
      </c>
      <c r="AR81" s="28">
        <f>Economic!G83</f>
        <v>209.6</v>
      </c>
      <c r="AS81" s="28">
        <f>Economic!N83</f>
        <v>521</v>
      </c>
      <c r="AT81" s="28">
        <f>Economic!O83</f>
        <v>524.30000000000018</v>
      </c>
      <c r="AU81" s="28">
        <f>Economic!P83</f>
        <v>5.9000000000000057</v>
      </c>
      <c r="AV81" s="28">
        <f>Economic!Q83</f>
        <v>4.0999999999999943</v>
      </c>
      <c r="AW81" s="28">
        <f>Economic!R83</f>
        <v>47323.5</v>
      </c>
      <c r="AX81" s="28">
        <f>Economic!S83</f>
        <v>17046</v>
      </c>
      <c r="AY81" s="7">
        <f>Weather!D81</f>
        <v>22.58266129032258</v>
      </c>
      <c r="AZ81" s="7">
        <f>Weather!E81</f>
        <v>8.524999999999995</v>
      </c>
      <c r="BA81" s="7">
        <f>Weather!F81</f>
        <v>88.587499999999991</v>
      </c>
      <c r="BB81" s="7">
        <f>Weather!G81</f>
        <v>0.69166666666666643</v>
      </c>
      <c r="BC81" s="7">
        <f>Weather!H81</f>
        <v>142.75416666666666</v>
      </c>
      <c r="BD81" s="7">
        <f>Weather!I81</f>
        <v>0</v>
      </c>
      <c r="BE81" s="7">
        <f>Weather!J81</f>
        <v>204.06249999999994</v>
      </c>
      <c r="BF81" s="7">
        <f>Weather!K81</f>
        <v>0</v>
      </c>
      <c r="BG81" s="7">
        <f>Weather!L81</f>
        <v>266.0625</v>
      </c>
      <c r="BH81" s="7">
        <f>Weather!M81</f>
        <v>0</v>
      </c>
      <c r="BI81" s="7">
        <f>Weather!N81</f>
        <v>328.06249999999989</v>
      </c>
      <c r="BJ81" s="7">
        <f>Weather!O81</f>
        <v>0</v>
      </c>
      <c r="BK81" s="7">
        <f>Weather!P81</f>
        <v>390.06249999999989</v>
      </c>
      <c r="BL81" s="7">
        <f>Weather!Q81</f>
        <v>0</v>
      </c>
      <c r="BM81" s="7">
        <f>Weather!R81</f>
        <v>452.06249999999989</v>
      </c>
      <c r="BN81" s="1">
        <f t="shared" si="34"/>
        <v>0</v>
      </c>
      <c r="BO81" s="1">
        <f t="shared" si="34"/>
        <v>0</v>
      </c>
      <c r="BP81" s="1">
        <f t="shared" si="34"/>
        <v>0</v>
      </c>
      <c r="BQ81" s="1">
        <f t="shared" si="34"/>
        <v>0</v>
      </c>
      <c r="BR81" s="1">
        <f t="shared" si="34"/>
        <v>0</v>
      </c>
      <c r="BS81" s="1">
        <f t="shared" si="34"/>
        <v>0</v>
      </c>
      <c r="BT81" s="1">
        <f t="shared" si="34"/>
        <v>0</v>
      </c>
      <c r="BU81" s="1">
        <f t="shared" si="34"/>
        <v>1</v>
      </c>
      <c r="BV81" s="1">
        <f t="shared" si="34"/>
        <v>0</v>
      </c>
      <c r="BW81" s="1">
        <f t="shared" si="34"/>
        <v>0</v>
      </c>
      <c r="BX81" s="1">
        <f t="shared" si="34"/>
        <v>0</v>
      </c>
      <c r="BY81" s="1">
        <f t="shared" si="34"/>
        <v>0</v>
      </c>
      <c r="BZ81" s="1">
        <f t="shared" si="34"/>
        <v>0</v>
      </c>
      <c r="CA81" s="1">
        <f t="shared" si="34"/>
        <v>0</v>
      </c>
      <c r="CB81" s="1">
        <f t="shared" si="34"/>
        <v>0</v>
      </c>
      <c r="CC81" s="1">
        <f t="shared" si="23"/>
        <v>80</v>
      </c>
      <c r="CD81" s="1">
        <f t="shared" si="17"/>
        <v>31</v>
      </c>
      <c r="CE81" s="1">
        <v>20</v>
      </c>
      <c r="CF81" s="1">
        <v>1</v>
      </c>
      <c r="CG81" s="1">
        <v>0.5</v>
      </c>
      <c r="CH81" s="1">
        <v>0.75</v>
      </c>
      <c r="CI81" s="1">
        <v>0</v>
      </c>
      <c r="CJ81" s="1">
        <f t="shared" si="30"/>
        <v>4.2624999999999975</v>
      </c>
      <c r="CK81" s="1">
        <f t="shared" si="30"/>
        <v>44.293749999999996</v>
      </c>
      <c r="CL81" s="1">
        <f t="shared" si="30"/>
        <v>0.34583333333333321</v>
      </c>
      <c r="CM81" s="1">
        <f t="shared" si="30"/>
        <v>71.377083333333331</v>
      </c>
      <c r="CN81" s="1">
        <f t="shared" si="30"/>
        <v>0</v>
      </c>
      <c r="CO81" s="1">
        <f t="shared" si="30"/>
        <v>102.03124999999997</v>
      </c>
      <c r="CP81" s="1">
        <f t="shared" si="28"/>
        <v>0</v>
      </c>
      <c r="CQ81" s="1">
        <f t="shared" si="28"/>
        <v>133.03125</v>
      </c>
      <c r="CR81" s="1">
        <f t="shared" si="24"/>
        <v>0</v>
      </c>
      <c r="CS81" s="1">
        <f t="shared" si="24"/>
        <v>164.03124999999994</v>
      </c>
      <c r="CT81" s="1">
        <f t="shared" si="24"/>
        <v>0</v>
      </c>
      <c r="CU81" s="1">
        <f t="shared" si="24"/>
        <v>195.03124999999994</v>
      </c>
      <c r="CV81" s="1">
        <f t="shared" si="24"/>
        <v>0</v>
      </c>
      <c r="CW81" s="1">
        <f t="shared" si="24"/>
        <v>226.03124999999994</v>
      </c>
      <c r="CX81" s="1">
        <f t="shared" si="31"/>
        <v>6.3937499999999963</v>
      </c>
      <c r="CY81" s="1">
        <f t="shared" si="31"/>
        <v>66.440624999999997</v>
      </c>
      <c r="CZ81" s="1">
        <f t="shared" si="31"/>
        <v>0.51874999999999982</v>
      </c>
      <c r="DA81" s="1">
        <f t="shared" si="31"/>
        <v>107.065625</v>
      </c>
      <c r="DB81" s="1">
        <f t="shared" si="31"/>
        <v>0</v>
      </c>
      <c r="DC81" s="1">
        <f t="shared" si="31"/>
        <v>153.04687499999994</v>
      </c>
      <c r="DD81" s="1">
        <f t="shared" si="29"/>
        <v>0</v>
      </c>
      <c r="DE81" s="1">
        <f t="shared" si="29"/>
        <v>199.546875</v>
      </c>
      <c r="DF81" s="1">
        <f t="shared" si="25"/>
        <v>0</v>
      </c>
      <c r="DG81" s="1">
        <f t="shared" si="25"/>
        <v>246.04687499999991</v>
      </c>
      <c r="DH81" s="1">
        <f t="shared" si="25"/>
        <v>0</v>
      </c>
      <c r="DI81" s="1">
        <f t="shared" si="25"/>
        <v>292.54687499999989</v>
      </c>
      <c r="DJ81" s="1">
        <f t="shared" si="25"/>
        <v>0</v>
      </c>
      <c r="DK81" s="1">
        <f t="shared" si="25"/>
        <v>339.04687499999989</v>
      </c>
      <c r="DL81" s="25"/>
      <c r="DM81" s="25"/>
      <c r="DN81" s="24"/>
      <c r="DO81" s="25"/>
      <c r="DP81" s="25"/>
      <c r="DQ81" s="25"/>
      <c r="DR81" s="25"/>
      <c r="DS81" s="25"/>
      <c r="DT81" s="25"/>
      <c r="DU81" s="25"/>
      <c r="DV81" s="25"/>
    </row>
    <row r="82" spans="1:126" x14ac:dyDescent="0.25">
      <c r="A82" s="261">
        <v>44440</v>
      </c>
      <c r="B82" s="262">
        <f t="shared" si="18"/>
        <v>2021</v>
      </c>
      <c r="C82" s="262">
        <f t="shared" si="19"/>
        <v>9</v>
      </c>
      <c r="D82" s="263">
        <v>45399151.967572339</v>
      </c>
      <c r="E82" s="263">
        <f>IFERROR(VLOOKUP($B82-1,CDM!$L$7:$T$18,2,FALSE)/12,0)+IFERROR(VLOOKUP($B82,CDM!$L$36:$T$46,2,FALSE)/24,0)+IFERROR(VLOOKUP($B82,CDM!$L$36:$T$46,2,FALSE)/2*$C82/78,0)</f>
        <v>2443366.6986639402</v>
      </c>
      <c r="F82" s="263">
        <f t="shared" si="20"/>
        <v>47842518.666236281</v>
      </c>
      <c r="G82" s="264">
        <v>55270</v>
      </c>
      <c r="H82" s="263">
        <v>9369627.7703919634</v>
      </c>
      <c r="I82" s="263">
        <f>IFERROR(VLOOKUP($B82-1,CDM!$L$7:$T$18,3,FALSE)/12,0)+IFERROR(VLOOKUP($B82,CDM!$L$36:$T$46,3,FALSE)/24,0)+IFERROR(VLOOKUP($B82,CDM!$L$36:$T$46,3,FALSE)/2*$C82/78,0)</f>
        <v>562476.92854555033</v>
      </c>
      <c r="J82" s="263">
        <f t="shared" si="21"/>
        <v>9932104.6989375129</v>
      </c>
      <c r="K82" s="265">
        <v>4283</v>
      </c>
      <c r="L82" s="4">
        <v>21411469.050524954</v>
      </c>
      <c r="M82" s="266">
        <f>IFERROR(VLOOKUP($B82-1,CDM!$L$7:$T$18,4,FALSE)/12,0)+IFERROR(VLOOKUP($B82,CDM!$L$36:$T$46,4,FALSE)/24,0)+IFERROR(VLOOKUP($B82,CDM!$L$36:$T$46,4,FALSE)/2*$C82/78,0)</f>
        <v>711750.7588414239</v>
      </c>
      <c r="N82" s="263">
        <f t="shared" si="22"/>
        <v>22123219.809366379</v>
      </c>
      <c r="O82" s="4">
        <v>58928.14</v>
      </c>
      <c r="P82" s="265">
        <v>538</v>
      </c>
      <c r="Q82" s="265">
        <v>5541807.9203949142</v>
      </c>
      <c r="R82" s="265">
        <f>IFERROR(VLOOKUP($B82-1,CDM!$L$7:$T$18,5,FALSE)/12,0)+IFERROR(VLOOKUP($B82,CDM!$L$36:$T$46,5,FALSE)/24,0)+IFERROR(VLOOKUP($B82,CDM!$L$36:$T$46,5,FALSE)/2*$C82/78,0)</f>
        <v>867288.66110087815</v>
      </c>
      <c r="S82" s="265">
        <f t="shared" si="32"/>
        <v>6409096.5814957926</v>
      </c>
      <c r="T82" s="265">
        <v>10256.48</v>
      </c>
      <c r="U82" s="265">
        <v>17</v>
      </c>
      <c r="V82" s="265">
        <v>3231896</v>
      </c>
      <c r="W82" s="265">
        <f>IFERROR(VLOOKUP($B82-1,CDM!$L$7:$T$18,6,FALSE)/12,0)+IFERROR(VLOOKUP($B82,CDM!$L$36:$T$46,6,FALSE)/24,0)+IFERROR(VLOOKUP($B82,CDM!$L$36:$T$46,6,FALSE)/2*$C82/78,0)</f>
        <v>26782.79431133925</v>
      </c>
      <c r="X82" s="265">
        <f t="shared" si="33"/>
        <v>3258678.794311339</v>
      </c>
      <c r="Y82" s="265">
        <v>6200.04</v>
      </c>
      <c r="Z82" s="265">
        <v>1</v>
      </c>
      <c r="AA82" s="4">
        <v>353367.51756721607</v>
      </c>
      <c r="AB82" s="4">
        <v>1027.1716268421806</v>
      </c>
      <c r="AC82" s="265">
        <v>14035</v>
      </c>
      <c r="AD82" s="265">
        <v>2285.94</v>
      </c>
      <c r="AE82" s="265">
        <v>0</v>
      </c>
      <c r="AF82" s="265">
        <v>19</v>
      </c>
      <c r="AG82" s="4">
        <v>218476</v>
      </c>
      <c r="AH82" s="4">
        <v>252</v>
      </c>
      <c r="AI82" s="28">
        <f>Economic!H84</f>
        <v>817265.5</v>
      </c>
      <c r="AJ82" s="28">
        <f>Economic!I84</f>
        <v>634181.69999999995</v>
      </c>
      <c r="AK82" s="28">
        <f>Economic!J84</f>
        <v>64910</v>
      </c>
      <c r="AL82" s="28">
        <f>Economic!K84</f>
        <v>819564</v>
      </c>
      <c r="AM82" s="28">
        <f>Economic!L84</f>
        <v>639578</v>
      </c>
      <c r="AN82" s="28">
        <f>Economic!M84</f>
        <v>25974</v>
      </c>
      <c r="AO82" s="28">
        <f>Economic!D84</f>
        <v>7474.5</v>
      </c>
      <c r="AP82" s="28">
        <f>Economic!E84</f>
        <v>7503.2</v>
      </c>
      <c r="AQ82" s="28">
        <f>Economic!F84</f>
        <v>212.9</v>
      </c>
      <c r="AR82" s="28">
        <f>Economic!G84</f>
        <v>211.6</v>
      </c>
      <c r="AS82" s="28">
        <f>Economic!N84</f>
        <v>433.69999999999982</v>
      </c>
      <c r="AT82" s="28">
        <f>Economic!O84</f>
        <v>427.69999999999982</v>
      </c>
      <c r="AU82" s="28">
        <f>Economic!P84</f>
        <v>4.0999999999999943</v>
      </c>
      <c r="AV82" s="28">
        <f>Economic!Q84</f>
        <v>2.5</v>
      </c>
      <c r="AW82" s="28">
        <f>Economic!R84</f>
        <v>47323.5</v>
      </c>
      <c r="AX82" s="28">
        <f>Economic!S84</f>
        <v>17046</v>
      </c>
      <c r="AY82" s="7">
        <f>Weather!D82</f>
        <v>16.975833333333334</v>
      </c>
      <c r="AZ82" s="7">
        <f>Weather!E82</f>
        <v>93.104166666666671</v>
      </c>
      <c r="BA82" s="7">
        <f>Weather!F82</f>
        <v>2.37916666666667</v>
      </c>
      <c r="BB82" s="7">
        <f>Weather!G82</f>
        <v>45.679166666666674</v>
      </c>
      <c r="BC82" s="7">
        <f>Weather!H82</f>
        <v>14.954166666666683</v>
      </c>
      <c r="BD82" s="7">
        <f>Weather!I82</f>
        <v>20.066666666666677</v>
      </c>
      <c r="BE82" s="7">
        <f>Weather!J82</f>
        <v>49.341666666666683</v>
      </c>
      <c r="BF82" s="7">
        <f>Weather!K82</f>
        <v>5.9833333333333432</v>
      </c>
      <c r="BG82" s="7">
        <f>Weather!L82</f>
        <v>95.25833333333334</v>
      </c>
      <c r="BH82" s="7">
        <f>Weather!M82</f>
        <v>0.28333333333333321</v>
      </c>
      <c r="BI82" s="7">
        <f>Weather!N82</f>
        <v>149.55833333333328</v>
      </c>
      <c r="BJ82" s="7">
        <f>Weather!O82</f>
        <v>0</v>
      </c>
      <c r="BK82" s="7">
        <f>Weather!P82</f>
        <v>209.27500000000001</v>
      </c>
      <c r="BL82" s="7">
        <f>Weather!Q82</f>
        <v>0</v>
      </c>
      <c r="BM82" s="7">
        <f>Weather!R82</f>
        <v>269.27499999999998</v>
      </c>
      <c r="BN82" s="1">
        <f t="shared" si="34"/>
        <v>0</v>
      </c>
      <c r="BO82" s="1">
        <f t="shared" si="34"/>
        <v>0</v>
      </c>
      <c r="BP82" s="1">
        <f t="shared" si="34"/>
        <v>0</v>
      </c>
      <c r="BQ82" s="1">
        <f t="shared" si="34"/>
        <v>0</v>
      </c>
      <c r="BR82" s="1">
        <f t="shared" si="34"/>
        <v>0</v>
      </c>
      <c r="BS82" s="1">
        <f t="shared" si="34"/>
        <v>0</v>
      </c>
      <c r="BT82" s="1">
        <f t="shared" si="34"/>
        <v>0</v>
      </c>
      <c r="BU82" s="1">
        <f t="shared" si="34"/>
        <v>0</v>
      </c>
      <c r="BV82" s="1">
        <f t="shared" si="34"/>
        <v>1</v>
      </c>
      <c r="BW82" s="1">
        <f t="shared" si="34"/>
        <v>0</v>
      </c>
      <c r="BX82" s="1">
        <f t="shared" si="34"/>
        <v>0</v>
      </c>
      <c r="BY82" s="1">
        <f t="shared" si="34"/>
        <v>0</v>
      </c>
      <c r="BZ82" s="1">
        <f t="shared" si="34"/>
        <v>0</v>
      </c>
      <c r="CA82" s="1">
        <f t="shared" si="34"/>
        <v>1</v>
      </c>
      <c r="CB82" s="1">
        <f t="shared" si="34"/>
        <v>1</v>
      </c>
      <c r="CC82" s="1">
        <f t="shared" si="23"/>
        <v>81</v>
      </c>
      <c r="CD82" s="1">
        <f t="shared" si="17"/>
        <v>30</v>
      </c>
      <c r="CE82" s="1">
        <v>20</v>
      </c>
      <c r="CF82" s="1">
        <v>1</v>
      </c>
      <c r="CG82" s="1">
        <v>0.5</v>
      </c>
      <c r="CH82" s="1">
        <v>0.75</v>
      </c>
      <c r="CI82" s="1">
        <v>0</v>
      </c>
      <c r="CJ82" s="1">
        <f t="shared" si="30"/>
        <v>46.552083333333336</v>
      </c>
      <c r="CK82" s="1">
        <f t="shared" si="30"/>
        <v>1.189583333333335</v>
      </c>
      <c r="CL82" s="1">
        <f t="shared" si="30"/>
        <v>22.839583333333337</v>
      </c>
      <c r="CM82" s="1">
        <f t="shared" si="30"/>
        <v>7.4770833333333417</v>
      </c>
      <c r="CN82" s="1">
        <f t="shared" si="30"/>
        <v>10.033333333333339</v>
      </c>
      <c r="CO82" s="1">
        <f t="shared" si="30"/>
        <v>24.670833333333341</v>
      </c>
      <c r="CP82" s="1">
        <f t="shared" si="28"/>
        <v>2.9916666666666716</v>
      </c>
      <c r="CQ82" s="1">
        <f t="shared" si="28"/>
        <v>47.62916666666667</v>
      </c>
      <c r="CR82" s="1">
        <f t="shared" si="24"/>
        <v>0.14166666666666661</v>
      </c>
      <c r="CS82" s="1">
        <f t="shared" si="24"/>
        <v>74.77916666666664</v>
      </c>
      <c r="CT82" s="1">
        <f t="shared" si="24"/>
        <v>0</v>
      </c>
      <c r="CU82" s="1">
        <f t="shared" si="24"/>
        <v>104.6375</v>
      </c>
      <c r="CV82" s="1">
        <f t="shared" si="24"/>
        <v>0</v>
      </c>
      <c r="CW82" s="1">
        <f t="shared" si="24"/>
        <v>134.63749999999999</v>
      </c>
      <c r="CX82" s="1">
        <f t="shared" si="31"/>
        <v>69.828125</v>
      </c>
      <c r="CY82" s="1">
        <f t="shared" si="31"/>
        <v>1.7843750000000025</v>
      </c>
      <c r="CZ82" s="1">
        <f t="shared" si="31"/>
        <v>34.259375000000006</v>
      </c>
      <c r="DA82" s="1">
        <f t="shared" si="31"/>
        <v>11.215625000000014</v>
      </c>
      <c r="DB82" s="1">
        <f t="shared" si="31"/>
        <v>15.050000000000008</v>
      </c>
      <c r="DC82" s="1">
        <f t="shared" si="31"/>
        <v>37.006250000000009</v>
      </c>
      <c r="DD82" s="1">
        <f t="shared" si="29"/>
        <v>4.4875000000000078</v>
      </c>
      <c r="DE82" s="1">
        <f t="shared" si="29"/>
        <v>71.443750000000009</v>
      </c>
      <c r="DF82" s="1">
        <f t="shared" si="25"/>
        <v>0.21249999999999991</v>
      </c>
      <c r="DG82" s="1">
        <f t="shared" si="25"/>
        <v>112.16874999999996</v>
      </c>
      <c r="DH82" s="1">
        <f t="shared" si="25"/>
        <v>0</v>
      </c>
      <c r="DI82" s="1">
        <f t="shared" si="25"/>
        <v>156.95625000000001</v>
      </c>
      <c r="DJ82" s="1">
        <f t="shared" si="25"/>
        <v>0</v>
      </c>
      <c r="DK82" s="1">
        <f t="shared" si="25"/>
        <v>201.95624999999998</v>
      </c>
      <c r="DL82" s="25"/>
      <c r="DM82" s="25"/>
      <c r="DN82" s="24"/>
      <c r="DO82" s="25"/>
      <c r="DP82" s="25"/>
      <c r="DQ82" s="25"/>
      <c r="DR82" s="25"/>
      <c r="DS82" s="25"/>
      <c r="DT82" s="25"/>
      <c r="DU82" s="25"/>
      <c r="DV82" s="25"/>
    </row>
    <row r="83" spans="1:126" x14ac:dyDescent="0.25">
      <c r="A83" s="261">
        <v>44470</v>
      </c>
      <c r="B83" s="262">
        <f t="shared" si="18"/>
        <v>2021</v>
      </c>
      <c r="C83" s="262">
        <f t="shared" si="19"/>
        <v>10</v>
      </c>
      <c r="D83" s="263">
        <v>34380551.359517463</v>
      </c>
      <c r="E83" s="263">
        <f>IFERROR(VLOOKUP($B83-1,CDM!$L$7:$T$18,2,FALSE)/12,0)+IFERROR(VLOOKUP($B83,CDM!$L$36:$T$46,2,FALSE)/24,0)+IFERROR(VLOOKUP($B83,CDM!$L$36:$T$46,2,FALSE)/2*$C83/78,0)</f>
        <v>2443850.9802981727</v>
      </c>
      <c r="F83" s="263">
        <f t="shared" si="20"/>
        <v>36824402.339815632</v>
      </c>
      <c r="G83" s="264">
        <v>55179</v>
      </c>
      <c r="H83" s="263">
        <v>9055184.2546245717</v>
      </c>
      <c r="I83" s="263">
        <f>IFERROR(VLOOKUP($B83-1,CDM!$L$7:$T$18,3,FALSE)/12,0)+IFERROR(VLOOKUP($B83,CDM!$L$36:$T$46,3,FALSE)/24,0)+IFERROR(VLOOKUP($B83,CDM!$L$36:$T$46,3,FALSE)/2*$C83/78,0)</f>
        <v>563360.9158318413</v>
      </c>
      <c r="J83" s="263">
        <f t="shared" si="21"/>
        <v>9618545.1704564132</v>
      </c>
      <c r="K83" s="265">
        <v>4282</v>
      </c>
      <c r="L83" s="4">
        <v>25810496.735273238</v>
      </c>
      <c r="M83" s="266">
        <f>IFERROR(VLOOKUP($B83-1,CDM!$L$7:$T$18,4,FALSE)/12,0)+IFERROR(VLOOKUP($B83,CDM!$L$36:$T$46,4,FALSE)/24,0)+IFERROR(VLOOKUP($B83,CDM!$L$36:$T$46,4,FALSE)/2*$C83/78,0)</f>
        <v>715815.40544072562</v>
      </c>
      <c r="N83" s="263">
        <f t="shared" si="22"/>
        <v>26526312.140713964</v>
      </c>
      <c r="O83" s="4">
        <v>68363.69</v>
      </c>
      <c r="P83" s="265">
        <v>540</v>
      </c>
      <c r="Q83" s="265">
        <v>6021058.876073407</v>
      </c>
      <c r="R83" s="265">
        <f>IFERROR(VLOOKUP($B83-1,CDM!$L$7:$T$18,5,FALSE)/12,0)+IFERROR(VLOOKUP($B83,CDM!$L$36:$T$46,5,FALSE)/24,0)+IFERROR(VLOOKUP($B83,CDM!$L$36:$T$46,5,FALSE)/2*$C83/78,0)</f>
        <v>868044.19650294294</v>
      </c>
      <c r="S83" s="265">
        <f t="shared" si="32"/>
        <v>6889103.0725763496</v>
      </c>
      <c r="T83" s="265">
        <v>16547.82</v>
      </c>
      <c r="U83" s="265">
        <v>17</v>
      </c>
      <c r="V83" s="265">
        <v>3100549</v>
      </c>
      <c r="W83" s="265">
        <f>IFERROR(VLOOKUP($B83-1,CDM!$L$7:$T$18,6,FALSE)/12,0)+IFERROR(VLOOKUP($B83,CDM!$L$36:$T$46,6,FALSE)/24,0)+IFERROR(VLOOKUP($B83,CDM!$L$36:$T$46,6,FALSE)/2*$C83/78,0)</f>
        <v>27013.542600242858</v>
      </c>
      <c r="X83" s="265">
        <f t="shared" si="33"/>
        <v>3127562.5426002429</v>
      </c>
      <c r="Y83" s="265">
        <v>6759.48</v>
      </c>
      <c r="Z83" s="265">
        <v>1</v>
      </c>
      <c r="AA83" s="4">
        <v>353367.51756721607</v>
      </c>
      <c r="AB83" s="4">
        <v>1031.7091858634997</v>
      </c>
      <c r="AC83" s="265">
        <v>14097</v>
      </c>
      <c r="AD83" s="265">
        <v>2212.1999999999998</v>
      </c>
      <c r="AE83" s="265">
        <v>0</v>
      </c>
      <c r="AF83" s="265">
        <v>19</v>
      </c>
      <c r="AG83" s="4">
        <v>221773</v>
      </c>
      <c r="AH83" s="4">
        <v>252</v>
      </c>
      <c r="AI83" s="28">
        <f>Economic!H85</f>
        <v>817265.5</v>
      </c>
      <c r="AJ83" s="28">
        <f>Economic!I85</f>
        <v>634181.69999999995</v>
      </c>
      <c r="AK83" s="28">
        <f>Economic!J85</f>
        <v>64910</v>
      </c>
      <c r="AL83" s="28">
        <f>Economic!K85</f>
        <v>838397</v>
      </c>
      <c r="AM83" s="28">
        <f>Economic!L85</f>
        <v>654360</v>
      </c>
      <c r="AN83" s="28">
        <f>Economic!M85</f>
        <v>27605</v>
      </c>
      <c r="AO83" s="28">
        <f>Economic!D85</f>
        <v>7529.4</v>
      </c>
      <c r="AP83" s="28">
        <f>Economic!E85</f>
        <v>7538.5</v>
      </c>
      <c r="AQ83" s="28">
        <f>Economic!F85</f>
        <v>217.2</v>
      </c>
      <c r="AR83" s="28">
        <f>Economic!G85</f>
        <v>214.5</v>
      </c>
      <c r="AS83" s="28">
        <f>Economic!N85</f>
        <v>370.29999999999927</v>
      </c>
      <c r="AT83" s="28">
        <f>Economic!O85</f>
        <v>354.39999999999964</v>
      </c>
      <c r="AU83" s="28">
        <f>Economic!P85</f>
        <v>3.8999999999999773</v>
      </c>
      <c r="AV83" s="28">
        <f>Economic!Q85</f>
        <v>2.5</v>
      </c>
      <c r="AW83" s="28">
        <f>Economic!R85</f>
        <v>47323.5</v>
      </c>
      <c r="AX83" s="28">
        <f>Economic!S85</f>
        <v>18833</v>
      </c>
      <c r="AY83" s="7">
        <f>Weather!D83</f>
        <v>13.09072580645161</v>
      </c>
      <c r="AZ83" s="7">
        <f>Weather!E83</f>
        <v>214.18749999999994</v>
      </c>
      <c r="BA83" s="7">
        <f>Weather!F83</f>
        <v>0</v>
      </c>
      <c r="BB83" s="7">
        <f>Weather!G83</f>
        <v>153.47499999999997</v>
      </c>
      <c r="BC83" s="7">
        <f>Weather!H83</f>
        <v>1.2875000000000014</v>
      </c>
      <c r="BD83" s="7">
        <f>Weather!I83</f>
        <v>108.43333333333334</v>
      </c>
      <c r="BE83" s="7">
        <f>Weather!J83</f>
        <v>18.245833333333344</v>
      </c>
      <c r="BF83" s="7">
        <f>Weather!K83</f>
        <v>72.749999999999986</v>
      </c>
      <c r="BG83" s="7">
        <f>Weather!L83</f>
        <v>44.562500000000028</v>
      </c>
      <c r="BH83" s="7">
        <f>Weather!M83</f>
        <v>44.166666666666664</v>
      </c>
      <c r="BI83" s="7">
        <f>Weather!N83</f>
        <v>77.979166666666686</v>
      </c>
      <c r="BJ83" s="7">
        <f>Weather!O83</f>
        <v>22.266666666666666</v>
      </c>
      <c r="BK83" s="7">
        <f>Weather!P83</f>
        <v>118.07916666666668</v>
      </c>
      <c r="BL83" s="7">
        <f>Weather!Q83</f>
        <v>6.6666666666666643</v>
      </c>
      <c r="BM83" s="7">
        <f>Weather!R83</f>
        <v>164.47916666666669</v>
      </c>
      <c r="BN83" s="1">
        <f t="shared" si="34"/>
        <v>0</v>
      </c>
      <c r="BO83" s="1">
        <f t="shared" si="34"/>
        <v>0</v>
      </c>
      <c r="BP83" s="1">
        <f t="shared" si="34"/>
        <v>0</v>
      </c>
      <c r="BQ83" s="1">
        <f t="shared" si="34"/>
        <v>0</v>
      </c>
      <c r="BR83" s="1">
        <f t="shared" si="34"/>
        <v>0</v>
      </c>
      <c r="BS83" s="1">
        <f t="shared" si="34"/>
        <v>0</v>
      </c>
      <c r="BT83" s="1">
        <f t="shared" si="34"/>
        <v>0</v>
      </c>
      <c r="BU83" s="1">
        <f t="shared" si="34"/>
        <v>0</v>
      </c>
      <c r="BV83" s="1">
        <f t="shared" si="34"/>
        <v>0</v>
      </c>
      <c r="BW83" s="1">
        <f t="shared" si="34"/>
        <v>1</v>
      </c>
      <c r="BX83" s="1">
        <f t="shared" si="34"/>
        <v>0</v>
      </c>
      <c r="BY83" s="1">
        <f t="shared" si="34"/>
        <v>0</v>
      </c>
      <c r="BZ83" s="1">
        <f t="shared" si="34"/>
        <v>0</v>
      </c>
      <c r="CA83" s="1">
        <f t="shared" si="34"/>
        <v>1</v>
      </c>
      <c r="CB83" s="1">
        <f t="shared" si="34"/>
        <v>1</v>
      </c>
      <c r="CC83" s="1">
        <f t="shared" si="23"/>
        <v>82</v>
      </c>
      <c r="CD83" s="1">
        <f t="shared" si="17"/>
        <v>31</v>
      </c>
      <c r="CE83" s="1">
        <v>20</v>
      </c>
      <c r="CF83" s="1">
        <v>1</v>
      </c>
      <c r="CG83" s="1">
        <v>0.5</v>
      </c>
      <c r="CH83" s="1">
        <v>0.75</v>
      </c>
      <c r="CI83" s="1">
        <v>0</v>
      </c>
      <c r="CJ83" s="1">
        <f t="shared" si="30"/>
        <v>107.09374999999997</v>
      </c>
      <c r="CK83" s="1">
        <f t="shared" si="30"/>
        <v>0</v>
      </c>
      <c r="CL83" s="1">
        <f t="shared" si="30"/>
        <v>76.737499999999983</v>
      </c>
      <c r="CM83" s="1">
        <f t="shared" si="30"/>
        <v>0.64375000000000071</v>
      </c>
      <c r="CN83" s="1">
        <f t="shared" si="30"/>
        <v>54.216666666666669</v>
      </c>
      <c r="CO83" s="1">
        <f t="shared" si="30"/>
        <v>9.1229166666666721</v>
      </c>
      <c r="CP83" s="1">
        <f t="shared" si="28"/>
        <v>36.374999999999993</v>
      </c>
      <c r="CQ83" s="1">
        <f t="shared" si="28"/>
        <v>22.281250000000014</v>
      </c>
      <c r="CR83" s="1">
        <f t="shared" si="24"/>
        <v>22.083333333333332</v>
      </c>
      <c r="CS83" s="1">
        <f t="shared" si="24"/>
        <v>38.989583333333343</v>
      </c>
      <c r="CT83" s="1">
        <f t="shared" si="24"/>
        <v>11.133333333333333</v>
      </c>
      <c r="CU83" s="1">
        <f t="shared" si="24"/>
        <v>59.03958333333334</v>
      </c>
      <c r="CV83" s="1">
        <f t="shared" si="24"/>
        <v>3.3333333333333321</v>
      </c>
      <c r="CW83" s="1">
        <f t="shared" si="24"/>
        <v>82.239583333333343</v>
      </c>
      <c r="CX83" s="1">
        <f t="shared" si="31"/>
        <v>160.64062499999994</v>
      </c>
      <c r="CY83" s="1">
        <f t="shared" si="31"/>
        <v>0</v>
      </c>
      <c r="CZ83" s="1">
        <f t="shared" si="31"/>
        <v>115.10624999999997</v>
      </c>
      <c r="DA83" s="1">
        <f t="shared" si="31"/>
        <v>0.96562500000000107</v>
      </c>
      <c r="DB83" s="1">
        <f t="shared" si="31"/>
        <v>81.325000000000003</v>
      </c>
      <c r="DC83" s="1">
        <f t="shared" si="31"/>
        <v>13.684375000000008</v>
      </c>
      <c r="DD83" s="1">
        <f t="shared" si="29"/>
        <v>54.562499999999986</v>
      </c>
      <c r="DE83" s="1">
        <f t="shared" si="29"/>
        <v>33.421875000000021</v>
      </c>
      <c r="DF83" s="1">
        <f t="shared" si="25"/>
        <v>33.125</v>
      </c>
      <c r="DG83" s="1">
        <f t="shared" si="25"/>
        <v>58.484375000000014</v>
      </c>
      <c r="DH83" s="1">
        <f t="shared" si="25"/>
        <v>16.7</v>
      </c>
      <c r="DI83" s="1">
        <f t="shared" si="25"/>
        <v>88.559375000000017</v>
      </c>
      <c r="DJ83" s="1">
        <f t="shared" si="25"/>
        <v>4.9999999999999982</v>
      </c>
      <c r="DK83" s="1">
        <f t="shared" si="25"/>
        <v>123.35937500000001</v>
      </c>
      <c r="DL83" s="25"/>
      <c r="DM83" s="25"/>
      <c r="DN83" s="24"/>
      <c r="DO83" s="25"/>
      <c r="DP83" s="25"/>
      <c r="DQ83" s="25"/>
      <c r="DR83" s="25"/>
      <c r="DS83" s="25"/>
      <c r="DT83" s="25"/>
      <c r="DU83" s="25"/>
      <c r="DV83" s="25"/>
    </row>
    <row r="84" spans="1:126" x14ac:dyDescent="0.25">
      <c r="A84" s="261">
        <v>44501</v>
      </c>
      <c r="B84" s="262">
        <f t="shared" si="18"/>
        <v>2021</v>
      </c>
      <c r="C84" s="262">
        <f t="shared" si="19"/>
        <v>11</v>
      </c>
      <c r="D84" s="263">
        <v>37052967.813340038</v>
      </c>
      <c r="E84" s="263">
        <f>IFERROR(VLOOKUP($B84-1,CDM!$L$7:$T$18,2,FALSE)/12,0)+IFERROR(VLOOKUP($B84,CDM!$L$36:$T$46,2,FALSE)/24,0)+IFERROR(VLOOKUP($B84,CDM!$L$36:$T$46,2,FALSE)/2*$C84/78,0)</f>
        <v>2444335.2619324056</v>
      </c>
      <c r="F84" s="263">
        <f t="shared" si="20"/>
        <v>39497303.075272441</v>
      </c>
      <c r="G84" s="264">
        <v>55335</v>
      </c>
      <c r="H84" s="263">
        <v>9745018.3857941125</v>
      </c>
      <c r="I84" s="263">
        <f>IFERROR(VLOOKUP($B84-1,CDM!$L$7:$T$18,3,FALSE)/12,0)+IFERROR(VLOOKUP($B84,CDM!$L$36:$T$46,3,FALSE)/24,0)+IFERROR(VLOOKUP($B84,CDM!$L$36:$T$46,3,FALSE)/2*$C84/78,0)</f>
        <v>564244.90311813238</v>
      </c>
      <c r="J84" s="263">
        <f t="shared" si="21"/>
        <v>10309263.288912244</v>
      </c>
      <c r="K84" s="265">
        <v>4281</v>
      </c>
      <c r="L84" s="4">
        <v>25476310.197115671</v>
      </c>
      <c r="M84" s="266">
        <f>IFERROR(VLOOKUP($B84-1,CDM!$L$7:$T$18,4,FALSE)/12,0)+IFERROR(VLOOKUP($B84,CDM!$L$36:$T$46,4,FALSE)/24,0)+IFERROR(VLOOKUP($B84,CDM!$L$36:$T$46,4,FALSE)/2*$C84/78,0)</f>
        <v>719880.05204002734</v>
      </c>
      <c r="N84" s="263">
        <f t="shared" si="22"/>
        <v>26196190.249155696</v>
      </c>
      <c r="O84" s="4">
        <v>65222.960000000006</v>
      </c>
      <c r="P84" s="265">
        <v>541</v>
      </c>
      <c r="Q84" s="265">
        <v>5875535.9540332556</v>
      </c>
      <c r="R84" s="265">
        <f>IFERROR(VLOOKUP($B84-1,CDM!$L$7:$T$18,5,FALSE)/12,0)+IFERROR(VLOOKUP($B84,CDM!$L$36:$T$46,5,FALSE)/24,0)+IFERROR(VLOOKUP($B84,CDM!$L$36:$T$46,5,FALSE)/2*$C84/78,0)</f>
        <v>868799.73190500773</v>
      </c>
      <c r="S84" s="265">
        <f t="shared" si="32"/>
        <v>6744335.6859382633</v>
      </c>
      <c r="T84" s="265">
        <v>17447.34</v>
      </c>
      <c r="U84" s="265">
        <v>17</v>
      </c>
      <c r="V84" s="265">
        <v>3042708</v>
      </c>
      <c r="W84" s="265">
        <f>IFERROR(VLOOKUP($B84-1,CDM!$L$7:$T$18,6,FALSE)/12,0)+IFERROR(VLOOKUP($B84,CDM!$L$36:$T$46,6,FALSE)/24,0)+IFERROR(VLOOKUP($B84,CDM!$L$36:$T$46,6,FALSE)/2*$C84/78,0)</f>
        <v>27244.290889146465</v>
      </c>
      <c r="X84" s="265">
        <f t="shared" si="33"/>
        <v>3069952.2908891463</v>
      </c>
      <c r="Y84" s="265">
        <v>5826.24</v>
      </c>
      <c r="Z84" s="265">
        <v>1</v>
      </c>
      <c r="AA84" s="4">
        <v>353367.51756721607</v>
      </c>
      <c r="AB84" s="4">
        <v>1031.5377385892118</v>
      </c>
      <c r="AC84" s="265">
        <v>14097</v>
      </c>
      <c r="AD84" s="265">
        <v>2285.94</v>
      </c>
      <c r="AE84" s="265">
        <v>0</v>
      </c>
      <c r="AF84" s="265">
        <v>19</v>
      </c>
      <c r="AG84" s="4">
        <v>221773</v>
      </c>
      <c r="AH84" s="4">
        <v>252</v>
      </c>
      <c r="AI84" s="28">
        <f>Economic!H86</f>
        <v>817265.5</v>
      </c>
      <c r="AJ84" s="28">
        <f>Economic!I86</f>
        <v>634181.69999999995</v>
      </c>
      <c r="AK84" s="28">
        <f>Economic!J86</f>
        <v>64910</v>
      </c>
      <c r="AL84" s="28">
        <f>Economic!K86</f>
        <v>838397</v>
      </c>
      <c r="AM84" s="28">
        <f>Economic!L86</f>
        <v>654360</v>
      </c>
      <c r="AN84" s="28">
        <f>Economic!M86</f>
        <v>27605</v>
      </c>
      <c r="AO84" s="28">
        <f>Economic!D86</f>
        <v>7592</v>
      </c>
      <c r="AP84" s="28">
        <f>Economic!E86</f>
        <v>7590.1</v>
      </c>
      <c r="AQ84" s="28">
        <f>Economic!F86</f>
        <v>222.6</v>
      </c>
      <c r="AR84" s="28">
        <f>Economic!G86</f>
        <v>220.2</v>
      </c>
      <c r="AS84" s="28">
        <f>Economic!N86</f>
        <v>349.5</v>
      </c>
      <c r="AT84" s="28">
        <f>Economic!O86</f>
        <v>334.90000000000055</v>
      </c>
      <c r="AU84" s="28">
        <f>Economic!P86</f>
        <v>8.4000000000000057</v>
      </c>
      <c r="AV84" s="28">
        <f>Economic!Q86</f>
        <v>8.5999999999999943</v>
      </c>
      <c r="AW84" s="28">
        <f>Economic!R86</f>
        <v>47323.5</v>
      </c>
      <c r="AX84" s="28">
        <f>Economic!S86</f>
        <v>18833</v>
      </c>
      <c r="AY84" s="7">
        <f>Weather!D84</f>
        <v>3.122913216011042</v>
      </c>
      <c r="AZ84" s="7">
        <f>Weather!E84</f>
        <v>506.31260351966881</v>
      </c>
      <c r="BA84" s="7">
        <f>Weather!F84</f>
        <v>0</v>
      </c>
      <c r="BB84" s="7">
        <f>Weather!G84</f>
        <v>446.3126035196687</v>
      </c>
      <c r="BC84" s="7">
        <f>Weather!H84</f>
        <v>0</v>
      </c>
      <c r="BD84" s="7">
        <f>Weather!I84</f>
        <v>386.3126035196687</v>
      </c>
      <c r="BE84" s="7">
        <f>Weather!J84</f>
        <v>0</v>
      </c>
      <c r="BF84" s="7">
        <f>Weather!K84</f>
        <v>326.31260351966864</v>
      </c>
      <c r="BG84" s="7">
        <f>Weather!L84</f>
        <v>0</v>
      </c>
      <c r="BH84" s="7">
        <f>Weather!M84</f>
        <v>266.31260351966876</v>
      </c>
      <c r="BI84" s="7">
        <f>Weather!N84</f>
        <v>0</v>
      </c>
      <c r="BJ84" s="7">
        <f>Weather!O84</f>
        <v>206.31260351966876</v>
      </c>
      <c r="BK84" s="7">
        <f>Weather!P84</f>
        <v>0</v>
      </c>
      <c r="BL84" s="7">
        <f>Weather!Q84</f>
        <v>148.50427018633536</v>
      </c>
      <c r="BM84" s="7">
        <f>Weather!R84</f>
        <v>2.1916666666666682</v>
      </c>
      <c r="BN84" s="1">
        <f t="shared" si="34"/>
        <v>0</v>
      </c>
      <c r="BO84" s="1">
        <f t="shared" si="34"/>
        <v>0</v>
      </c>
      <c r="BP84" s="1">
        <f t="shared" si="34"/>
        <v>0</v>
      </c>
      <c r="BQ84" s="1">
        <f t="shared" si="34"/>
        <v>0</v>
      </c>
      <c r="BR84" s="1">
        <f t="shared" si="34"/>
        <v>0</v>
      </c>
      <c r="BS84" s="1">
        <f t="shared" si="34"/>
        <v>0</v>
      </c>
      <c r="BT84" s="1">
        <f t="shared" si="34"/>
        <v>0</v>
      </c>
      <c r="BU84" s="1">
        <f t="shared" si="34"/>
        <v>0</v>
      </c>
      <c r="BV84" s="1">
        <f t="shared" si="34"/>
        <v>0</v>
      </c>
      <c r="BW84" s="1">
        <f t="shared" si="34"/>
        <v>0</v>
      </c>
      <c r="BX84" s="1">
        <f t="shared" si="34"/>
        <v>1</v>
      </c>
      <c r="BY84" s="1">
        <f t="shared" si="34"/>
        <v>0</v>
      </c>
      <c r="BZ84" s="1">
        <f t="shared" si="34"/>
        <v>0</v>
      </c>
      <c r="CA84" s="1">
        <f t="shared" si="34"/>
        <v>1</v>
      </c>
      <c r="CB84" s="1">
        <f t="shared" si="34"/>
        <v>1</v>
      </c>
      <c r="CC84" s="1">
        <f t="shared" si="23"/>
        <v>83</v>
      </c>
      <c r="CD84" s="1">
        <f t="shared" si="17"/>
        <v>30</v>
      </c>
      <c r="CE84" s="1">
        <v>22</v>
      </c>
      <c r="CF84" s="1">
        <v>1</v>
      </c>
      <c r="CG84" s="1">
        <v>0.5</v>
      </c>
      <c r="CH84" s="1">
        <v>0.75</v>
      </c>
      <c r="CI84" s="1">
        <v>0</v>
      </c>
      <c r="CJ84" s="1">
        <f t="shared" si="30"/>
        <v>253.15630175983441</v>
      </c>
      <c r="CK84" s="1">
        <f t="shared" si="30"/>
        <v>0</v>
      </c>
      <c r="CL84" s="1">
        <f t="shared" si="30"/>
        <v>223.15630175983435</v>
      </c>
      <c r="CM84" s="1">
        <f t="shared" si="30"/>
        <v>0</v>
      </c>
      <c r="CN84" s="1">
        <f t="shared" si="30"/>
        <v>193.15630175983435</v>
      </c>
      <c r="CO84" s="1">
        <f t="shared" si="30"/>
        <v>0</v>
      </c>
      <c r="CP84" s="1">
        <f t="shared" si="28"/>
        <v>163.15630175983432</v>
      </c>
      <c r="CQ84" s="1">
        <f t="shared" si="28"/>
        <v>0</v>
      </c>
      <c r="CR84" s="1">
        <f t="shared" si="24"/>
        <v>133.15630175983438</v>
      </c>
      <c r="CS84" s="1">
        <f t="shared" si="24"/>
        <v>0</v>
      </c>
      <c r="CT84" s="1">
        <f t="shared" si="24"/>
        <v>103.15630175983438</v>
      </c>
      <c r="CU84" s="1">
        <f t="shared" si="24"/>
        <v>0</v>
      </c>
      <c r="CV84" s="1">
        <f t="shared" si="24"/>
        <v>74.252135093167681</v>
      </c>
      <c r="CW84" s="1">
        <f t="shared" si="24"/>
        <v>1.0958333333333341</v>
      </c>
      <c r="CX84" s="1">
        <f t="shared" si="31"/>
        <v>379.73445263975162</v>
      </c>
      <c r="CY84" s="1">
        <f t="shared" si="31"/>
        <v>0</v>
      </c>
      <c r="CZ84" s="1">
        <f t="shared" si="31"/>
        <v>334.73445263975151</v>
      </c>
      <c r="DA84" s="1">
        <f t="shared" si="31"/>
        <v>0</v>
      </c>
      <c r="DB84" s="1">
        <f t="shared" si="31"/>
        <v>289.73445263975151</v>
      </c>
      <c r="DC84" s="1">
        <f t="shared" si="31"/>
        <v>0</v>
      </c>
      <c r="DD84" s="1">
        <f t="shared" si="29"/>
        <v>244.73445263975148</v>
      </c>
      <c r="DE84" s="1">
        <f t="shared" si="29"/>
        <v>0</v>
      </c>
      <c r="DF84" s="1">
        <f t="shared" si="25"/>
        <v>199.73445263975157</v>
      </c>
      <c r="DG84" s="1">
        <f t="shared" si="25"/>
        <v>0</v>
      </c>
      <c r="DH84" s="1">
        <f t="shared" si="25"/>
        <v>154.73445263975157</v>
      </c>
      <c r="DI84" s="1">
        <f t="shared" si="25"/>
        <v>0</v>
      </c>
      <c r="DJ84" s="1">
        <f t="shared" si="25"/>
        <v>111.37820263975152</v>
      </c>
      <c r="DK84" s="1">
        <f t="shared" si="25"/>
        <v>1.6437500000000012</v>
      </c>
      <c r="DL84" s="25"/>
      <c r="DM84" s="25"/>
      <c r="DN84" s="24"/>
      <c r="DO84" s="25"/>
      <c r="DP84" s="25"/>
      <c r="DQ84" s="25"/>
      <c r="DR84" s="25"/>
      <c r="DS84" s="25"/>
      <c r="DT84" s="25"/>
      <c r="DU84" s="25"/>
      <c r="DV84" s="25"/>
    </row>
    <row r="85" spans="1:126" x14ac:dyDescent="0.25">
      <c r="A85" s="261">
        <v>44531</v>
      </c>
      <c r="B85" s="262">
        <f t="shared" si="18"/>
        <v>2021</v>
      </c>
      <c r="C85" s="262">
        <f t="shared" si="19"/>
        <v>12</v>
      </c>
      <c r="D85" s="263">
        <v>43225591.318129383</v>
      </c>
      <c r="E85" s="263">
        <f>IFERROR(VLOOKUP($B85-1,CDM!$L$7:$T$18,2,FALSE)/12,0)+IFERROR(VLOOKUP($B85,CDM!$L$36:$T$46,2,FALSE)/24,0)+IFERROR(VLOOKUP($B85,CDM!$L$36:$T$46,2,FALSE)/2*$C85/78,0)</f>
        <v>2444819.5435666381</v>
      </c>
      <c r="F85" s="263">
        <f t="shared" si="20"/>
        <v>45670410.86169602</v>
      </c>
      <c r="G85" s="264">
        <v>55351</v>
      </c>
      <c r="H85" s="263">
        <v>11501159.104378408</v>
      </c>
      <c r="I85" s="263">
        <f>IFERROR(VLOOKUP($B85-1,CDM!$L$7:$T$18,3,FALSE)/12,0)+IFERROR(VLOOKUP($B85,CDM!$L$36:$T$46,3,FALSE)/24,0)+IFERROR(VLOOKUP($B85,CDM!$L$36:$T$46,3,FALSE)/2*$C85/78,0)</f>
        <v>565128.89040442347</v>
      </c>
      <c r="J85" s="263">
        <f t="shared" si="21"/>
        <v>12066287.994782832</v>
      </c>
      <c r="K85" s="265">
        <v>4277</v>
      </c>
      <c r="L85" s="4">
        <v>30406574.766805757</v>
      </c>
      <c r="M85" s="266">
        <f>IFERROR(VLOOKUP($B85-1,CDM!$L$7:$T$18,4,FALSE)/12,0)+IFERROR(VLOOKUP($B85,CDM!$L$36:$T$46,4,FALSE)/24,0)+IFERROR(VLOOKUP($B85,CDM!$L$36:$T$46,4,FALSE)/2*$C85/78,0)</f>
        <v>723944.69863932906</v>
      </c>
      <c r="N85" s="263">
        <f t="shared" si="22"/>
        <v>31130519.465445086</v>
      </c>
      <c r="O85" s="4">
        <v>74626.75</v>
      </c>
      <c r="P85" s="265">
        <v>547</v>
      </c>
      <c r="Q85" s="265">
        <v>5258796.0176223451</v>
      </c>
      <c r="R85" s="265">
        <f>IFERROR(VLOOKUP($B85-1,CDM!$L$7:$T$18,5,FALSE)/12,0)+IFERROR(VLOOKUP($B85,CDM!$L$36:$T$46,5,FALSE)/24,0)+IFERROR(VLOOKUP($B85,CDM!$L$36:$T$46,5,FALSE)/2*$C85/78,0)</f>
        <v>869555.26730707265</v>
      </c>
      <c r="S85" s="265">
        <f t="shared" si="32"/>
        <v>6128351.284929418</v>
      </c>
      <c r="T85" s="265">
        <v>12953.17</v>
      </c>
      <c r="U85" s="265">
        <v>17</v>
      </c>
      <c r="V85" s="265">
        <v>3065363</v>
      </c>
      <c r="W85" s="265">
        <f>IFERROR(VLOOKUP($B85-1,CDM!$L$7:$T$18,6,FALSE)/12,0)+IFERROR(VLOOKUP($B85,CDM!$L$36:$T$46,6,FALSE)/24,0)+IFERROR(VLOOKUP($B85,CDM!$L$36:$T$46,6,FALSE)/2*$C85/78,0)</f>
        <v>27475.039178050072</v>
      </c>
      <c r="X85" s="265">
        <f t="shared" si="33"/>
        <v>3092838.0391780501</v>
      </c>
      <c r="Y85" s="265">
        <v>5544</v>
      </c>
      <c r="Z85" s="265">
        <v>1</v>
      </c>
      <c r="AA85" s="4">
        <v>465324.30676062242</v>
      </c>
      <c r="AB85" s="4">
        <v>1036.3688692946059</v>
      </c>
      <c r="AC85" s="265">
        <v>14097</v>
      </c>
      <c r="AD85" s="265">
        <v>2285.94</v>
      </c>
      <c r="AE85" s="265">
        <v>81</v>
      </c>
      <c r="AF85" s="265">
        <v>19</v>
      </c>
      <c r="AG85" s="4">
        <v>221948</v>
      </c>
      <c r="AH85" s="4">
        <v>252</v>
      </c>
      <c r="AI85" s="28">
        <f>Economic!H87</f>
        <v>817265.5</v>
      </c>
      <c r="AJ85" s="28">
        <f>Economic!I87</f>
        <v>634181.69999999995</v>
      </c>
      <c r="AK85" s="28">
        <f>Economic!J87</f>
        <v>64910</v>
      </c>
      <c r="AL85" s="28">
        <f>Economic!K87</f>
        <v>838397</v>
      </c>
      <c r="AM85" s="28">
        <f>Economic!L87</f>
        <v>654360</v>
      </c>
      <c r="AN85" s="28">
        <f>Economic!M87</f>
        <v>27605</v>
      </c>
      <c r="AO85" s="28">
        <f>Economic!D87</f>
        <v>7644.2</v>
      </c>
      <c r="AP85" s="28">
        <f>Economic!E87</f>
        <v>7647.5</v>
      </c>
      <c r="AQ85" s="28">
        <f>Economic!F87</f>
        <v>223.5</v>
      </c>
      <c r="AR85" s="28">
        <f>Economic!G87</f>
        <v>222.3</v>
      </c>
      <c r="AS85" s="28">
        <f>Economic!N87</f>
        <v>386.09999999999945</v>
      </c>
      <c r="AT85" s="28">
        <f>Economic!O87</f>
        <v>374.19999999999982</v>
      </c>
      <c r="AU85" s="28">
        <f>Economic!P87</f>
        <v>9.9000000000000057</v>
      </c>
      <c r="AV85" s="28">
        <f>Economic!Q87</f>
        <v>10.900000000000006</v>
      </c>
      <c r="AW85" s="28">
        <f>Economic!R87</f>
        <v>47323.5</v>
      </c>
      <c r="AX85" s="28">
        <f>Economic!S87</f>
        <v>18833</v>
      </c>
      <c r="AY85" s="7">
        <f>Weather!D85</f>
        <v>0.80497311827956974</v>
      </c>
      <c r="AZ85" s="7">
        <f>Weather!E85</f>
        <v>595.04583333333335</v>
      </c>
      <c r="BA85" s="7">
        <f>Weather!F85</f>
        <v>0</v>
      </c>
      <c r="BB85" s="7">
        <f>Weather!G85</f>
        <v>533.04583333333346</v>
      </c>
      <c r="BC85" s="7">
        <f>Weather!H85</f>
        <v>0</v>
      </c>
      <c r="BD85" s="7">
        <f>Weather!I85</f>
        <v>471.04583333333335</v>
      </c>
      <c r="BE85" s="7">
        <f>Weather!J85</f>
        <v>0</v>
      </c>
      <c r="BF85" s="7">
        <f>Weather!K85</f>
        <v>409.04583333333335</v>
      </c>
      <c r="BG85" s="7">
        <f>Weather!L85</f>
        <v>0</v>
      </c>
      <c r="BH85" s="7">
        <f>Weather!M85</f>
        <v>347.04583333333335</v>
      </c>
      <c r="BI85" s="7">
        <f>Weather!N85</f>
        <v>0</v>
      </c>
      <c r="BJ85" s="7">
        <f>Weather!O85</f>
        <v>285.45833333333331</v>
      </c>
      <c r="BK85" s="7">
        <f>Weather!P85</f>
        <v>0.41249999999999964</v>
      </c>
      <c r="BL85" s="7">
        <f>Weather!Q85</f>
        <v>225.45833333333331</v>
      </c>
      <c r="BM85" s="7">
        <f>Weather!R85</f>
        <v>2.4124999999999996</v>
      </c>
      <c r="BN85" s="1">
        <f t="shared" si="34"/>
        <v>0</v>
      </c>
      <c r="BO85" s="1">
        <f t="shared" si="34"/>
        <v>0</v>
      </c>
      <c r="BP85" s="1">
        <f t="shared" si="34"/>
        <v>0</v>
      </c>
      <c r="BQ85" s="1">
        <f t="shared" si="34"/>
        <v>0</v>
      </c>
      <c r="BR85" s="1">
        <f t="shared" si="34"/>
        <v>0</v>
      </c>
      <c r="BS85" s="1">
        <f t="shared" si="34"/>
        <v>0</v>
      </c>
      <c r="BT85" s="1">
        <f t="shared" si="34"/>
        <v>0</v>
      </c>
      <c r="BU85" s="1">
        <f t="shared" si="34"/>
        <v>0</v>
      </c>
      <c r="BV85" s="1">
        <f t="shared" si="34"/>
        <v>0</v>
      </c>
      <c r="BW85" s="1">
        <f t="shared" si="34"/>
        <v>0</v>
      </c>
      <c r="BX85" s="1">
        <f t="shared" si="34"/>
        <v>0</v>
      </c>
      <c r="BY85" s="1">
        <f t="shared" si="34"/>
        <v>1</v>
      </c>
      <c r="BZ85" s="1">
        <f t="shared" si="34"/>
        <v>0</v>
      </c>
      <c r="CA85" s="1">
        <f t="shared" si="34"/>
        <v>0</v>
      </c>
      <c r="CB85" s="1">
        <f t="shared" si="34"/>
        <v>0</v>
      </c>
      <c r="CC85" s="1">
        <f t="shared" si="23"/>
        <v>84</v>
      </c>
      <c r="CD85" s="1">
        <f t="shared" si="17"/>
        <v>31</v>
      </c>
      <c r="CE85" s="1">
        <v>21</v>
      </c>
      <c r="CF85" s="1">
        <v>1</v>
      </c>
      <c r="CG85" s="1">
        <v>0.5</v>
      </c>
      <c r="CH85" s="1">
        <v>0.75</v>
      </c>
      <c r="CI85" s="1">
        <v>0</v>
      </c>
      <c r="CJ85" s="1">
        <f t="shared" si="30"/>
        <v>297.52291666666667</v>
      </c>
      <c r="CK85" s="1">
        <f t="shared" si="30"/>
        <v>0</v>
      </c>
      <c r="CL85" s="1">
        <f t="shared" si="30"/>
        <v>266.52291666666673</v>
      </c>
      <c r="CM85" s="1">
        <f t="shared" si="30"/>
        <v>0</v>
      </c>
      <c r="CN85" s="1">
        <f t="shared" si="30"/>
        <v>235.52291666666667</v>
      </c>
      <c r="CO85" s="1">
        <f t="shared" si="30"/>
        <v>0</v>
      </c>
      <c r="CP85" s="1">
        <f t="shared" si="28"/>
        <v>204.52291666666667</v>
      </c>
      <c r="CQ85" s="1">
        <f t="shared" si="28"/>
        <v>0</v>
      </c>
      <c r="CR85" s="1">
        <f t="shared" si="24"/>
        <v>173.52291666666667</v>
      </c>
      <c r="CS85" s="1">
        <f t="shared" si="24"/>
        <v>0</v>
      </c>
      <c r="CT85" s="1">
        <f t="shared" si="24"/>
        <v>142.72916666666666</v>
      </c>
      <c r="CU85" s="1">
        <f t="shared" si="24"/>
        <v>0.20624999999999982</v>
      </c>
      <c r="CV85" s="1">
        <f t="shared" si="24"/>
        <v>112.72916666666666</v>
      </c>
      <c r="CW85" s="1">
        <f t="shared" si="24"/>
        <v>1.2062499999999998</v>
      </c>
      <c r="CX85" s="1">
        <f t="shared" si="31"/>
        <v>446.28437500000001</v>
      </c>
      <c r="CY85" s="1">
        <f t="shared" si="31"/>
        <v>0</v>
      </c>
      <c r="CZ85" s="1">
        <f t="shared" si="31"/>
        <v>399.78437500000007</v>
      </c>
      <c r="DA85" s="1">
        <f t="shared" si="31"/>
        <v>0</v>
      </c>
      <c r="DB85" s="1">
        <f t="shared" si="31"/>
        <v>353.28437500000001</v>
      </c>
      <c r="DC85" s="1">
        <f t="shared" si="31"/>
        <v>0</v>
      </c>
      <c r="DD85" s="1">
        <f t="shared" si="29"/>
        <v>306.78437500000001</v>
      </c>
      <c r="DE85" s="1">
        <f t="shared" si="29"/>
        <v>0</v>
      </c>
      <c r="DF85" s="1">
        <f t="shared" si="25"/>
        <v>260.28437500000001</v>
      </c>
      <c r="DG85" s="1">
        <f t="shared" si="25"/>
        <v>0</v>
      </c>
      <c r="DH85" s="1">
        <f t="shared" si="25"/>
        <v>214.09375</v>
      </c>
      <c r="DI85" s="1">
        <f t="shared" si="25"/>
        <v>0.30937499999999973</v>
      </c>
      <c r="DJ85" s="1">
        <f t="shared" si="25"/>
        <v>169.09375</v>
      </c>
      <c r="DK85" s="1">
        <f t="shared" si="25"/>
        <v>1.8093749999999997</v>
      </c>
      <c r="DL85" s="25"/>
      <c r="DM85" s="25"/>
      <c r="DN85" s="24"/>
      <c r="DO85" s="25"/>
      <c r="DP85" s="25"/>
      <c r="DQ85" s="25"/>
      <c r="DR85" s="25"/>
      <c r="DS85" s="25"/>
      <c r="DT85" s="25"/>
      <c r="DU85" s="25"/>
      <c r="DV85" s="25"/>
    </row>
    <row r="86" spans="1:126" x14ac:dyDescent="0.25">
      <c r="A86" s="261">
        <v>44562</v>
      </c>
      <c r="B86" s="262">
        <f t="shared" si="18"/>
        <v>2022</v>
      </c>
      <c r="C86" s="262">
        <f t="shared" si="19"/>
        <v>1</v>
      </c>
      <c r="D86" s="263">
        <v>48941238.377860926</v>
      </c>
      <c r="E86" s="263">
        <f>IFERROR(VLOOKUP($B86-1,CDM!$L$7:$T$18,2,FALSE)/12,0)+IFERROR(VLOOKUP($B86,CDM!$L$36:$T$46,2,FALSE)/24,0)+IFERROR(VLOOKUP($B86,CDM!$L$36:$T$46,2,FALSE)/2*$C86/78,0)</f>
        <v>2452306.6506690816</v>
      </c>
      <c r="F86" s="263">
        <f t="shared" si="20"/>
        <v>51393545.028530009</v>
      </c>
      <c r="G86" s="264">
        <v>55283</v>
      </c>
      <c r="H86" s="263">
        <v>12034408.556456357</v>
      </c>
      <c r="I86" s="263">
        <f>IFERROR(VLOOKUP($B86-1,CDM!$L$7:$T$18,3,FALSE)/12,0)+IFERROR(VLOOKUP($B86,CDM!$L$36:$T$46,3,FALSE)/24,0)+IFERROR(VLOOKUP($B86,CDM!$L$36:$T$46,3,FALSE)/2*$C86/78,0)</f>
        <v>604046.35363272892</v>
      </c>
      <c r="J86" s="263">
        <f t="shared" si="21"/>
        <v>12638454.910089087</v>
      </c>
      <c r="K86" s="265">
        <v>4288</v>
      </c>
      <c r="L86" s="4">
        <v>34358786.565244295</v>
      </c>
      <c r="M86" s="266">
        <f>IFERROR(VLOOKUP($B86-1,CDM!$L$7:$T$18,4,FALSE)/12,0)+IFERROR(VLOOKUP($B86,CDM!$L$36:$T$46,4,FALSE)/24,0)+IFERROR(VLOOKUP($B86,CDM!$L$36:$T$46,4,FALSE)/2*$C86/78,0)</f>
        <v>783527.31662100786</v>
      </c>
      <c r="N86" s="263">
        <f t="shared" si="22"/>
        <v>35142313.8818653</v>
      </c>
      <c r="O86" s="4">
        <v>75194.100000000006</v>
      </c>
      <c r="P86" s="265">
        <v>547</v>
      </c>
      <c r="Q86" s="265">
        <v>6024035.8994417237</v>
      </c>
      <c r="R86" s="265">
        <f>IFERROR(VLOOKUP($B86-1,CDM!$L$7:$T$18,5,FALSE)/12,0)+IFERROR(VLOOKUP($B86,CDM!$L$36:$T$46,5,FALSE)/24,0)+IFERROR(VLOOKUP($B86,CDM!$L$36:$T$46,5,FALSE)/2*$C86/78,0)</f>
        <v>882265.10147255135</v>
      </c>
      <c r="S86" s="265">
        <f t="shared" si="32"/>
        <v>6906301.0009142747</v>
      </c>
      <c r="T86" s="265">
        <v>12981.630000000001</v>
      </c>
      <c r="U86" s="265">
        <v>18</v>
      </c>
      <c r="V86" s="265">
        <v>3019557</v>
      </c>
      <c r="W86" s="265">
        <f>IFERROR(VLOOKUP($B86-1,CDM!$L$7:$T$18,6,FALSE)/12,0)+IFERROR(VLOOKUP($B86,CDM!$L$36:$T$46,6,FALSE)/24,0)+IFERROR(VLOOKUP($B86,CDM!$L$36:$T$46,6,FALSE)/2*$C86/78,0)</f>
        <v>29881.003537470733</v>
      </c>
      <c r="X86" s="265">
        <f t="shared" si="33"/>
        <v>3049438.0035374709</v>
      </c>
      <c r="Y86" s="265">
        <v>5797.68</v>
      </c>
      <c r="Z86" s="265">
        <v>1</v>
      </c>
      <c r="AA86" s="4">
        <v>477859.87475505663</v>
      </c>
      <c r="AB86" s="4">
        <v>1036.3688692946059</v>
      </c>
      <c r="AC86" s="265">
        <v>14097</v>
      </c>
      <c r="AD86" s="265">
        <v>2064.7199999999998</v>
      </c>
      <c r="AE86" s="265">
        <v>0</v>
      </c>
      <c r="AF86" s="265">
        <v>19</v>
      </c>
      <c r="AG86" s="4">
        <v>205439</v>
      </c>
      <c r="AH86" s="4">
        <v>252</v>
      </c>
      <c r="AI86" s="28">
        <f>Economic!H88</f>
        <v>850461.9</v>
      </c>
      <c r="AJ86" s="28">
        <f>Economic!I88</f>
        <v>662856.4</v>
      </c>
      <c r="AK86" s="28">
        <f>Economic!J88</f>
        <v>71555.5</v>
      </c>
      <c r="AL86" s="28">
        <f>Economic!K88</f>
        <v>845218</v>
      </c>
      <c r="AM86" s="28">
        <f>Economic!L88</f>
        <v>657318</v>
      </c>
      <c r="AN86" s="28">
        <f>Economic!M88</f>
        <v>28188</v>
      </c>
      <c r="AO86" s="28">
        <f>Economic!D88</f>
        <v>7627.7</v>
      </c>
      <c r="AP86" s="28">
        <f>Economic!E88</f>
        <v>7595.1</v>
      </c>
      <c r="AQ86" s="28">
        <f>Economic!F88</f>
        <v>221.3</v>
      </c>
      <c r="AR86" s="28">
        <f>Economic!G88</f>
        <v>220.8</v>
      </c>
      <c r="AS86" s="28">
        <f>Economic!N88</f>
        <v>423</v>
      </c>
      <c r="AT86" s="28">
        <f>Economic!O88</f>
        <v>414.70000000000073</v>
      </c>
      <c r="AU86" s="28">
        <f>Economic!P88</f>
        <v>14</v>
      </c>
      <c r="AV86" s="28">
        <f>Economic!Q88</f>
        <v>15.300000000000011</v>
      </c>
      <c r="AW86" s="28">
        <f>Economic!R88</f>
        <v>33196.400000000023</v>
      </c>
      <c r="AX86" s="28">
        <f>Economic!S88</f>
        <v>6821</v>
      </c>
      <c r="AY86" s="7">
        <f>Weather!D86</f>
        <v>-8.6287634408602152</v>
      </c>
      <c r="AZ86" s="7">
        <f>Weather!E86</f>
        <v>887.49166666666656</v>
      </c>
      <c r="BA86" s="7">
        <f>Weather!F86</f>
        <v>0</v>
      </c>
      <c r="BB86" s="7">
        <f>Weather!G86</f>
        <v>825.49166666666656</v>
      </c>
      <c r="BC86" s="7">
        <f>Weather!H86</f>
        <v>0</v>
      </c>
      <c r="BD86" s="7">
        <f>Weather!I86</f>
        <v>763.49166666666656</v>
      </c>
      <c r="BE86" s="7">
        <f>Weather!J86</f>
        <v>0</v>
      </c>
      <c r="BF86" s="7">
        <f>Weather!K86</f>
        <v>701.49166666666656</v>
      </c>
      <c r="BG86" s="7">
        <f>Weather!L86</f>
        <v>0</v>
      </c>
      <c r="BH86" s="7">
        <f>Weather!M86</f>
        <v>639.49166666666679</v>
      </c>
      <c r="BI86" s="7">
        <f>Weather!N86</f>
        <v>0</v>
      </c>
      <c r="BJ86" s="7">
        <f>Weather!O86</f>
        <v>577.49166666666656</v>
      </c>
      <c r="BK86" s="7">
        <f>Weather!P86</f>
        <v>0</v>
      </c>
      <c r="BL86" s="7">
        <f>Weather!Q86</f>
        <v>515.49166666666679</v>
      </c>
      <c r="BM86" s="7">
        <f>Weather!R86</f>
        <v>0</v>
      </c>
      <c r="BN86" s="1">
        <f t="shared" si="34"/>
        <v>1</v>
      </c>
      <c r="BO86" s="1">
        <f t="shared" si="34"/>
        <v>0</v>
      </c>
      <c r="BP86" s="1">
        <f t="shared" si="34"/>
        <v>0</v>
      </c>
      <c r="BQ86" s="1">
        <f t="shared" si="34"/>
        <v>0</v>
      </c>
      <c r="BR86" s="1">
        <f t="shared" si="34"/>
        <v>0</v>
      </c>
      <c r="BS86" s="1">
        <f t="shared" si="34"/>
        <v>0</v>
      </c>
      <c r="BT86" s="1">
        <f t="shared" si="34"/>
        <v>0</v>
      </c>
      <c r="BU86" s="1">
        <f t="shared" si="34"/>
        <v>0</v>
      </c>
      <c r="BV86" s="1">
        <f t="shared" si="34"/>
        <v>0</v>
      </c>
      <c r="BW86" s="1">
        <f t="shared" si="34"/>
        <v>0</v>
      </c>
      <c r="BX86" s="1">
        <f t="shared" si="34"/>
        <v>0</v>
      </c>
      <c r="BY86" s="1">
        <f t="shared" si="34"/>
        <v>0</v>
      </c>
      <c r="BZ86" s="1">
        <f t="shared" si="34"/>
        <v>0</v>
      </c>
      <c r="CA86" s="1">
        <f t="shared" si="34"/>
        <v>0</v>
      </c>
      <c r="CB86" s="1">
        <f t="shared" si="34"/>
        <v>0</v>
      </c>
      <c r="CC86" s="1">
        <f t="shared" si="23"/>
        <v>85</v>
      </c>
      <c r="CD86" s="1">
        <f t="shared" si="17"/>
        <v>31</v>
      </c>
      <c r="CE86" s="1">
        <v>20</v>
      </c>
      <c r="CF86" s="1">
        <v>0.5</v>
      </c>
      <c r="CG86" s="1">
        <v>0.25</v>
      </c>
      <c r="CH86" s="1">
        <v>0.5</v>
      </c>
      <c r="CI86" s="1">
        <v>0</v>
      </c>
      <c r="CJ86" s="1">
        <f t="shared" si="30"/>
        <v>221.87291666666664</v>
      </c>
      <c r="CK86" s="1">
        <f t="shared" si="30"/>
        <v>0</v>
      </c>
      <c r="CL86" s="1">
        <f t="shared" si="30"/>
        <v>206.37291666666664</v>
      </c>
      <c r="CM86" s="1">
        <f t="shared" si="30"/>
        <v>0</v>
      </c>
      <c r="CN86" s="1">
        <f t="shared" si="30"/>
        <v>190.87291666666664</v>
      </c>
      <c r="CO86" s="1">
        <f t="shared" si="30"/>
        <v>0</v>
      </c>
      <c r="CP86" s="1">
        <f t="shared" si="28"/>
        <v>175.37291666666664</v>
      </c>
      <c r="CQ86" s="1">
        <f t="shared" si="28"/>
        <v>0</v>
      </c>
      <c r="CR86" s="1">
        <f t="shared" si="24"/>
        <v>159.8729166666667</v>
      </c>
      <c r="CS86" s="1">
        <f t="shared" si="24"/>
        <v>0</v>
      </c>
      <c r="CT86" s="1">
        <f t="shared" si="24"/>
        <v>144.37291666666664</v>
      </c>
      <c r="CU86" s="1">
        <f t="shared" si="24"/>
        <v>0</v>
      </c>
      <c r="CV86" s="1">
        <f t="shared" si="24"/>
        <v>128.8729166666667</v>
      </c>
      <c r="CW86" s="1">
        <f t="shared" si="24"/>
        <v>0</v>
      </c>
      <c r="CX86" s="1">
        <f t="shared" si="31"/>
        <v>443.74583333333328</v>
      </c>
      <c r="CY86" s="1">
        <f t="shared" si="31"/>
        <v>0</v>
      </c>
      <c r="CZ86" s="1">
        <f t="shared" si="31"/>
        <v>412.74583333333328</v>
      </c>
      <c r="DA86" s="1">
        <f t="shared" si="31"/>
        <v>0</v>
      </c>
      <c r="DB86" s="1">
        <f t="shared" si="31"/>
        <v>381.74583333333328</v>
      </c>
      <c r="DC86" s="1">
        <f t="shared" si="31"/>
        <v>0</v>
      </c>
      <c r="DD86" s="1">
        <f t="shared" si="29"/>
        <v>350.74583333333328</v>
      </c>
      <c r="DE86" s="1">
        <f t="shared" si="29"/>
        <v>0</v>
      </c>
      <c r="DF86" s="1">
        <f t="shared" si="25"/>
        <v>319.74583333333339</v>
      </c>
      <c r="DG86" s="1">
        <f t="shared" si="25"/>
        <v>0</v>
      </c>
      <c r="DH86" s="1">
        <f t="shared" si="25"/>
        <v>288.74583333333328</v>
      </c>
      <c r="DI86" s="1">
        <f t="shared" si="25"/>
        <v>0</v>
      </c>
      <c r="DJ86" s="1">
        <f t="shared" si="25"/>
        <v>257.74583333333339</v>
      </c>
      <c r="DK86" s="1">
        <f t="shared" si="25"/>
        <v>0</v>
      </c>
      <c r="DL86" s="25"/>
      <c r="DM86" s="25"/>
      <c r="DN86" s="24"/>
      <c r="DO86" s="25"/>
      <c r="DP86" s="25"/>
      <c r="DQ86" s="25"/>
      <c r="DR86" s="25"/>
      <c r="DS86" s="25"/>
      <c r="DT86" s="25"/>
      <c r="DU86" s="25"/>
      <c r="DV86" s="25"/>
    </row>
    <row r="87" spans="1:126" x14ac:dyDescent="0.25">
      <c r="A87" s="261">
        <v>44593</v>
      </c>
      <c r="B87" s="262">
        <f t="shared" si="18"/>
        <v>2022</v>
      </c>
      <c r="C87" s="262">
        <f t="shared" si="19"/>
        <v>2</v>
      </c>
      <c r="D87" s="263">
        <v>43473463.281575434</v>
      </c>
      <c r="E87" s="263">
        <f>IFERROR(VLOOKUP($B87-1,CDM!$L$7:$T$18,2,FALSE)/12,0)+IFERROR(VLOOKUP($B87,CDM!$L$36:$T$46,2,FALSE)/24,0)+IFERROR(VLOOKUP($B87,CDM!$L$36:$T$46,2,FALSE)/2*$C87/78,0)</f>
        <v>2453660.071481178</v>
      </c>
      <c r="F87" s="263">
        <f t="shared" si="20"/>
        <v>45927123.35305661</v>
      </c>
      <c r="G87" s="264">
        <v>55259</v>
      </c>
      <c r="H87" s="263">
        <v>11001986.411201041</v>
      </c>
      <c r="I87" s="263">
        <f>IFERROR(VLOOKUP($B87-1,CDM!$L$7:$T$18,3,FALSE)/12,0)+IFERROR(VLOOKUP($B87,CDM!$L$36:$T$46,3,FALSE)/24,0)+IFERROR(VLOOKUP($B87,CDM!$L$36:$T$46,3,FALSE)/2*$C87/78,0)</f>
        <v>609883.60607311642</v>
      </c>
      <c r="J87" s="263">
        <f t="shared" si="21"/>
        <v>11611870.017274158</v>
      </c>
      <c r="K87" s="265">
        <v>4294</v>
      </c>
      <c r="L87" s="4">
        <v>32577644.263054308</v>
      </c>
      <c r="M87" s="266">
        <f>IFERROR(VLOOKUP($B87-1,CDM!$L$7:$T$18,4,FALSE)/12,0)+IFERROR(VLOOKUP($B87,CDM!$L$36:$T$46,4,FALSE)/24,0)+IFERROR(VLOOKUP($B87,CDM!$L$36:$T$46,4,FALSE)/2*$C87/78,0)</f>
        <v>794452.40652471955</v>
      </c>
      <c r="N87" s="263">
        <f t="shared" si="22"/>
        <v>33372096.669579025</v>
      </c>
      <c r="O87" s="4">
        <v>77831.87</v>
      </c>
      <c r="P87" s="265">
        <v>546</v>
      </c>
      <c r="Q87" s="265">
        <v>6274338.0963143315</v>
      </c>
      <c r="R87" s="265">
        <f>IFERROR(VLOOKUP($B87-1,CDM!$L$7:$T$18,5,FALSE)/12,0)+IFERROR(VLOOKUP($B87,CDM!$L$36:$T$46,5,FALSE)/24,0)+IFERROR(VLOOKUP($B87,CDM!$L$36:$T$46,5,FALSE)/2*$C87/78,0)</f>
        <v>884513.80532279599</v>
      </c>
      <c r="S87" s="265">
        <f t="shared" si="32"/>
        <v>7158851.9016371276</v>
      </c>
      <c r="T87" s="265">
        <v>14396.47</v>
      </c>
      <c r="U87" s="265">
        <v>18</v>
      </c>
      <c r="V87" s="265">
        <v>2697106</v>
      </c>
      <c r="W87" s="265">
        <f>IFERROR(VLOOKUP($B87-1,CDM!$L$7:$T$18,6,FALSE)/12,0)+IFERROR(VLOOKUP($B87,CDM!$L$36:$T$46,6,FALSE)/24,0)+IFERROR(VLOOKUP($B87,CDM!$L$36:$T$46,6,FALSE)/2*$C87/78,0)</f>
        <v>30371.014197256136</v>
      </c>
      <c r="X87" s="265">
        <f t="shared" si="33"/>
        <v>2727477.014197256</v>
      </c>
      <c r="Y87" s="265">
        <v>7909.44</v>
      </c>
      <c r="Z87" s="265">
        <v>1</v>
      </c>
      <c r="AA87" s="4">
        <v>391329.4460650353</v>
      </c>
      <c r="AB87" s="4">
        <v>1041.2</v>
      </c>
      <c r="AC87" s="265">
        <v>14116</v>
      </c>
      <c r="AD87" s="265">
        <v>2285.94</v>
      </c>
      <c r="AE87" s="265">
        <v>0</v>
      </c>
      <c r="AF87" s="265">
        <v>19</v>
      </c>
      <c r="AG87" s="4">
        <v>247854</v>
      </c>
      <c r="AH87" s="4">
        <v>252</v>
      </c>
      <c r="AI87" s="28">
        <f>Economic!H89</f>
        <v>850461.9</v>
      </c>
      <c r="AJ87" s="28">
        <f>Economic!I89</f>
        <v>662856.4</v>
      </c>
      <c r="AK87" s="28">
        <f>Economic!J89</f>
        <v>71555.5</v>
      </c>
      <c r="AL87" s="28">
        <f>Economic!K89</f>
        <v>845218</v>
      </c>
      <c r="AM87" s="28">
        <f>Economic!L89</f>
        <v>657318</v>
      </c>
      <c r="AN87" s="28">
        <f>Economic!M89</f>
        <v>28188</v>
      </c>
      <c r="AO87" s="28">
        <f>Economic!D89</f>
        <v>7651.3</v>
      </c>
      <c r="AP87" s="28">
        <f>Economic!E89</f>
        <v>7588.8</v>
      </c>
      <c r="AQ87" s="28">
        <f>Economic!F89</f>
        <v>221.3</v>
      </c>
      <c r="AR87" s="28">
        <f>Economic!G89</f>
        <v>220.9</v>
      </c>
      <c r="AS87" s="28">
        <f>Economic!N89</f>
        <v>470.10000000000036</v>
      </c>
      <c r="AT87" s="28">
        <f>Economic!O89</f>
        <v>464</v>
      </c>
      <c r="AU87" s="28">
        <f>Economic!P89</f>
        <v>15.900000000000006</v>
      </c>
      <c r="AV87" s="28">
        <f>Economic!Q89</f>
        <v>16.800000000000011</v>
      </c>
      <c r="AW87" s="28">
        <f>Economic!R89</f>
        <v>33196.400000000023</v>
      </c>
      <c r="AX87" s="28">
        <f>Economic!S89</f>
        <v>6821</v>
      </c>
      <c r="AY87" s="7">
        <f>Weather!D87</f>
        <v>-4.7446428571428587</v>
      </c>
      <c r="AZ87" s="7">
        <f>Weather!E87</f>
        <v>692.85</v>
      </c>
      <c r="BA87" s="7">
        <f>Weather!F87</f>
        <v>0</v>
      </c>
      <c r="BB87" s="7">
        <f>Weather!G87</f>
        <v>636.84999999999991</v>
      </c>
      <c r="BC87" s="7">
        <f>Weather!H87</f>
        <v>0</v>
      </c>
      <c r="BD87" s="7">
        <f>Weather!I87</f>
        <v>580.84999999999991</v>
      </c>
      <c r="BE87" s="7">
        <f>Weather!J87</f>
        <v>0</v>
      </c>
      <c r="BF87" s="7">
        <f>Weather!K87</f>
        <v>524.84999999999991</v>
      </c>
      <c r="BG87" s="7">
        <f>Weather!L87</f>
        <v>0</v>
      </c>
      <c r="BH87" s="7">
        <f>Weather!M87</f>
        <v>468.84999999999991</v>
      </c>
      <c r="BI87" s="7">
        <f>Weather!N87</f>
        <v>0</v>
      </c>
      <c r="BJ87" s="7">
        <f>Weather!O87</f>
        <v>412.84999999999991</v>
      </c>
      <c r="BK87" s="7">
        <f>Weather!P87</f>
        <v>0</v>
      </c>
      <c r="BL87" s="7">
        <f>Weather!Q87</f>
        <v>356.85</v>
      </c>
      <c r="BM87" s="7">
        <f>Weather!R87</f>
        <v>0</v>
      </c>
      <c r="BN87" s="1">
        <f t="shared" si="34"/>
        <v>0</v>
      </c>
      <c r="BO87" s="1">
        <f t="shared" si="34"/>
        <v>1</v>
      </c>
      <c r="BP87" s="1">
        <f t="shared" si="34"/>
        <v>0</v>
      </c>
      <c r="BQ87" s="1">
        <f t="shared" si="34"/>
        <v>0</v>
      </c>
      <c r="BR87" s="1">
        <f t="shared" si="34"/>
        <v>0</v>
      </c>
      <c r="BS87" s="1">
        <f t="shared" si="34"/>
        <v>0</v>
      </c>
      <c r="BT87" s="1">
        <f t="shared" si="34"/>
        <v>0</v>
      </c>
      <c r="BU87" s="1">
        <f t="shared" si="34"/>
        <v>0</v>
      </c>
      <c r="BV87" s="1">
        <f t="shared" si="34"/>
        <v>0</v>
      </c>
      <c r="BW87" s="1">
        <f t="shared" si="34"/>
        <v>0</v>
      </c>
      <c r="BX87" s="1">
        <f t="shared" si="34"/>
        <v>0</v>
      </c>
      <c r="BY87" s="1">
        <f t="shared" si="34"/>
        <v>0</v>
      </c>
      <c r="BZ87" s="1">
        <f t="shared" si="34"/>
        <v>0</v>
      </c>
      <c r="CA87" s="1">
        <f t="shared" si="34"/>
        <v>0</v>
      </c>
      <c r="CB87" s="1">
        <f t="shared" si="34"/>
        <v>0</v>
      </c>
      <c r="CC87" s="1">
        <f t="shared" si="23"/>
        <v>86</v>
      </c>
      <c r="CD87" s="1">
        <f t="shared" si="17"/>
        <v>28</v>
      </c>
      <c r="CE87" s="1">
        <v>19</v>
      </c>
      <c r="CF87" s="1">
        <v>0.5</v>
      </c>
      <c r="CG87" s="1">
        <v>0.25</v>
      </c>
      <c r="CH87" s="1">
        <v>0.5</v>
      </c>
      <c r="CI87" s="1">
        <v>0</v>
      </c>
      <c r="CJ87" s="1">
        <f t="shared" si="30"/>
        <v>173.21250000000001</v>
      </c>
      <c r="CK87" s="1">
        <f t="shared" si="30"/>
        <v>0</v>
      </c>
      <c r="CL87" s="1">
        <f t="shared" si="30"/>
        <v>159.21249999999998</v>
      </c>
      <c r="CM87" s="1">
        <f t="shared" si="30"/>
        <v>0</v>
      </c>
      <c r="CN87" s="1">
        <f t="shared" si="30"/>
        <v>145.21249999999998</v>
      </c>
      <c r="CO87" s="1">
        <f t="shared" si="30"/>
        <v>0</v>
      </c>
      <c r="CP87" s="1">
        <f t="shared" si="28"/>
        <v>131.21249999999998</v>
      </c>
      <c r="CQ87" s="1">
        <f t="shared" si="28"/>
        <v>0</v>
      </c>
      <c r="CR87" s="1">
        <f t="shared" si="24"/>
        <v>117.21249999999998</v>
      </c>
      <c r="CS87" s="1">
        <f t="shared" si="24"/>
        <v>0</v>
      </c>
      <c r="CT87" s="1">
        <f t="shared" si="24"/>
        <v>103.21249999999998</v>
      </c>
      <c r="CU87" s="1">
        <f t="shared" si="24"/>
        <v>0</v>
      </c>
      <c r="CV87" s="1">
        <f t="shared" si="24"/>
        <v>89.212500000000006</v>
      </c>
      <c r="CW87" s="1">
        <f t="shared" si="24"/>
        <v>0</v>
      </c>
      <c r="CX87" s="1">
        <f t="shared" si="31"/>
        <v>346.42500000000001</v>
      </c>
      <c r="CY87" s="1">
        <f t="shared" si="31"/>
        <v>0</v>
      </c>
      <c r="CZ87" s="1">
        <f t="shared" si="31"/>
        <v>318.42499999999995</v>
      </c>
      <c r="DA87" s="1">
        <f t="shared" si="31"/>
        <v>0</v>
      </c>
      <c r="DB87" s="1">
        <f t="shared" si="31"/>
        <v>290.42499999999995</v>
      </c>
      <c r="DC87" s="1">
        <f t="shared" si="31"/>
        <v>0</v>
      </c>
      <c r="DD87" s="1">
        <f t="shared" si="29"/>
        <v>262.42499999999995</v>
      </c>
      <c r="DE87" s="1">
        <f t="shared" si="29"/>
        <v>0</v>
      </c>
      <c r="DF87" s="1">
        <f t="shared" si="25"/>
        <v>234.42499999999995</v>
      </c>
      <c r="DG87" s="1">
        <f t="shared" si="25"/>
        <v>0</v>
      </c>
      <c r="DH87" s="1">
        <f t="shared" si="25"/>
        <v>206.42499999999995</v>
      </c>
      <c r="DI87" s="1">
        <f t="shared" si="25"/>
        <v>0</v>
      </c>
      <c r="DJ87" s="1">
        <f t="shared" si="25"/>
        <v>178.42500000000001</v>
      </c>
      <c r="DK87" s="1">
        <f t="shared" si="25"/>
        <v>0</v>
      </c>
      <c r="DL87" s="25"/>
      <c r="DM87" s="25"/>
      <c r="DN87" s="24"/>
      <c r="DO87" s="25"/>
      <c r="DP87" s="25"/>
      <c r="DQ87" s="25"/>
      <c r="DR87" s="25"/>
      <c r="DS87" s="25"/>
      <c r="DT87" s="25"/>
      <c r="DU87" s="25"/>
      <c r="DV87" s="25"/>
    </row>
    <row r="88" spans="1:126" x14ac:dyDescent="0.25">
      <c r="A88" s="261">
        <v>44621</v>
      </c>
      <c r="B88" s="262">
        <f t="shared" si="18"/>
        <v>2022</v>
      </c>
      <c r="C88" s="262">
        <f t="shared" si="19"/>
        <v>3</v>
      </c>
      <c r="D88" s="263">
        <v>46355851.823503733</v>
      </c>
      <c r="E88" s="263">
        <f>IFERROR(VLOOKUP($B88-1,CDM!$L$7:$T$18,2,FALSE)/12,0)+IFERROR(VLOOKUP($B88,CDM!$L$36:$T$46,2,FALSE)/24,0)+IFERROR(VLOOKUP($B88,CDM!$L$36:$T$46,2,FALSE)/2*$C88/78,0)</f>
        <v>2455013.4922932745</v>
      </c>
      <c r="F88" s="263">
        <f t="shared" si="20"/>
        <v>48810865.315797009</v>
      </c>
      <c r="G88" s="264">
        <v>55469</v>
      </c>
      <c r="H88" s="263">
        <v>11269162.492992997</v>
      </c>
      <c r="I88" s="263">
        <f>IFERROR(VLOOKUP($B88-1,CDM!$L$7:$T$18,3,FALSE)/12,0)+IFERROR(VLOOKUP($B88,CDM!$L$36:$T$46,3,FALSE)/24,0)+IFERROR(VLOOKUP($B88,CDM!$L$36:$T$46,3,FALSE)/2*$C88/78,0)</f>
        <v>615720.85851350392</v>
      </c>
      <c r="J88" s="263">
        <f t="shared" si="21"/>
        <v>11884883.351506501</v>
      </c>
      <c r="K88" s="265">
        <v>4283</v>
      </c>
      <c r="L88" s="4">
        <v>29454154.861825131</v>
      </c>
      <c r="M88" s="266">
        <f>IFERROR(VLOOKUP($B88-1,CDM!$L$7:$T$18,4,FALSE)/12,0)+IFERROR(VLOOKUP($B88,CDM!$L$36:$T$46,4,FALSE)/24,0)+IFERROR(VLOOKUP($B88,CDM!$L$36:$T$46,4,FALSE)/2*$C88/78,0)</f>
        <v>805377.49642843136</v>
      </c>
      <c r="N88" s="263">
        <f t="shared" si="22"/>
        <v>30259532.358253561</v>
      </c>
      <c r="O88" s="4">
        <v>68289.87</v>
      </c>
      <c r="P88" s="265">
        <v>548</v>
      </c>
      <c r="Q88" s="265">
        <v>6171172.5226340853</v>
      </c>
      <c r="R88" s="265">
        <f>IFERROR(VLOOKUP($B88-1,CDM!$L$7:$T$18,5,FALSE)/12,0)+IFERROR(VLOOKUP($B88,CDM!$L$36:$T$46,5,FALSE)/24,0)+IFERROR(VLOOKUP($B88,CDM!$L$36:$T$46,5,FALSE)/2*$C88/78,0)</f>
        <v>886762.50917304074</v>
      </c>
      <c r="S88" s="265">
        <f t="shared" si="32"/>
        <v>7057935.0318071265</v>
      </c>
      <c r="T88" s="265">
        <v>12910.23</v>
      </c>
      <c r="U88" s="265">
        <v>18</v>
      </c>
      <c r="V88" s="265">
        <v>3147951</v>
      </c>
      <c r="W88" s="265">
        <f>IFERROR(VLOOKUP($B88-1,CDM!$L$7:$T$18,6,FALSE)/12,0)+IFERROR(VLOOKUP($B88,CDM!$L$36:$T$46,6,FALSE)/24,0)+IFERROR(VLOOKUP($B88,CDM!$L$36:$T$46,6,FALSE)/2*$C88/78,0)</f>
        <v>30861.024857041535</v>
      </c>
      <c r="X88" s="265">
        <f t="shared" si="33"/>
        <v>3178812.0248570414</v>
      </c>
      <c r="Y88" s="265">
        <v>7780.92</v>
      </c>
      <c r="Z88" s="265">
        <v>1</v>
      </c>
      <c r="AA88" s="4">
        <v>393235.27604188159</v>
      </c>
      <c r="AB88" s="4">
        <v>1041.2</v>
      </c>
      <c r="AC88" s="265">
        <v>14116</v>
      </c>
      <c r="AD88" s="265">
        <v>2212.1999999999998</v>
      </c>
      <c r="AE88" s="265">
        <v>0</v>
      </c>
      <c r="AF88" s="265">
        <v>19</v>
      </c>
      <c r="AG88" s="4">
        <v>227972</v>
      </c>
      <c r="AH88" s="4">
        <v>252</v>
      </c>
      <c r="AI88" s="28">
        <f>Economic!H90</f>
        <v>850461.9</v>
      </c>
      <c r="AJ88" s="28">
        <f>Economic!I90</f>
        <v>662856.4</v>
      </c>
      <c r="AK88" s="28">
        <f>Economic!J90</f>
        <v>71555.5</v>
      </c>
      <c r="AL88" s="28">
        <f>Economic!K90</f>
        <v>845218</v>
      </c>
      <c r="AM88" s="28">
        <f>Economic!L90</f>
        <v>657318</v>
      </c>
      <c r="AN88" s="28">
        <f>Economic!M90</f>
        <v>28188</v>
      </c>
      <c r="AO88" s="28">
        <f>Economic!D90</f>
        <v>7662.5</v>
      </c>
      <c r="AP88" s="28">
        <f>Economic!E90</f>
        <v>7573.4</v>
      </c>
      <c r="AQ88" s="28">
        <f>Economic!F90</f>
        <v>222.7</v>
      </c>
      <c r="AR88" s="28">
        <f>Economic!G90</f>
        <v>222</v>
      </c>
      <c r="AS88" s="28">
        <f>Economic!N90</f>
        <v>444.39999999999964</v>
      </c>
      <c r="AT88" s="28">
        <f>Economic!O90</f>
        <v>443.89999999999964</v>
      </c>
      <c r="AU88" s="28">
        <f>Economic!P90</f>
        <v>18.199999999999989</v>
      </c>
      <c r="AV88" s="28">
        <f>Economic!Q90</f>
        <v>18.300000000000011</v>
      </c>
      <c r="AW88" s="28">
        <f>Economic!R90</f>
        <v>33196.400000000023</v>
      </c>
      <c r="AX88" s="28">
        <f>Economic!S90</f>
        <v>6821</v>
      </c>
      <c r="AY88" s="7">
        <f>Weather!D88</f>
        <v>0.42836021505376332</v>
      </c>
      <c r="AZ88" s="7">
        <f>Weather!E88</f>
        <v>606.7208333333333</v>
      </c>
      <c r="BA88" s="7">
        <f>Weather!F88</f>
        <v>0</v>
      </c>
      <c r="BB88" s="7">
        <f>Weather!G88</f>
        <v>544.7208333333333</v>
      </c>
      <c r="BC88" s="7">
        <f>Weather!H88</f>
        <v>0</v>
      </c>
      <c r="BD88" s="7">
        <f>Weather!I88</f>
        <v>482.72083333333353</v>
      </c>
      <c r="BE88" s="7">
        <f>Weather!J88</f>
        <v>0</v>
      </c>
      <c r="BF88" s="7">
        <f>Weather!K88</f>
        <v>420.72083333333353</v>
      </c>
      <c r="BG88" s="7">
        <f>Weather!L88</f>
        <v>0</v>
      </c>
      <c r="BH88" s="7">
        <f>Weather!M88</f>
        <v>358.72083333333347</v>
      </c>
      <c r="BI88" s="7">
        <f>Weather!N88</f>
        <v>0</v>
      </c>
      <c r="BJ88" s="7">
        <f>Weather!O88</f>
        <v>296.72083333333336</v>
      </c>
      <c r="BK88" s="7">
        <f>Weather!P88</f>
        <v>0</v>
      </c>
      <c r="BL88" s="7">
        <f>Weather!Q88</f>
        <v>236.04166666666666</v>
      </c>
      <c r="BM88" s="7">
        <f>Weather!R88</f>
        <v>1.3208333333333311</v>
      </c>
      <c r="BN88" s="1">
        <f t="shared" si="34"/>
        <v>0</v>
      </c>
      <c r="BO88" s="1">
        <f t="shared" si="34"/>
        <v>0</v>
      </c>
      <c r="BP88" s="1">
        <f t="shared" si="34"/>
        <v>1</v>
      </c>
      <c r="BQ88" s="1">
        <f t="shared" si="34"/>
        <v>0</v>
      </c>
      <c r="BR88" s="1">
        <f t="shared" si="34"/>
        <v>0</v>
      </c>
      <c r="BS88" s="1">
        <f t="shared" si="34"/>
        <v>0</v>
      </c>
      <c r="BT88" s="1">
        <f t="shared" si="34"/>
        <v>0</v>
      </c>
      <c r="BU88" s="1">
        <f t="shared" si="34"/>
        <v>0</v>
      </c>
      <c r="BV88" s="1">
        <f t="shared" si="34"/>
        <v>0</v>
      </c>
      <c r="BW88" s="1">
        <f t="shared" si="34"/>
        <v>0</v>
      </c>
      <c r="BX88" s="1">
        <f t="shared" si="34"/>
        <v>0</v>
      </c>
      <c r="BY88" s="1">
        <f t="shared" si="34"/>
        <v>0</v>
      </c>
      <c r="BZ88" s="1">
        <f t="shared" si="34"/>
        <v>1</v>
      </c>
      <c r="CA88" s="1">
        <f t="shared" si="34"/>
        <v>0</v>
      </c>
      <c r="CB88" s="1">
        <f t="shared" si="34"/>
        <v>1</v>
      </c>
      <c r="CC88" s="1">
        <f t="shared" si="23"/>
        <v>87</v>
      </c>
      <c r="CD88" s="1">
        <f t="shared" si="17"/>
        <v>31</v>
      </c>
      <c r="CE88" s="1">
        <v>23</v>
      </c>
      <c r="CF88" s="1">
        <v>0.5</v>
      </c>
      <c r="CG88" s="1">
        <v>0.25</v>
      </c>
      <c r="CH88" s="1">
        <v>0.5</v>
      </c>
      <c r="CI88" s="1">
        <v>0</v>
      </c>
      <c r="CJ88" s="1">
        <f t="shared" si="30"/>
        <v>151.68020833333333</v>
      </c>
      <c r="CK88" s="1">
        <f t="shared" si="30"/>
        <v>0</v>
      </c>
      <c r="CL88" s="1">
        <f t="shared" si="30"/>
        <v>136.18020833333333</v>
      </c>
      <c r="CM88" s="1">
        <f t="shared" si="30"/>
        <v>0</v>
      </c>
      <c r="CN88" s="1">
        <f t="shared" si="30"/>
        <v>120.68020833333338</v>
      </c>
      <c r="CO88" s="1">
        <f t="shared" si="30"/>
        <v>0</v>
      </c>
      <c r="CP88" s="1">
        <f t="shared" si="28"/>
        <v>105.18020833333338</v>
      </c>
      <c r="CQ88" s="1">
        <f t="shared" si="28"/>
        <v>0</v>
      </c>
      <c r="CR88" s="1">
        <f t="shared" si="24"/>
        <v>89.680208333333368</v>
      </c>
      <c r="CS88" s="1">
        <f t="shared" si="24"/>
        <v>0</v>
      </c>
      <c r="CT88" s="1">
        <f t="shared" si="24"/>
        <v>74.18020833333334</v>
      </c>
      <c r="CU88" s="1">
        <f t="shared" si="24"/>
        <v>0</v>
      </c>
      <c r="CV88" s="1">
        <f t="shared" si="24"/>
        <v>59.010416666666664</v>
      </c>
      <c r="CW88" s="1">
        <f t="shared" si="24"/>
        <v>0.33020833333333277</v>
      </c>
      <c r="CX88" s="1">
        <f t="shared" si="31"/>
        <v>303.36041666666665</v>
      </c>
      <c r="CY88" s="1">
        <f t="shared" si="31"/>
        <v>0</v>
      </c>
      <c r="CZ88" s="1">
        <f t="shared" si="31"/>
        <v>272.36041666666665</v>
      </c>
      <c r="DA88" s="1">
        <f t="shared" si="31"/>
        <v>0</v>
      </c>
      <c r="DB88" s="1">
        <f t="shared" si="31"/>
        <v>241.36041666666677</v>
      </c>
      <c r="DC88" s="1">
        <f t="shared" si="31"/>
        <v>0</v>
      </c>
      <c r="DD88" s="1">
        <f t="shared" si="29"/>
        <v>210.36041666666677</v>
      </c>
      <c r="DE88" s="1">
        <f t="shared" si="29"/>
        <v>0</v>
      </c>
      <c r="DF88" s="1">
        <f t="shared" si="25"/>
        <v>179.36041666666674</v>
      </c>
      <c r="DG88" s="1">
        <f t="shared" si="25"/>
        <v>0</v>
      </c>
      <c r="DH88" s="1">
        <f t="shared" si="25"/>
        <v>148.36041666666668</v>
      </c>
      <c r="DI88" s="1">
        <f t="shared" si="25"/>
        <v>0</v>
      </c>
      <c r="DJ88" s="1">
        <f t="shared" si="25"/>
        <v>118.02083333333333</v>
      </c>
      <c r="DK88" s="1">
        <f t="shared" si="25"/>
        <v>0.66041666666666554</v>
      </c>
      <c r="DL88" s="25"/>
      <c r="DM88" s="25"/>
      <c r="DN88" s="24"/>
      <c r="DO88" s="25"/>
      <c r="DP88" s="25"/>
      <c r="DQ88" s="25"/>
      <c r="DR88" s="25"/>
      <c r="DS88" s="25"/>
      <c r="DT88" s="25"/>
      <c r="DU88" s="25"/>
      <c r="DV88" s="25"/>
    </row>
    <row r="89" spans="1:126" x14ac:dyDescent="0.25">
      <c r="A89" s="261">
        <v>44652</v>
      </c>
      <c r="B89" s="262">
        <f t="shared" si="18"/>
        <v>2022</v>
      </c>
      <c r="C89" s="262">
        <f t="shared" si="19"/>
        <v>4</v>
      </c>
      <c r="D89" s="263">
        <v>38551808.527339973</v>
      </c>
      <c r="E89" s="263">
        <f>IFERROR(VLOOKUP($B89-1,CDM!$L$7:$T$18,2,FALSE)/12,0)+IFERROR(VLOOKUP($B89,CDM!$L$36:$T$46,2,FALSE)/24,0)+IFERROR(VLOOKUP($B89,CDM!$L$36:$T$46,2,FALSE)/2*$C89/78,0)</f>
        <v>2456366.9131053709</v>
      </c>
      <c r="F89" s="263">
        <f t="shared" si="20"/>
        <v>41008175.440445341</v>
      </c>
      <c r="G89" s="264">
        <v>55584</v>
      </c>
      <c r="H89" s="263">
        <v>9593766.9116475377</v>
      </c>
      <c r="I89" s="263">
        <f>IFERROR(VLOOKUP($B89-1,CDM!$L$7:$T$18,3,FALSE)/12,0)+IFERROR(VLOOKUP($B89,CDM!$L$36:$T$46,3,FALSE)/24,0)+IFERROR(VLOOKUP($B89,CDM!$L$36:$T$46,3,FALSE)/2*$C89/78,0)</f>
        <v>621558.11095389142</v>
      </c>
      <c r="J89" s="263">
        <f t="shared" si="21"/>
        <v>10215325.022601429</v>
      </c>
      <c r="K89" s="265">
        <v>4284</v>
      </c>
      <c r="L89" s="4">
        <v>26663820.09825303</v>
      </c>
      <c r="M89" s="266">
        <f>IFERROR(VLOOKUP($B89-1,CDM!$L$7:$T$18,4,FALSE)/12,0)+IFERROR(VLOOKUP($B89,CDM!$L$36:$T$46,4,FALSE)/24,0)+IFERROR(VLOOKUP($B89,CDM!$L$36:$T$46,4,FALSE)/2*$C89/78,0)</f>
        <v>816302.58633214317</v>
      </c>
      <c r="N89" s="263">
        <f t="shared" si="22"/>
        <v>27480122.684585173</v>
      </c>
      <c r="O89" s="4">
        <v>67429.84</v>
      </c>
      <c r="P89" s="265">
        <v>541</v>
      </c>
      <c r="Q89" s="265">
        <v>6045613.5108398963</v>
      </c>
      <c r="R89" s="265">
        <f>IFERROR(VLOOKUP($B89-1,CDM!$L$7:$T$18,5,FALSE)/12,0)+IFERROR(VLOOKUP($B89,CDM!$L$36:$T$46,5,FALSE)/24,0)+IFERROR(VLOOKUP($B89,CDM!$L$36:$T$46,5,FALSE)/2*$C89/78,0)</f>
        <v>889011.21302328538</v>
      </c>
      <c r="S89" s="265">
        <f t="shared" si="32"/>
        <v>6934624.7238631817</v>
      </c>
      <c r="T89" s="265">
        <v>13973.12</v>
      </c>
      <c r="U89" s="265">
        <v>18</v>
      </c>
      <c r="V89" s="265">
        <v>2970947</v>
      </c>
      <c r="W89" s="265">
        <f>IFERROR(VLOOKUP($B89-1,CDM!$L$7:$T$18,6,FALSE)/12,0)+IFERROR(VLOOKUP($B89,CDM!$L$36:$T$46,6,FALSE)/24,0)+IFERROR(VLOOKUP($B89,CDM!$L$36:$T$46,6,FALSE)/2*$C89/78,0)</f>
        <v>31351.035516826934</v>
      </c>
      <c r="X89" s="265">
        <f t="shared" si="33"/>
        <v>3002298.0355168269</v>
      </c>
      <c r="Y89" s="265">
        <v>6527.64</v>
      </c>
      <c r="Z89" s="265">
        <v>1</v>
      </c>
      <c r="AA89" s="4">
        <v>334714.68316861225</v>
      </c>
      <c r="AB89" s="4">
        <v>1041.2</v>
      </c>
      <c r="AC89" s="265">
        <v>14116</v>
      </c>
      <c r="AD89" s="265">
        <v>2285.94</v>
      </c>
      <c r="AE89" s="265">
        <v>0</v>
      </c>
      <c r="AF89" s="265">
        <v>19</v>
      </c>
      <c r="AG89" s="4">
        <v>227972</v>
      </c>
      <c r="AH89" s="4">
        <v>252</v>
      </c>
      <c r="AI89" s="28">
        <f>Economic!H91</f>
        <v>850461.9</v>
      </c>
      <c r="AJ89" s="28">
        <f>Economic!I91</f>
        <v>662856.4</v>
      </c>
      <c r="AK89" s="28">
        <f>Economic!J91</f>
        <v>71555.5</v>
      </c>
      <c r="AL89" s="28">
        <f>Economic!K91</f>
        <v>851621</v>
      </c>
      <c r="AM89" s="28">
        <f>Economic!L91</f>
        <v>664186</v>
      </c>
      <c r="AN89" s="28">
        <f>Economic!M91</f>
        <v>30079</v>
      </c>
      <c r="AO89" s="28">
        <f>Economic!D91</f>
        <v>7736.6</v>
      </c>
      <c r="AP89" s="28">
        <f>Economic!E91</f>
        <v>7670</v>
      </c>
      <c r="AQ89" s="28">
        <f>Economic!F91</f>
        <v>227.3</v>
      </c>
      <c r="AR89" s="28">
        <f>Economic!G91</f>
        <v>227.3</v>
      </c>
      <c r="AS89" s="28">
        <f>Economic!N91</f>
        <v>472.60000000000036</v>
      </c>
      <c r="AT89" s="28">
        <f>Economic!O91</f>
        <v>473</v>
      </c>
      <c r="AU89" s="28">
        <f>Economic!P91</f>
        <v>21.300000000000011</v>
      </c>
      <c r="AV89" s="28">
        <f>Economic!Q91</f>
        <v>21.200000000000017</v>
      </c>
      <c r="AW89" s="28">
        <f>Economic!R91</f>
        <v>33196.400000000023</v>
      </c>
      <c r="AX89" s="28">
        <f>Economic!S91</f>
        <v>6403</v>
      </c>
      <c r="AY89" s="7">
        <f>Weather!D89</f>
        <v>6.1888888888888882</v>
      </c>
      <c r="AZ89" s="7">
        <f>Weather!E89</f>
        <v>414.33333333333331</v>
      </c>
      <c r="BA89" s="7">
        <f>Weather!F89</f>
        <v>0</v>
      </c>
      <c r="BB89" s="7">
        <f>Weather!G89</f>
        <v>354.33333333333331</v>
      </c>
      <c r="BC89" s="7">
        <f>Weather!H89</f>
        <v>0</v>
      </c>
      <c r="BD89" s="7">
        <f>Weather!I89</f>
        <v>294.33333333333337</v>
      </c>
      <c r="BE89" s="7">
        <f>Weather!J89</f>
        <v>0</v>
      </c>
      <c r="BF89" s="7">
        <f>Weather!K89</f>
        <v>234.33333333333331</v>
      </c>
      <c r="BG89" s="7">
        <f>Weather!L89</f>
        <v>0</v>
      </c>
      <c r="BH89" s="7">
        <f>Weather!M89</f>
        <v>176.58749999999998</v>
      </c>
      <c r="BI89" s="7">
        <f>Weather!N89</f>
        <v>2.2541666666666629</v>
      </c>
      <c r="BJ89" s="7">
        <f>Weather!O89</f>
        <v>123.04166666666666</v>
      </c>
      <c r="BK89" s="7">
        <f>Weather!P89</f>
        <v>8.7083333333333286</v>
      </c>
      <c r="BL89" s="7">
        <f>Weather!Q89</f>
        <v>75.575000000000003</v>
      </c>
      <c r="BM89" s="7">
        <f>Weather!R89</f>
        <v>21.24166666666666</v>
      </c>
      <c r="BN89" s="1">
        <f t="shared" si="34"/>
        <v>0</v>
      </c>
      <c r="BO89" s="1">
        <f t="shared" si="34"/>
        <v>0</v>
      </c>
      <c r="BP89" s="1">
        <f t="shared" si="34"/>
        <v>0</v>
      </c>
      <c r="BQ89" s="1">
        <f t="shared" si="34"/>
        <v>1</v>
      </c>
      <c r="BR89" s="1">
        <f t="shared" si="34"/>
        <v>0</v>
      </c>
      <c r="BS89" s="1">
        <f t="shared" si="34"/>
        <v>0</v>
      </c>
      <c r="BT89" s="1">
        <f t="shared" si="34"/>
        <v>0</v>
      </c>
      <c r="BU89" s="1">
        <f t="shared" si="34"/>
        <v>0</v>
      </c>
      <c r="BV89" s="1">
        <f t="shared" si="34"/>
        <v>0</v>
      </c>
      <c r="BW89" s="1">
        <f t="shared" si="34"/>
        <v>0</v>
      </c>
      <c r="BX89" s="1">
        <f t="shared" si="34"/>
        <v>0</v>
      </c>
      <c r="BY89" s="1">
        <f t="shared" si="34"/>
        <v>0</v>
      </c>
      <c r="BZ89" s="1">
        <f t="shared" si="34"/>
        <v>1</v>
      </c>
      <c r="CA89" s="1">
        <f t="shared" si="34"/>
        <v>0</v>
      </c>
      <c r="CB89" s="1">
        <f t="shared" si="34"/>
        <v>1</v>
      </c>
      <c r="CC89" s="1">
        <f t="shared" si="23"/>
        <v>88</v>
      </c>
      <c r="CD89" s="1">
        <f t="shared" si="17"/>
        <v>30</v>
      </c>
      <c r="CE89" s="1">
        <v>20</v>
      </c>
      <c r="CF89" s="1">
        <v>0.5</v>
      </c>
      <c r="CG89" s="1">
        <v>0.25</v>
      </c>
      <c r="CH89" s="1">
        <v>0.5</v>
      </c>
      <c r="CI89" s="1">
        <v>0</v>
      </c>
      <c r="CJ89" s="1">
        <f t="shared" si="30"/>
        <v>103.58333333333333</v>
      </c>
      <c r="CK89" s="1">
        <f t="shared" si="30"/>
        <v>0</v>
      </c>
      <c r="CL89" s="1">
        <f t="shared" si="30"/>
        <v>88.583333333333329</v>
      </c>
      <c r="CM89" s="1">
        <f t="shared" si="30"/>
        <v>0</v>
      </c>
      <c r="CN89" s="1">
        <f t="shared" si="30"/>
        <v>73.583333333333343</v>
      </c>
      <c r="CO89" s="1">
        <f t="shared" si="30"/>
        <v>0</v>
      </c>
      <c r="CP89" s="1">
        <f t="shared" si="28"/>
        <v>58.583333333333329</v>
      </c>
      <c r="CQ89" s="1">
        <f t="shared" si="28"/>
        <v>0</v>
      </c>
      <c r="CR89" s="1">
        <f t="shared" si="24"/>
        <v>44.146874999999994</v>
      </c>
      <c r="CS89" s="1">
        <f t="shared" si="24"/>
        <v>0.56354166666666572</v>
      </c>
      <c r="CT89" s="1">
        <f t="shared" si="24"/>
        <v>30.760416666666664</v>
      </c>
      <c r="CU89" s="1">
        <f t="shared" si="24"/>
        <v>2.1770833333333321</v>
      </c>
      <c r="CV89" s="1">
        <f t="shared" si="24"/>
        <v>18.893750000000001</v>
      </c>
      <c r="CW89" s="1">
        <f t="shared" si="24"/>
        <v>5.310416666666665</v>
      </c>
      <c r="CX89" s="1">
        <f t="shared" si="31"/>
        <v>207.16666666666666</v>
      </c>
      <c r="CY89" s="1">
        <f t="shared" si="31"/>
        <v>0</v>
      </c>
      <c r="CZ89" s="1">
        <f t="shared" si="31"/>
        <v>177.16666666666666</v>
      </c>
      <c r="DA89" s="1">
        <f t="shared" si="31"/>
        <v>0</v>
      </c>
      <c r="DB89" s="1">
        <f t="shared" si="31"/>
        <v>147.16666666666669</v>
      </c>
      <c r="DC89" s="1">
        <f t="shared" si="31"/>
        <v>0</v>
      </c>
      <c r="DD89" s="1">
        <f t="shared" si="29"/>
        <v>117.16666666666666</v>
      </c>
      <c r="DE89" s="1">
        <f t="shared" si="29"/>
        <v>0</v>
      </c>
      <c r="DF89" s="1">
        <f t="shared" si="25"/>
        <v>88.293749999999989</v>
      </c>
      <c r="DG89" s="1">
        <f t="shared" si="25"/>
        <v>1.1270833333333314</v>
      </c>
      <c r="DH89" s="1">
        <f t="shared" si="25"/>
        <v>61.520833333333329</v>
      </c>
      <c r="DI89" s="1">
        <f t="shared" si="25"/>
        <v>4.3541666666666643</v>
      </c>
      <c r="DJ89" s="1">
        <f t="shared" si="25"/>
        <v>37.787500000000001</v>
      </c>
      <c r="DK89" s="1">
        <f t="shared" si="25"/>
        <v>10.62083333333333</v>
      </c>
      <c r="DL89" s="25"/>
      <c r="DM89" s="25"/>
      <c r="DN89" s="24"/>
      <c r="DO89" s="25"/>
      <c r="DP89" s="25"/>
      <c r="DQ89" s="25"/>
      <c r="DR89" s="25"/>
      <c r="DS89" s="25"/>
      <c r="DT89" s="25"/>
      <c r="DU89" s="25"/>
      <c r="DV89" s="25"/>
    </row>
    <row r="90" spans="1:126" x14ac:dyDescent="0.25">
      <c r="A90" s="261">
        <v>44682</v>
      </c>
      <c r="B90" s="262">
        <f t="shared" si="18"/>
        <v>2022</v>
      </c>
      <c r="C90" s="262">
        <f t="shared" si="19"/>
        <v>5</v>
      </c>
      <c r="D90" s="263">
        <v>34630790.550903581</v>
      </c>
      <c r="E90" s="263">
        <f>IFERROR(VLOOKUP($B90-1,CDM!$L$7:$T$18,2,FALSE)/12,0)+IFERROR(VLOOKUP($B90,CDM!$L$36:$T$46,2,FALSE)/24,0)+IFERROR(VLOOKUP($B90,CDM!$L$36:$T$46,2,FALSE)/2*$C90/78,0)</f>
        <v>2457720.3339174674</v>
      </c>
      <c r="F90" s="263">
        <f t="shared" si="20"/>
        <v>37088510.88482105</v>
      </c>
      <c r="G90" s="264">
        <v>55766</v>
      </c>
      <c r="H90" s="263">
        <v>9507616.1365897879</v>
      </c>
      <c r="I90" s="263">
        <f>IFERROR(VLOOKUP($B90-1,CDM!$L$7:$T$18,3,FALSE)/12,0)+IFERROR(VLOOKUP($B90,CDM!$L$36:$T$46,3,FALSE)/24,0)+IFERROR(VLOOKUP($B90,CDM!$L$36:$T$46,3,FALSE)/2*$C90/78,0)</f>
        <v>627395.36339427892</v>
      </c>
      <c r="J90" s="263">
        <f t="shared" si="21"/>
        <v>10135011.499984067</v>
      </c>
      <c r="K90" s="265">
        <v>4290</v>
      </c>
      <c r="L90" s="4">
        <v>24890793.737580504</v>
      </c>
      <c r="M90" s="266">
        <f>IFERROR(VLOOKUP($B90-1,CDM!$L$7:$T$18,4,FALSE)/12,0)+IFERROR(VLOOKUP($B90,CDM!$L$36:$T$46,4,FALSE)/24,0)+IFERROR(VLOOKUP($B90,CDM!$L$36:$T$46,4,FALSE)/2*$C90/78,0)</f>
        <v>827227.67623585486</v>
      </c>
      <c r="N90" s="263">
        <f t="shared" si="22"/>
        <v>25718021.413816359</v>
      </c>
      <c r="O90" s="4">
        <v>67329.42</v>
      </c>
      <c r="P90" s="265">
        <v>540</v>
      </c>
      <c r="Q90" s="265">
        <v>6982612.1857928671</v>
      </c>
      <c r="R90" s="265">
        <f>IFERROR(VLOOKUP($B90-1,CDM!$L$7:$T$18,5,FALSE)/12,0)+IFERROR(VLOOKUP($B90,CDM!$L$36:$T$46,5,FALSE)/24,0)+IFERROR(VLOOKUP($B90,CDM!$L$36:$T$46,5,FALSE)/2*$C90/78,0)</f>
        <v>891259.91687353014</v>
      </c>
      <c r="S90" s="265">
        <f t="shared" si="32"/>
        <v>7873872.1026663976</v>
      </c>
      <c r="T90" s="265">
        <v>15605.1</v>
      </c>
      <c r="U90" s="265">
        <v>18</v>
      </c>
      <c r="V90" s="265">
        <v>3078921</v>
      </c>
      <c r="W90" s="265">
        <f>IFERROR(VLOOKUP($B90-1,CDM!$L$7:$T$18,6,FALSE)/12,0)+IFERROR(VLOOKUP($B90,CDM!$L$36:$T$46,6,FALSE)/24,0)+IFERROR(VLOOKUP($B90,CDM!$L$36:$T$46,6,FALSE)/2*$C90/78,0)</f>
        <v>31841.046176612334</v>
      </c>
      <c r="X90" s="265">
        <f t="shared" si="33"/>
        <v>3110762.0461766124</v>
      </c>
      <c r="Y90" s="265">
        <v>6993.84</v>
      </c>
      <c r="Z90" s="265">
        <v>1</v>
      </c>
      <c r="AA90" s="4">
        <v>306483.41781778628</v>
      </c>
      <c r="AB90" s="4">
        <v>1042.5</v>
      </c>
      <c r="AC90" s="265">
        <v>14116</v>
      </c>
      <c r="AD90" s="265">
        <v>2212.1999999999998</v>
      </c>
      <c r="AE90" s="265">
        <v>0</v>
      </c>
      <c r="AF90" s="265">
        <v>19</v>
      </c>
      <c r="AG90" s="4">
        <v>228523</v>
      </c>
      <c r="AH90" s="4">
        <v>252</v>
      </c>
      <c r="AI90" s="28">
        <f>Economic!H92</f>
        <v>850461.9</v>
      </c>
      <c r="AJ90" s="28">
        <f>Economic!I92</f>
        <v>662856.4</v>
      </c>
      <c r="AK90" s="28">
        <f>Economic!J92</f>
        <v>71555.5</v>
      </c>
      <c r="AL90" s="28">
        <f>Economic!K92</f>
        <v>851621</v>
      </c>
      <c r="AM90" s="28">
        <f>Economic!L92</f>
        <v>664186</v>
      </c>
      <c r="AN90" s="28">
        <f>Economic!M92</f>
        <v>30079</v>
      </c>
      <c r="AO90" s="28">
        <f>Economic!D92</f>
        <v>7753.3</v>
      </c>
      <c r="AP90" s="28">
        <f>Economic!E92</f>
        <v>7738.6</v>
      </c>
      <c r="AQ90" s="28">
        <f>Economic!F92</f>
        <v>229.3</v>
      </c>
      <c r="AR90" s="28">
        <f>Economic!G92</f>
        <v>230.8</v>
      </c>
      <c r="AS90" s="28">
        <f>Economic!N92</f>
        <v>494</v>
      </c>
      <c r="AT90" s="28">
        <f>Economic!O92</f>
        <v>500.90000000000055</v>
      </c>
      <c r="AU90" s="28">
        <f>Economic!P92</f>
        <v>25.200000000000017</v>
      </c>
      <c r="AV90" s="28">
        <f>Economic!Q92</f>
        <v>24.800000000000011</v>
      </c>
      <c r="AW90" s="28">
        <f>Economic!R92</f>
        <v>33196.400000000023</v>
      </c>
      <c r="AX90" s="28">
        <f>Economic!S92</f>
        <v>6403</v>
      </c>
      <c r="AY90" s="7">
        <f>Weather!D90</f>
        <v>15.065725806451612</v>
      </c>
      <c r="AZ90" s="7">
        <f>Weather!E90</f>
        <v>158.97916666666669</v>
      </c>
      <c r="BA90" s="7">
        <f>Weather!F90</f>
        <v>6.0166666666666657</v>
      </c>
      <c r="BB90" s="7">
        <f>Weather!G90</f>
        <v>109.50833333333333</v>
      </c>
      <c r="BC90" s="7">
        <f>Weather!H90</f>
        <v>18.545833333333334</v>
      </c>
      <c r="BD90" s="7">
        <f>Weather!I90</f>
        <v>70.650000000000006</v>
      </c>
      <c r="BE90" s="7">
        <f>Weather!J90</f>
        <v>41.6875</v>
      </c>
      <c r="BF90" s="7">
        <f>Weather!K90</f>
        <v>39.324999999999996</v>
      </c>
      <c r="BG90" s="7">
        <f>Weather!L90</f>
        <v>72.362499999999997</v>
      </c>
      <c r="BH90" s="7">
        <f>Weather!M90</f>
        <v>14.399999999999993</v>
      </c>
      <c r="BI90" s="7">
        <f>Weather!N90</f>
        <v>109.43749999999997</v>
      </c>
      <c r="BJ90" s="7">
        <f>Weather!O90</f>
        <v>0.93333333333333179</v>
      </c>
      <c r="BK90" s="7">
        <f>Weather!P90</f>
        <v>157.97083333333333</v>
      </c>
      <c r="BL90" s="7">
        <f>Weather!Q90</f>
        <v>0</v>
      </c>
      <c r="BM90" s="7">
        <f>Weather!R90</f>
        <v>219.03749999999999</v>
      </c>
      <c r="BN90" s="1">
        <f t="shared" si="34"/>
        <v>0</v>
      </c>
      <c r="BO90" s="1">
        <f t="shared" si="34"/>
        <v>0</v>
      </c>
      <c r="BP90" s="1">
        <f t="shared" si="34"/>
        <v>0</v>
      </c>
      <c r="BQ90" s="1">
        <f t="shared" si="34"/>
        <v>0</v>
      </c>
      <c r="BR90" s="1">
        <f t="shared" si="34"/>
        <v>1</v>
      </c>
      <c r="BS90" s="1">
        <f t="shared" si="34"/>
        <v>0</v>
      </c>
      <c r="BT90" s="1">
        <f t="shared" si="34"/>
        <v>0</v>
      </c>
      <c r="BU90" s="1">
        <f t="shared" si="34"/>
        <v>0</v>
      </c>
      <c r="BV90" s="1">
        <f t="shared" si="34"/>
        <v>0</v>
      </c>
      <c r="BW90" s="1">
        <f t="shared" si="34"/>
        <v>0</v>
      </c>
      <c r="BX90" s="1">
        <f t="shared" si="34"/>
        <v>0</v>
      </c>
      <c r="BY90" s="1">
        <f t="shared" si="34"/>
        <v>0</v>
      </c>
      <c r="BZ90" s="1">
        <f t="shared" si="34"/>
        <v>1</v>
      </c>
      <c r="CA90" s="1">
        <f t="shared" si="34"/>
        <v>0</v>
      </c>
      <c r="CB90" s="1">
        <f t="shared" si="34"/>
        <v>1</v>
      </c>
      <c r="CC90" s="1">
        <f t="shared" si="23"/>
        <v>89</v>
      </c>
      <c r="CD90" s="1">
        <f t="shared" si="17"/>
        <v>31</v>
      </c>
      <c r="CE90" s="1">
        <v>21</v>
      </c>
      <c r="CF90" s="1">
        <v>0.5</v>
      </c>
      <c r="CG90" s="1">
        <v>0.25</v>
      </c>
      <c r="CH90" s="1">
        <v>0.5</v>
      </c>
      <c r="CI90" s="1">
        <v>0</v>
      </c>
      <c r="CJ90" s="1">
        <f t="shared" si="30"/>
        <v>39.744791666666671</v>
      </c>
      <c r="CK90" s="1">
        <f t="shared" si="30"/>
        <v>1.5041666666666664</v>
      </c>
      <c r="CL90" s="1">
        <f t="shared" si="30"/>
        <v>27.377083333333331</v>
      </c>
      <c r="CM90" s="1">
        <f t="shared" si="30"/>
        <v>4.6364583333333336</v>
      </c>
      <c r="CN90" s="1">
        <f t="shared" si="30"/>
        <v>17.662500000000001</v>
      </c>
      <c r="CO90" s="1">
        <f t="shared" si="30"/>
        <v>10.421875</v>
      </c>
      <c r="CP90" s="1">
        <f t="shared" si="28"/>
        <v>9.8312499999999989</v>
      </c>
      <c r="CQ90" s="1">
        <f t="shared" si="28"/>
        <v>18.090624999999999</v>
      </c>
      <c r="CR90" s="1">
        <f t="shared" si="24"/>
        <v>3.5999999999999983</v>
      </c>
      <c r="CS90" s="1">
        <f t="shared" si="24"/>
        <v>27.359374999999993</v>
      </c>
      <c r="CT90" s="1">
        <f t="shared" si="24"/>
        <v>0.23333333333333295</v>
      </c>
      <c r="CU90" s="1">
        <f t="shared" si="24"/>
        <v>39.492708333333333</v>
      </c>
      <c r="CV90" s="1">
        <f t="shared" si="24"/>
        <v>0</v>
      </c>
      <c r="CW90" s="1">
        <f t="shared" si="24"/>
        <v>54.759374999999999</v>
      </c>
      <c r="CX90" s="1">
        <f t="shared" si="31"/>
        <v>79.489583333333343</v>
      </c>
      <c r="CY90" s="1">
        <f t="shared" si="31"/>
        <v>3.0083333333333329</v>
      </c>
      <c r="CZ90" s="1">
        <f t="shared" si="31"/>
        <v>54.754166666666663</v>
      </c>
      <c r="DA90" s="1">
        <f t="shared" si="31"/>
        <v>9.2729166666666671</v>
      </c>
      <c r="DB90" s="1">
        <f t="shared" si="31"/>
        <v>35.325000000000003</v>
      </c>
      <c r="DC90" s="1">
        <f t="shared" si="31"/>
        <v>20.84375</v>
      </c>
      <c r="DD90" s="1">
        <f t="shared" si="29"/>
        <v>19.662499999999998</v>
      </c>
      <c r="DE90" s="1">
        <f t="shared" si="29"/>
        <v>36.181249999999999</v>
      </c>
      <c r="DF90" s="1">
        <f t="shared" si="25"/>
        <v>7.1999999999999966</v>
      </c>
      <c r="DG90" s="1">
        <f t="shared" si="25"/>
        <v>54.718749999999986</v>
      </c>
      <c r="DH90" s="1">
        <f t="shared" si="25"/>
        <v>0.4666666666666659</v>
      </c>
      <c r="DI90" s="1">
        <f t="shared" si="25"/>
        <v>78.985416666666666</v>
      </c>
      <c r="DJ90" s="1">
        <f t="shared" si="25"/>
        <v>0</v>
      </c>
      <c r="DK90" s="1">
        <f t="shared" si="25"/>
        <v>109.51875</v>
      </c>
      <c r="DL90" s="25"/>
      <c r="DM90" s="25"/>
      <c r="DN90" s="24"/>
      <c r="DO90" s="25"/>
      <c r="DP90" s="25"/>
      <c r="DQ90" s="25"/>
      <c r="DR90" s="25"/>
      <c r="DS90" s="25"/>
      <c r="DT90" s="25"/>
      <c r="DU90" s="25"/>
      <c r="DV90" s="25"/>
    </row>
    <row r="91" spans="1:126" x14ac:dyDescent="0.25">
      <c r="A91" s="261">
        <v>44713</v>
      </c>
      <c r="B91" s="262">
        <f t="shared" si="18"/>
        <v>2022</v>
      </c>
      <c r="C91" s="262">
        <f t="shared" si="19"/>
        <v>6</v>
      </c>
      <c r="D91" s="263">
        <v>39143692.864844836</v>
      </c>
      <c r="E91" s="263">
        <f>IFERROR(VLOOKUP($B91-1,CDM!$L$7:$T$18,2,FALSE)/12,0)+IFERROR(VLOOKUP($B91,CDM!$L$36:$T$46,2,FALSE)/24,0)+IFERROR(VLOOKUP($B91,CDM!$L$36:$T$46,2,FALSE)/2*$C91/78,0)</f>
        <v>2459073.7547295638</v>
      </c>
      <c r="F91" s="263">
        <f t="shared" si="20"/>
        <v>41602766.619574398</v>
      </c>
      <c r="G91" s="264">
        <v>55894</v>
      </c>
      <c r="H91" s="263">
        <v>9821174.1501635034</v>
      </c>
      <c r="I91" s="263">
        <f>IFERROR(VLOOKUP($B91-1,CDM!$L$7:$T$18,3,FALSE)/12,0)+IFERROR(VLOOKUP($B91,CDM!$L$36:$T$46,3,FALSE)/24,0)+IFERROR(VLOOKUP($B91,CDM!$L$36:$T$46,3,FALSE)/2*$C91/78,0)</f>
        <v>633232.61583466642</v>
      </c>
      <c r="J91" s="263">
        <f t="shared" si="21"/>
        <v>10454406.76599817</v>
      </c>
      <c r="K91" s="265">
        <v>4306</v>
      </c>
      <c r="L91" s="4">
        <v>26156585.392963044</v>
      </c>
      <c r="M91" s="266">
        <f>IFERROR(VLOOKUP($B91-1,CDM!$L$7:$T$18,4,FALSE)/12,0)+IFERROR(VLOOKUP($B91,CDM!$L$36:$T$46,4,FALSE)/24,0)+IFERROR(VLOOKUP($B91,CDM!$L$36:$T$46,4,FALSE)/2*$C91/78,0)</f>
        <v>838152.76613956667</v>
      </c>
      <c r="N91" s="263">
        <f t="shared" si="22"/>
        <v>26994738.159102611</v>
      </c>
      <c r="O91" s="4">
        <v>71112.03</v>
      </c>
      <c r="P91" s="265">
        <v>541</v>
      </c>
      <c r="Q91" s="265">
        <v>7425964.8022573106</v>
      </c>
      <c r="R91" s="265">
        <f>IFERROR(VLOOKUP($B91-1,CDM!$L$7:$T$18,5,FALSE)/12,0)+IFERROR(VLOOKUP($B91,CDM!$L$36:$T$46,5,FALSE)/24,0)+IFERROR(VLOOKUP($B91,CDM!$L$36:$T$46,5,FALSE)/2*$C91/78,0)</f>
        <v>893508.62072377477</v>
      </c>
      <c r="S91" s="265">
        <f t="shared" si="32"/>
        <v>8319473.4229810853</v>
      </c>
      <c r="T91" s="265">
        <v>18139.449999999997</v>
      </c>
      <c r="U91" s="265">
        <v>18</v>
      </c>
      <c r="V91" s="265">
        <v>3066956</v>
      </c>
      <c r="W91" s="265">
        <f>IFERROR(VLOOKUP($B91-1,CDM!$L$7:$T$18,6,FALSE)/12,0)+IFERROR(VLOOKUP($B91,CDM!$L$36:$T$46,6,FALSE)/24,0)+IFERROR(VLOOKUP($B91,CDM!$L$36:$T$46,6,FALSE)/2*$C91/78,0)</f>
        <v>32331.056836397736</v>
      </c>
      <c r="X91" s="265">
        <f t="shared" si="33"/>
        <v>3099287.0568363979</v>
      </c>
      <c r="Y91" s="265">
        <v>6158.88</v>
      </c>
      <c r="Z91" s="265">
        <v>1</v>
      </c>
      <c r="AA91" s="4">
        <v>274571.25606518658</v>
      </c>
      <c r="AB91" s="4">
        <v>1043.5999999999999</v>
      </c>
      <c r="AC91" s="265">
        <v>14161</v>
      </c>
      <c r="AD91" s="265">
        <v>2285.94</v>
      </c>
      <c r="AE91" s="265">
        <v>0</v>
      </c>
      <c r="AF91" s="265">
        <v>19</v>
      </c>
      <c r="AG91" s="4">
        <v>228523</v>
      </c>
      <c r="AH91" s="4">
        <v>252</v>
      </c>
      <c r="AI91" s="28">
        <f>Economic!H93</f>
        <v>850461.9</v>
      </c>
      <c r="AJ91" s="28">
        <f>Economic!I93</f>
        <v>662856.4</v>
      </c>
      <c r="AK91" s="28">
        <f>Economic!J93</f>
        <v>71555.5</v>
      </c>
      <c r="AL91" s="28">
        <f>Economic!K93</f>
        <v>851621</v>
      </c>
      <c r="AM91" s="28">
        <f>Economic!L93</f>
        <v>664186</v>
      </c>
      <c r="AN91" s="28">
        <f>Economic!M93</f>
        <v>30079</v>
      </c>
      <c r="AO91" s="28">
        <f>Economic!D93</f>
        <v>7754.8</v>
      </c>
      <c r="AP91" s="28">
        <f>Economic!E93</f>
        <v>7809.2</v>
      </c>
      <c r="AQ91" s="28">
        <f>Economic!F93</f>
        <v>229.9</v>
      </c>
      <c r="AR91" s="28">
        <f>Economic!G93</f>
        <v>232.7</v>
      </c>
      <c r="AS91" s="28">
        <f>Economic!N93</f>
        <v>509.5</v>
      </c>
      <c r="AT91" s="28">
        <f>Economic!O93</f>
        <v>516.19999999999982</v>
      </c>
      <c r="AU91" s="28">
        <f>Economic!P93</f>
        <v>26</v>
      </c>
      <c r="AV91" s="28">
        <f>Economic!Q93</f>
        <v>25.599999999999994</v>
      </c>
      <c r="AW91" s="28">
        <f>Economic!R93</f>
        <v>33196.400000000023</v>
      </c>
      <c r="AX91" s="28">
        <f>Economic!S93</f>
        <v>6403</v>
      </c>
      <c r="AY91" s="7">
        <f>Weather!D91</f>
        <v>18.03075013875014</v>
      </c>
      <c r="AZ91" s="7">
        <f>Weather!E91</f>
        <v>75.529010989011013</v>
      </c>
      <c r="BA91" s="7">
        <f>Weather!F91</f>
        <v>16.451515151515149</v>
      </c>
      <c r="BB91" s="7">
        <f>Weather!G91</f>
        <v>36.166510989010987</v>
      </c>
      <c r="BC91" s="7">
        <f>Weather!H91</f>
        <v>37.089015151515156</v>
      </c>
      <c r="BD91" s="7">
        <f>Weather!I91</f>
        <v>6.1903205128205077</v>
      </c>
      <c r="BE91" s="7">
        <f>Weather!J91</f>
        <v>67.11282467532466</v>
      </c>
      <c r="BF91" s="7">
        <f>Weather!K91</f>
        <v>0</v>
      </c>
      <c r="BG91" s="7">
        <f>Weather!L91</f>
        <v>120.92250416250417</v>
      </c>
      <c r="BH91" s="7">
        <f>Weather!M91</f>
        <v>0</v>
      </c>
      <c r="BI91" s="7">
        <f>Weather!N91</f>
        <v>180.92250416250408</v>
      </c>
      <c r="BJ91" s="7">
        <f>Weather!O91</f>
        <v>0</v>
      </c>
      <c r="BK91" s="7">
        <f>Weather!P91</f>
        <v>240.92250416250408</v>
      </c>
      <c r="BL91" s="7">
        <f>Weather!Q91</f>
        <v>0</v>
      </c>
      <c r="BM91" s="7">
        <f>Weather!R91</f>
        <v>300.92250416250414</v>
      </c>
      <c r="BN91" s="1">
        <f t="shared" si="34"/>
        <v>0</v>
      </c>
      <c r="BO91" s="1">
        <f t="shared" si="34"/>
        <v>0</v>
      </c>
      <c r="BP91" s="1">
        <f t="shared" si="34"/>
        <v>0</v>
      </c>
      <c r="BQ91" s="1">
        <f t="shared" si="34"/>
        <v>0</v>
      </c>
      <c r="BR91" s="1">
        <f t="shared" si="34"/>
        <v>0</v>
      </c>
      <c r="BS91" s="1">
        <f t="shared" si="34"/>
        <v>1</v>
      </c>
      <c r="BT91" s="1">
        <f t="shared" si="34"/>
        <v>0</v>
      </c>
      <c r="BU91" s="1">
        <f t="shared" si="34"/>
        <v>0</v>
      </c>
      <c r="BV91" s="1">
        <f t="shared" si="34"/>
        <v>0</v>
      </c>
      <c r="BW91" s="1">
        <f t="shared" si="34"/>
        <v>0</v>
      </c>
      <c r="BX91" s="1">
        <f t="shared" si="34"/>
        <v>0</v>
      </c>
      <c r="BY91" s="1">
        <f t="shared" si="34"/>
        <v>0</v>
      </c>
      <c r="BZ91" s="1">
        <f t="shared" si="34"/>
        <v>0</v>
      </c>
      <c r="CA91" s="1">
        <f t="shared" si="34"/>
        <v>0</v>
      </c>
      <c r="CB91" s="1">
        <f t="shared" si="34"/>
        <v>0</v>
      </c>
      <c r="CC91" s="1">
        <f t="shared" si="23"/>
        <v>90</v>
      </c>
      <c r="CD91" s="1">
        <f t="shared" si="17"/>
        <v>30</v>
      </c>
      <c r="CE91" s="1">
        <v>22</v>
      </c>
      <c r="CF91" s="1">
        <v>0.5</v>
      </c>
      <c r="CG91" s="1">
        <v>0.25</v>
      </c>
      <c r="CH91" s="1">
        <v>0.5</v>
      </c>
      <c r="CI91" s="1">
        <v>0</v>
      </c>
      <c r="CJ91" s="1">
        <f t="shared" si="30"/>
        <v>18.882252747252753</v>
      </c>
      <c r="CK91" s="1">
        <f t="shared" si="30"/>
        <v>4.1128787878787874</v>
      </c>
      <c r="CL91" s="1">
        <f t="shared" si="30"/>
        <v>9.0416277472527469</v>
      </c>
      <c r="CM91" s="1">
        <f t="shared" si="30"/>
        <v>9.272253787878789</v>
      </c>
      <c r="CN91" s="1">
        <f t="shared" si="30"/>
        <v>1.5475801282051269</v>
      </c>
      <c r="CO91" s="1">
        <f t="shared" si="30"/>
        <v>16.778206168831165</v>
      </c>
      <c r="CP91" s="1">
        <f t="shared" si="28"/>
        <v>0</v>
      </c>
      <c r="CQ91" s="1">
        <f t="shared" si="28"/>
        <v>30.230626040626042</v>
      </c>
      <c r="CR91" s="1">
        <f t="shared" si="24"/>
        <v>0</v>
      </c>
      <c r="CS91" s="1">
        <f t="shared" si="24"/>
        <v>45.230626040626021</v>
      </c>
      <c r="CT91" s="1">
        <f t="shared" si="24"/>
        <v>0</v>
      </c>
      <c r="CU91" s="1">
        <f t="shared" si="24"/>
        <v>60.230626040626021</v>
      </c>
      <c r="CV91" s="1">
        <f t="shared" si="24"/>
        <v>0</v>
      </c>
      <c r="CW91" s="1">
        <f t="shared" si="24"/>
        <v>75.230626040626035</v>
      </c>
      <c r="CX91" s="1">
        <f t="shared" si="31"/>
        <v>37.764505494505507</v>
      </c>
      <c r="CY91" s="1">
        <f t="shared" si="31"/>
        <v>8.2257575757575747</v>
      </c>
      <c r="CZ91" s="1">
        <f t="shared" si="31"/>
        <v>18.083255494505494</v>
      </c>
      <c r="DA91" s="1">
        <f t="shared" si="31"/>
        <v>18.544507575757578</v>
      </c>
      <c r="DB91" s="1">
        <f t="shared" si="31"/>
        <v>3.0951602564102538</v>
      </c>
      <c r="DC91" s="1">
        <f t="shared" si="31"/>
        <v>33.55641233766233</v>
      </c>
      <c r="DD91" s="1">
        <f t="shared" si="29"/>
        <v>0</v>
      </c>
      <c r="DE91" s="1">
        <f t="shared" si="29"/>
        <v>60.461252081252084</v>
      </c>
      <c r="DF91" s="1">
        <f t="shared" si="25"/>
        <v>0</v>
      </c>
      <c r="DG91" s="1">
        <f t="shared" si="25"/>
        <v>90.461252081252042</v>
      </c>
      <c r="DH91" s="1">
        <f t="shared" si="25"/>
        <v>0</v>
      </c>
      <c r="DI91" s="1">
        <f t="shared" si="25"/>
        <v>120.46125208125204</v>
      </c>
      <c r="DJ91" s="1">
        <f t="shared" si="25"/>
        <v>0</v>
      </c>
      <c r="DK91" s="1">
        <f t="shared" si="25"/>
        <v>150.46125208125207</v>
      </c>
      <c r="DL91" s="25"/>
      <c r="DM91" s="25"/>
      <c r="DN91" s="24"/>
      <c r="DO91" s="25"/>
      <c r="DP91" s="25"/>
      <c r="DQ91" s="25"/>
      <c r="DR91" s="25"/>
      <c r="DS91" s="25"/>
      <c r="DT91" s="25"/>
      <c r="DU91" s="25"/>
      <c r="DV91" s="25"/>
    </row>
    <row r="92" spans="1:126" x14ac:dyDescent="0.25">
      <c r="A92" s="261">
        <v>44743</v>
      </c>
      <c r="B92" s="262">
        <f t="shared" si="18"/>
        <v>2022</v>
      </c>
      <c r="C92" s="262">
        <f t="shared" si="19"/>
        <v>7</v>
      </c>
      <c r="D92" s="263">
        <v>47673004.839997016</v>
      </c>
      <c r="E92" s="263">
        <f>IFERROR(VLOOKUP($B92-1,CDM!$L$7:$T$18,2,FALSE)/12,0)+IFERROR(VLOOKUP($B92,CDM!$L$36:$T$46,2,FALSE)/24,0)+IFERROR(VLOOKUP($B92,CDM!$L$36:$T$46,2,FALSE)/2*$C92/78,0)</f>
        <v>2460427.1755416603</v>
      </c>
      <c r="F92" s="263">
        <f t="shared" si="20"/>
        <v>50133432.015538678</v>
      </c>
      <c r="G92" s="264">
        <v>55757</v>
      </c>
      <c r="H92" s="263">
        <v>11050486.114305733</v>
      </c>
      <c r="I92" s="263">
        <f>IFERROR(VLOOKUP($B92-1,CDM!$L$7:$T$18,3,FALSE)/12,0)+IFERROR(VLOOKUP($B92,CDM!$L$36:$T$46,3,FALSE)/24,0)+IFERROR(VLOOKUP($B92,CDM!$L$36:$T$46,3,FALSE)/2*$C92/78,0)</f>
        <v>639069.8682750538</v>
      </c>
      <c r="J92" s="263">
        <f t="shared" si="21"/>
        <v>11689555.982580787</v>
      </c>
      <c r="K92" s="265">
        <v>4310</v>
      </c>
      <c r="L92" s="4">
        <v>29588254.129680257</v>
      </c>
      <c r="M92" s="266">
        <f>IFERROR(VLOOKUP($B92-1,CDM!$L$7:$T$18,4,FALSE)/12,0)+IFERROR(VLOOKUP($B92,CDM!$L$36:$T$46,4,FALSE)/24,0)+IFERROR(VLOOKUP($B92,CDM!$L$36:$T$46,4,FALSE)/2*$C92/78,0)</f>
        <v>849077.85604327847</v>
      </c>
      <c r="N92" s="263">
        <f t="shared" si="22"/>
        <v>30437331.985723536</v>
      </c>
      <c r="O92" s="4">
        <v>74267.73</v>
      </c>
      <c r="P92" s="265">
        <v>541</v>
      </c>
      <c r="Q92" s="265">
        <v>7928859.0131399157</v>
      </c>
      <c r="R92" s="265">
        <f>IFERROR(VLOOKUP($B92-1,CDM!$L$7:$T$18,5,FALSE)/12,0)+IFERROR(VLOOKUP($B92,CDM!$L$36:$T$46,5,FALSE)/24,0)+IFERROR(VLOOKUP($B92,CDM!$L$36:$T$46,5,FALSE)/2*$C92/78,0)</f>
        <v>895757.32457401953</v>
      </c>
      <c r="S92" s="265">
        <f t="shared" si="32"/>
        <v>8824616.3377139345</v>
      </c>
      <c r="T92" s="265">
        <v>16351.04</v>
      </c>
      <c r="U92" s="265">
        <v>18</v>
      </c>
      <c r="V92" s="265">
        <v>2783162</v>
      </c>
      <c r="W92" s="265">
        <f>IFERROR(VLOOKUP($B92-1,CDM!$L$7:$T$18,6,FALSE)/12,0)+IFERROR(VLOOKUP($B92,CDM!$L$36:$T$46,6,FALSE)/24,0)+IFERROR(VLOOKUP($B92,CDM!$L$36:$T$46,6,FALSE)/2*$C92/78,0)</f>
        <v>32821.067496183139</v>
      </c>
      <c r="X92" s="265">
        <f t="shared" si="33"/>
        <v>2815983.0674961833</v>
      </c>
      <c r="Y92" s="265">
        <v>6849.36</v>
      </c>
      <c r="Z92" s="265">
        <v>1</v>
      </c>
      <c r="AA92" s="4">
        <v>291856.44110352668</v>
      </c>
      <c r="AB92" s="4">
        <v>1043.9000000000001</v>
      </c>
      <c r="AC92" s="265">
        <v>14166</v>
      </c>
      <c r="AD92" s="265">
        <v>2285.94</v>
      </c>
      <c r="AE92" s="265">
        <v>0</v>
      </c>
      <c r="AF92" s="265">
        <v>19</v>
      </c>
      <c r="AG92" s="4">
        <v>228489</v>
      </c>
      <c r="AH92" s="4">
        <v>251</v>
      </c>
      <c r="AI92" s="28">
        <f>Economic!H94</f>
        <v>850461.9</v>
      </c>
      <c r="AJ92" s="28">
        <f>Economic!I94</f>
        <v>662856.4</v>
      </c>
      <c r="AK92" s="28">
        <f>Economic!J94</f>
        <v>71555.5</v>
      </c>
      <c r="AL92" s="28">
        <f>Economic!K94</f>
        <v>852979</v>
      </c>
      <c r="AM92" s="28">
        <f>Economic!L94</f>
        <v>664978</v>
      </c>
      <c r="AN92" s="28">
        <f>Economic!M94</f>
        <v>30634</v>
      </c>
      <c r="AO92" s="28">
        <f>Economic!D94</f>
        <v>7754.8</v>
      </c>
      <c r="AP92" s="28">
        <f>Economic!E94</f>
        <v>7843.6</v>
      </c>
      <c r="AQ92" s="28">
        <f>Economic!F94</f>
        <v>228.8</v>
      </c>
      <c r="AR92" s="28">
        <f>Economic!G94</f>
        <v>231.2</v>
      </c>
      <c r="AS92" s="28">
        <f>Economic!N94</f>
        <v>443.40000000000055</v>
      </c>
      <c r="AT92" s="28">
        <f>Economic!O94</f>
        <v>451.80000000000018</v>
      </c>
      <c r="AU92" s="28">
        <f>Economic!P94</f>
        <v>23.100000000000023</v>
      </c>
      <c r="AV92" s="28">
        <f>Economic!Q94</f>
        <v>22.399999999999977</v>
      </c>
      <c r="AW92" s="28">
        <f>Economic!R94</f>
        <v>33196.400000000023</v>
      </c>
      <c r="AX92" s="28">
        <f>Economic!S94</f>
        <v>1358</v>
      </c>
      <c r="AY92" s="7">
        <f>Weather!D92</f>
        <v>21.15659155778647</v>
      </c>
      <c r="AZ92" s="7">
        <f>Weather!E92</f>
        <v>8.9945652173913082</v>
      </c>
      <c r="BA92" s="7">
        <f>Weather!F92</f>
        <v>44.848903508771912</v>
      </c>
      <c r="BB92" s="7">
        <f>Weather!G92</f>
        <v>0.62083333333333357</v>
      </c>
      <c r="BC92" s="7">
        <f>Weather!H92</f>
        <v>98.475171624713937</v>
      </c>
      <c r="BD92" s="7">
        <f>Weather!I92</f>
        <v>0</v>
      </c>
      <c r="BE92" s="7">
        <f>Weather!J92</f>
        <v>159.8543382913806</v>
      </c>
      <c r="BF92" s="7">
        <f>Weather!K92</f>
        <v>0</v>
      </c>
      <c r="BG92" s="7">
        <f>Weather!L92</f>
        <v>221.8543382913806</v>
      </c>
      <c r="BH92" s="7">
        <f>Weather!M92</f>
        <v>0</v>
      </c>
      <c r="BI92" s="7">
        <f>Weather!N92</f>
        <v>283.8543382913806</v>
      </c>
      <c r="BJ92" s="7">
        <f>Weather!O92</f>
        <v>0</v>
      </c>
      <c r="BK92" s="7">
        <f>Weather!P92</f>
        <v>345.85433829138066</v>
      </c>
      <c r="BL92" s="7">
        <f>Weather!Q92</f>
        <v>0</v>
      </c>
      <c r="BM92" s="7">
        <f>Weather!R92</f>
        <v>407.8543382913806</v>
      </c>
      <c r="BN92" s="1">
        <f t="shared" si="34"/>
        <v>0</v>
      </c>
      <c r="BO92" s="1">
        <f t="shared" si="34"/>
        <v>0</v>
      </c>
      <c r="BP92" s="1">
        <f t="shared" si="34"/>
        <v>0</v>
      </c>
      <c r="BQ92" s="1">
        <f t="shared" si="34"/>
        <v>0</v>
      </c>
      <c r="BR92" s="1">
        <f t="shared" si="34"/>
        <v>0</v>
      </c>
      <c r="BS92" s="1">
        <f t="shared" si="34"/>
        <v>0</v>
      </c>
      <c r="BT92" s="1">
        <f t="shared" si="34"/>
        <v>1</v>
      </c>
      <c r="BU92" s="1">
        <f t="shared" si="34"/>
        <v>0</v>
      </c>
      <c r="BV92" s="1">
        <f t="shared" si="34"/>
        <v>0</v>
      </c>
      <c r="BW92" s="1">
        <f t="shared" si="34"/>
        <v>0</v>
      </c>
      <c r="BX92" s="1">
        <f t="shared" si="34"/>
        <v>0</v>
      </c>
      <c r="BY92" s="1">
        <f t="shared" si="34"/>
        <v>0</v>
      </c>
      <c r="BZ92" s="1">
        <f t="shared" si="34"/>
        <v>0</v>
      </c>
      <c r="CA92" s="1">
        <f t="shared" si="34"/>
        <v>0</v>
      </c>
      <c r="CB92" s="1">
        <f t="shared" si="34"/>
        <v>0</v>
      </c>
      <c r="CC92" s="1">
        <f t="shared" si="23"/>
        <v>91</v>
      </c>
      <c r="CD92" s="1">
        <f t="shared" si="17"/>
        <v>31</v>
      </c>
      <c r="CE92" s="1">
        <v>20</v>
      </c>
      <c r="CF92" s="1">
        <v>0.5</v>
      </c>
      <c r="CG92" s="1">
        <v>0.25</v>
      </c>
      <c r="CH92" s="1">
        <v>0.5</v>
      </c>
      <c r="CI92" s="1">
        <v>0</v>
      </c>
      <c r="CJ92" s="1">
        <f t="shared" si="30"/>
        <v>2.2486413043478271</v>
      </c>
      <c r="CK92" s="1">
        <f t="shared" si="30"/>
        <v>11.212225877192978</v>
      </c>
      <c r="CL92" s="1">
        <f t="shared" si="30"/>
        <v>0.15520833333333339</v>
      </c>
      <c r="CM92" s="1">
        <f t="shared" si="30"/>
        <v>24.618792906178484</v>
      </c>
      <c r="CN92" s="1">
        <f t="shared" si="30"/>
        <v>0</v>
      </c>
      <c r="CO92" s="1">
        <f t="shared" si="30"/>
        <v>39.96358457284515</v>
      </c>
      <c r="CP92" s="1">
        <f t="shared" si="28"/>
        <v>0</v>
      </c>
      <c r="CQ92" s="1">
        <f t="shared" si="28"/>
        <v>55.46358457284515</v>
      </c>
      <c r="CR92" s="1">
        <f t="shared" si="24"/>
        <v>0</v>
      </c>
      <c r="CS92" s="1">
        <f t="shared" si="24"/>
        <v>70.96358457284515</v>
      </c>
      <c r="CT92" s="1">
        <f t="shared" si="24"/>
        <v>0</v>
      </c>
      <c r="CU92" s="1">
        <f t="shared" si="24"/>
        <v>86.463584572845164</v>
      </c>
      <c r="CV92" s="1">
        <f t="shared" si="24"/>
        <v>0</v>
      </c>
      <c r="CW92" s="1">
        <f t="shared" si="24"/>
        <v>101.96358457284515</v>
      </c>
      <c r="CX92" s="1">
        <f t="shared" si="31"/>
        <v>4.4972826086956541</v>
      </c>
      <c r="CY92" s="1">
        <f t="shared" si="31"/>
        <v>22.424451754385956</v>
      </c>
      <c r="CZ92" s="1">
        <f t="shared" si="31"/>
        <v>0.31041666666666679</v>
      </c>
      <c r="DA92" s="1">
        <f t="shared" si="31"/>
        <v>49.237585812356969</v>
      </c>
      <c r="DB92" s="1">
        <f t="shared" si="31"/>
        <v>0</v>
      </c>
      <c r="DC92" s="1">
        <f t="shared" si="31"/>
        <v>79.9271691456903</v>
      </c>
      <c r="DD92" s="1">
        <f t="shared" si="29"/>
        <v>0</v>
      </c>
      <c r="DE92" s="1">
        <f t="shared" si="29"/>
        <v>110.9271691456903</v>
      </c>
      <c r="DF92" s="1">
        <f t="shared" si="25"/>
        <v>0</v>
      </c>
      <c r="DG92" s="1">
        <f t="shared" si="25"/>
        <v>141.9271691456903</v>
      </c>
      <c r="DH92" s="1">
        <f t="shared" si="25"/>
        <v>0</v>
      </c>
      <c r="DI92" s="1">
        <f t="shared" si="25"/>
        <v>172.92716914569033</v>
      </c>
      <c r="DJ92" s="1">
        <f t="shared" si="25"/>
        <v>0</v>
      </c>
      <c r="DK92" s="1">
        <f t="shared" si="25"/>
        <v>203.9271691456903</v>
      </c>
      <c r="DL92" s="25"/>
      <c r="DM92" s="25"/>
      <c r="DN92" s="24"/>
      <c r="DO92" s="25"/>
      <c r="DP92" s="25"/>
      <c r="DQ92" s="25"/>
      <c r="DR92" s="25"/>
      <c r="DS92" s="25"/>
      <c r="DT92" s="25"/>
      <c r="DU92" s="25"/>
      <c r="DV92" s="25"/>
    </row>
    <row r="93" spans="1:126" x14ac:dyDescent="0.25">
      <c r="A93" s="261">
        <v>44774</v>
      </c>
      <c r="B93" s="262">
        <f t="shared" si="18"/>
        <v>2022</v>
      </c>
      <c r="C93" s="262">
        <f t="shared" si="19"/>
        <v>8</v>
      </c>
      <c r="D93" s="263">
        <v>52117114.823850349</v>
      </c>
      <c r="E93" s="263">
        <f>IFERROR(VLOOKUP($B93-1,CDM!$L$7:$T$18,2,FALSE)/12,0)+IFERROR(VLOOKUP($B93,CDM!$L$36:$T$46,2,FALSE)/24,0)+IFERROR(VLOOKUP($B93,CDM!$L$36:$T$46,2,FALSE)/2*$C93/78,0)</f>
        <v>2461780.5963537567</v>
      </c>
      <c r="F93" s="263">
        <f t="shared" si="20"/>
        <v>54578895.420204103</v>
      </c>
      <c r="G93" s="264">
        <v>55961</v>
      </c>
      <c r="H93" s="263">
        <v>11506793.280180994</v>
      </c>
      <c r="I93" s="263">
        <f>IFERROR(VLOOKUP($B93-1,CDM!$L$7:$T$18,3,FALSE)/12,0)+IFERROR(VLOOKUP($B93,CDM!$L$36:$T$46,3,FALSE)/24,0)+IFERROR(VLOOKUP($B93,CDM!$L$36:$T$46,3,FALSE)/2*$C93/78,0)</f>
        <v>644907.1207154413</v>
      </c>
      <c r="J93" s="263">
        <f t="shared" si="21"/>
        <v>12151700.400896436</v>
      </c>
      <c r="K93" s="265">
        <v>4310</v>
      </c>
      <c r="L93" s="265">
        <v>27349656.35804804</v>
      </c>
      <c r="M93" s="266">
        <f>IFERROR(VLOOKUP($B93-1,CDM!$L$7:$T$18,4,FALSE)/12,0)+IFERROR(VLOOKUP($B93,CDM!$L$36:$T$46,4,FALSE)/24,0)+IFERROR(VLOOKUP($B93,CDM!$L$36:$T$46,4,FALSE)/2*$C93/78,0)</f>
        <v>860002.94594699028</v>
      </c>
      <c r="N93" s="263">
        <f t="shared" si="22"/>
        <v>28209659.303995032</v>
      </c>
      <c r="O93" s="4">
        <v>70150.42</v>
      </c>
      <c r="P93" s="265">
        <v>542</v>
      </c>
      <c r="Q93" s="265">
        <v>7426967.3697459577</v>
      </c>
      <c r="R93" s="265">
        <f>IFERROR(VLOOKUP($B93-1,CDM!$L$7:$T$18,5,FALSE)/12,0)+IFERROR(VLOOKUP($B93,CDM!$L$36:$T$46,5,FALSE)/24,0)+IFERROR(VLOOKUP($B93,CDM!$L$36:$T$46,5,FALSE)/2*$C93/78,0)</f>
        <v>898006.02842426416</v>
      </c>
      <c r="S93" s="265">
        <f t="shared" si="32"/>
        <v>8324973.3981702216</v>
      </c>
      <c r="T93" s="265">
        <v>16917.55</v>
      </c>
      <c r="U93" s="265">
        <v>18</v>
      </c>
      <c r="V93" s="265">
        <v>2720948</v>
      </c>
      <c r="W93" s="265">
        <f>IFERROR(VLOOKUP($B93-1,CDM!$L$7:$T$18,6,FALSE)/12,0)+IFERROR(VLOOKUP($B93,CDM!$L$36:$T$46,6,FALSE)/24,0)+IFERROR(VLOOKUP($B93,CDM!$L$36:$T$46,6,FALSE)/2*$C93/78,0)</f>
        <v>33311.078155968535</v>
      </c>
      <c r="X93" s="265">
        <f t="shared" si="33"/>
        <v>2754259.0781559683</v>
      </c>
      <c r="Y93" s="265">
        <v>6394.92</v>
      </c>
      <c r="Z93" s="265">
        <v>1</v>
      </c>
      <c r="AA93" s="4">
        <v>301262.63421505835</v>
      </c>
      <c r="AB93" s="4">
        <v>1059.05</v>
      </c>
      <c r="AC93" s="265">
        <v>14297</v>
      </c>
      <c r="AD93" s="265">
        <v>2212.1999999999998</v>
      </c>
      <c r="AE93" s="265">
        <v>0</v>
      </c>
      <c r="AF93" s="265">
        <v>19</v>
      </c>
      <c r="AG93" s="4">
        <v>228421</v>
      </c>
      <c r="AH93" s="4">
        <v>250</v>
      </c>
      <c r="AI93" s="28">
        <f>Economic!H95</f>
        <v>850461.9</v>
      </c>
      <c r="AJ93" s="28">
        <f>Economic!I95</f>
        <v>662856.4</v>
      </c>
      <c r="AK93" s="28">
        <f>Economic!J95</f>
        <v>71555.5</v>
      </c>
      <c r="AL93" s="28">
        <f>Economic!K95</f>
        <v>852979</v>
      </c>
      <c r="AM93" s="28">
        <f>Economic!L95</f>
        <v>664978</v>
      </c>
      <c r="AN93" s="28">
        <f>Economic!M95</f>
        <v>30634</v>
      </c>
      <c r="AO93" s="28">
        <f>Economic!D95</f>
        <v>7747.4</v>
      </c>
      <c r="AP93" s="28">
        <f>Economic!E95</f>
        <v>7825.4</v>
      </c>
      <c r="AQ93" s="28">
        <f>Economic!F95</f>
        <v>227.3</v>
      </c>
      <c r="AR93" s="28">
        <f>Economic!G95</f>
        <v>227.9</v>
      </c>
      <c r="AS93" s="28">
        <f>Economic!N95</f>
        <v>347.29999999999927</v>
      </c>
      <c r="AT93" s="28">
        <f>Economic!O95</f>
        <v>350.19999999999982</v>
      </c>
      <c r="AU93" s="28">
        <f>Economic!P95</f>
        <v>18.700000000000017</v>
      </c>
      <c r="AV93" s="28">
        <f>Economic!Q95</f>
        <v>18.300000000000011</v>
      </c>
      <c r="AW93" s="28">
        <f>Economic!R95</f>
        <v>33196.400000000023</v>
      </c>
      <c r="AX93" s="28">
        <f>Economic!S95</f>
        <v>1358</v>
      </c>
      <c r="AY93" s="7">
        <f>Weather!D93</f>
        <v>21.363978494623655</v>
      </c>
      <c r="AZ93" s="7">
        <f>Weather!E93</f>
        <v>7.3916666666666764</v>
      </c>
      <c r="BA93" s="7">
        <f>Weather!F93</f>
        <v>49.674999999999997</v>
      </c>
      <c r="BB93" s="7">
        <f>Weather!G93</f>
        <v>0.76250000000000284</v>
      </c>
      <c r="BC93" s="7">
        <f>Weather!H93</f>
        <v>105.04583333333332</v>
      </c>
      <c r="BD93" s="7">
        <f>Weather!I93</f>
        <v>0</v>
      </c>
      <c r="BE93" s="7">
        <f>Weather!J93</f>
        <v>166.28333333333327</v>
      </c>
      <c r="BF93" s="7">
        <f>Weather!K93</f>
        <v>0</v>
      </c>
      <c r="BG93" s="7">
        <f>Weather!L93</f>
        <v>228.28333333333333</v>
      </c>
      <c r="BH93" s="7">
        <f>Weather!M93</f>
        <v>0</v>
      </c>
      <c r="BI93" s="7">
        <f>Weather!N93</f>
        <v>290.28333333333336</v>
      </c>
      <c r="BJ93" s="7">
        <f>Weather!O93</f>
        <v>0</v>
      </c>
      <c r="BK93" s="7">
        <f>Weather!P93</f>
        <v>352.28333333333342</v>
      </c>
      <c r="BL93" s="7">
        <f>Weather!Q93</f>
        <v>0</v>
      </c>
      <c r="BM93" s="7">
        <f>Weather!R93</f>
        <v>414.28333333333336</v>
      </c>
      <c r="BN93" s="1">
        <f t="shared" si="34"/>
        <v>0</v>
      </c>
      <c r="BO93" s="1">
        <f t="shared" si="34"/>
        <v>0</v>
      </c>
      <c r="BP93" s="1">
        <f t="shared" si="34"/>
        <v>0</v>
      </c>
      <c r="BQ93" s="1">
        <f t="shared" si="34"/>
        <v>0</v>
      </c>
      <c r="BR93" s="1">
        <f t="shared" si="34"/>
        <v>0</v>
      </c>
      <c r="BS93" s="1">
        <f t="shared" si="34"/>
        <v>0</v>
      </c>
      <c r="BT93" s="1">
        <f t="shared" si="34"/>
        <v>0</v>
      </c>
      <c r="BU93" s="1">
        <f t="shared" si="34"/>
        <v>1</v>
      </c>
      <c r="BV93" s="1">
        <f t="shared" si="34"/>
        <v>0</v>
      </c>
      <c r="BW93" s="1">
        <f t="shared" si="34"/>
        <v>0</v>
      </c>
      <c r="BX93" s="1">
        <f t="shared" si="34"/>
        <v>0</v>
      </c>
      <c r="BY93" s="1">
        <f t="shared" si="34"/>
        <v>0</v>
      </c>
      <c r="BZ93" s="1">
        <f t="shared" si="34"/>
        <v>0</v>
      </c>
      <c r="CA93" s="1">
        <f t="shared" si="34"/>
        <v>0</v>
      </c>
      <c r="CB93" s="1">
        <f t="shared" si="34"/>
        <v>0</v>
      </c>
      <c r="CC93" s="1">
        <f t="shared" si="23"/>
        <v>92</v>
      </c>
      <c r="CD93" s="1">
        <f t="shared" si="17"/>
        <v>31</v>
      </c>
      <c r="CE93" s="1">
        <v>22</v>
      </c>
      <c r="CF93" s="1">
        <v>0.5</v>
      </c>
      <c r="CG93" s="1">
        <v>0.25</v>
      </c>
      <c r="CH93" s="1">
        <v>0.5</v>
      </c>
      <c r="CI93" s="1">
        <v>0</v>
      </c>
      <c r="CJ93" s="1">
        <f t="shared" si="30"/>
        <v>1.8479166666666691</v>
      </c>
      <c r="CK93" s="1">
        <f t="shared" si="30"/>
        <v>12.418749999999999</v>
      </c>
      <c r="CL93" s="1">
        <f t="shared" si="30"/>
        <v>0.19062500000000071</v>
      </c>
      <c r="CM93" s="1">
        <f t="shared" si="30"/>
        <v>26.26145833333333</v>
      </c>
      <c r="CN93" s="1">
        <f t="shared" si="30"/>
        <v>0</v>
      </c>
      <c r="CO93" s="1">
        <f t="shared" si="30"/>
        <v>41.570833333333319</v>
      </c>
      <c r="CP93" s="1">
        <f t="shared" si="28"/>
        <v>0</v>
      </c>
      <c r="CQ93" s="1">
        <f t="shared" si="28"/>
        <v>57.070833333333333</v>
      </c>
      <c r="CR93" s="1">
        <f t="shared" si="24"/>
        <v>0</v>
      </c>
      <c r="CS93" s="1">
        <f t="shared" si="24"/>
        <v>72.57083333333334</v>
      </c>
      <c r="CT93" s="1">
        <f t="shared" si="24"/>
        <v>0</v>
      </c>
      <c r="CU93" s="1">
        <f t="shared" si="24"/>
        <v>88.070833333333354</v>
      </c>
      <c r="CV93" s="1">
        <f t="shared" si="24"/>
        <v>0</v>
      </c>
      <c r="CW93" s="1">
        <f t="shared" si="24"/>
        <v>103.57083333333334</v>
      </c>
      <c r="CX93" s="1">
        <f t="shared" si="31"/>
        <v>3.6958333333333382</v>
      </c>
      <c r="CY93" s="1">
        <f t="shared" si="31"/>
        <v>24.837499999999999</v>
      </c>
      <c r="CZ93" s="1">
        <f t="shared" si="31"/>
        <v>0.38125000000000142</v>
      </c>
      <c r="DA93" s="1">
        <f t="shared" si="31"/>
        <v>52.52291666666666</v>
      </c>
      <c r="DB93" s="1">
        <f t="shared" si="31"/>
        <v>0</v>
      </c>
      <c r="DC93" s="1">
        <f t="shared" si="31"/>
        <v>83.141666666666637</v>
      </c>
      <c r="DD93" s="1">
        <f t="shared" si="29"/>
        <v>0</v>
      </c>
      <c r="DE93" s="1">
        <f t="shared" si="29"/>
        <v>114.14166666666667</v>
      </c>
      <c r="DF93" s="1">
        <f t="shared" si="25"/>
        <v>0</v>
      </c>
      <c r="DG93" s="1">
        <f t="shared" si="25"/>
        <v>145.14166666666668</v>
      </c>
      <c r="DH93" s="1">
        <f t="shared" si="25"/>
        <v>0</v>
      </c>
      <c r="DI93" s="1">
        <f t="shared" si="25"/>
        <v>176.14166666666671</v>
      </c>
      <c r="DJ93" s="1">
        <f t="shared" si="25"/>
        <v>0</v>
      </c>
      <c r="DK93" s="1">
        <f t="shared" si="25"/>
        <v>207.14166666666668</v>
      </c>
      <c r="DL93" s="25"/>
      <c r="DM93" s="25"/>
      <c r="DN93" s="24"/>
      <c r="DO93" s="25"/>
      <c r="DP93" s="25"/>
      <c r="DQ93" s="25"/>
      <c r="DR93" s="25"/>
      <c r="DS93" s="25"/>
      <c r="DT93" s="25"/>
      <c r="DU93" s="25"/>
      <c r="DV93" s="25"/>
    </row>
    <row r="94" spans="1:126" x14ac:dyDescent="0.25">
      <c r="A94" s="261">
        <v>44805</v>
      </c>
      <c r="B94" s="262">
        <f t="shared" si="18"/>
        <v>2022</v>
      </c>
      <c r="C94" s="262">
        <f t="shared" si="19"/>
        <v>9</v>
      </c>
      <c r="D94" s="263">
        <v>43065100.407105252</v>
      </c>
      <c r="E94" s="263">
        <f>IFERROR(VLOOKUP($B94-1,CDM!$L$7:$T$18,2,FALSE)/12,0)+IFERROR(VLOOKUP($B94,CDM!$L$36:$T$46,2,FALSE)/24,0)+IFERROR(VLOOKUP($B94,CDM!$L$36:$T$46,2,FALSE)/2*$C94/78,0)</f>
        <v>2463134.0171658532</v>
      </c>
      <c r="F94" s="263">
        <f t="shared" si="20"/>
        <v>45528234.424271107</v>
      </c>
      <c r="G94" s="264">
        <v>56007</v>
      </c>
      <c r="H94" s="263">
        <v>9760911.5313063357</v>
      </c>
      <c r="I94" s="263">
        <f>IFERROR(VLOOKUP($B94-1,CDM!$L$7:$T$18,3,FALSE)/12,0)+IFERROR(VLOOKUP($B94,CDM!$L$36:$T$46,3,FALSE)/24,0)+IFERROR(VLOOKUP($B94,CDM!$L$36:$T$46,3,FALSE)/2*$C94/78,0)</f>
        <v>650744.3731558288</v>
      </c>
      <c r="J94" s="263">
        <f t="shared" si="21"/>
        <v>10411655.904462164</v>
      </c>
      <c r="K94" s="265">
        <v>4317</v>
      </c>
      <c r="L94" s="265">
        <v>26572810.398099188</v>
      </c>
      <c r="M94" s="266">
        <f>IFERROR(VLOOKUP($B94-1,CDM!$L$7:$T$18,4,FALSE)/12,0)+IFERROR(VLOOKUP($B94,CDM!$L$36:$T$46,4,FALSE)/24,0)+IFERROR(VLOOKUP($B94,CDM!$L$36:$T$46,4,FALSE)/2*$C94/78,0)</f>
        <v>870928.03585070197</v>
      </c>
      <c r="N94" s="263">
        <f t="shared" si="22"/>
        <v>27443738.433949891</v>
      </c>
      <c r="O94" s="4">
        <v>67988.510000000009</v>
      </c>
      <c r="P94" s="265">
        <v>542</v>
      </c>
      <c r="Q94" s="265">
        <v>7216010.0721358433</v>
      </c>
      <c r="R94" s="265">
        <f>IFERROR(VLOOKUP($B94-1,CDM!$L$7:$T$18,5,FALSE)/12,0)+IFERROR(VLOOKUP($B94,CDM!$L$36:$T$46,5,FALSE)/24,0)+IFERROR(VLOOKUP($B94,CDM!$L$36:$T$46,5,FALSE)/2*$C94/78,0)</f>
        <v>900254.73227450892</v>
      </c>
      <c r="S94" s="265">
        <f t="shared" si="32"/>
        <v>8116264.8044103524</v>
      </c>
      <c r="T94" s="265">
        <v>16437.020000000004</v>
      </c>
      <c r="U94" s="265">
        <v>18</v>
      </c>
      <c r="V94" s="265">
        <v>2739776</v>
      </c>
      <c r="W94" s="265">
        <f>IFERROR(VLOOKUP($B94-1,CDM!$L$7:$T$18,6,FALSE)/12,0)+IFERROR(VLOOKUP($B94,CDM!$L$36:$T$46,6,FALSE)/24,0)+IFERROR(VLOOKUP($B94,CDM!$L$36:$T$46,6,FALSE)/2*$C94/78,0)</f>
        <v>33801.088815753938</v>
      </c>
      <c r="X94" s="265">
        <f t="shared" si="33"/>
        <v>2773577.0888157538</v>
      </c>
      <c r="Y94" s="265">
        <v>5792.64</v>
      </c>
      <c r="Z94" s="265">
        <v>1</v>
      </c>
      <c r="AA94" s="4">
        <v>301262.63421505835</v>
      </c>
      <c r="AB94" s="4">
        <v>1059.05</v>
      </c>
      <c r="AC94" s="265">
        <v>14297</v>
      </c>
      <c r="AD94" s="265">
        <v>2285.94</v>
      </c>
      <c r="AE94" s="265">
        <v>0</v>
      </c>
      <c r="AF94" s="265">
        <v>19</v>
      </c>
      <c r="AG94" s="4">
        <v>228421</v>
      </c>
      <c r="AH94" s="4">
        <v>250</v>
      </c>
      <c r="AI94" s="28">
        <f>Economic!H96</f>
        <v>850461.9</v>
      </c>
      <c r="AJ94" s="28">
        <f>Economic!I96</f>
        <v>662856.4</v>
      </c>
      <c r="AK94" s="28">
        <f>Economic!J96</f>
        <v>71555.5</v>
      </c>
      <c r="AL94" s="28">
        <f>Economic!K96</f>
        <v>852979</v>
      </c>
      <c r="AM94" s="28">
        <f>Economic!L96</f>
        <v>664978</v>
      </c>
      <c r="AN94" s="28">
        <f>Economic!M96</f>
        <v>30634</v>
      </c>
      <c r="AO94" s="28">
        <f>Economic!D96</f>
        <v>7740.7</v>
      </c>
      <c r="AP94" s="28">
        <f>Economic!E96</f>
        <v>7766.7</v>
      </c>
      <c r="AQ94" s="28">
        <f>Economic!F96</f>
        <v>226</v>
      </c>
      <c r="AR94" s="28">
        <f>Economic!G96</f>
        <v>224.4</v>
      </c>
      <c r="AS94" s="28">
        <f>Economic!N96</f>
        <v>266.19999999999982</v>
      </c>
      <c r="AT94" s="28">
        <f>Economic!O96</f>
        <v>263.5</v>
      </c>
      <c r="AU94" s="28">
        <f>Economic!P96</f>
        <v>13.099999999999994</v>
      </c>
      <c r="AV94" s="28">
        <f>Economic!Q96</f>
        <v>12.800000000000011</v>
      </c>
      <c r="AW94" s="28">
        <f>Economic!R96</f>
        <v>33196.400000000023</v>
      </c>
      <c r="AX94" s="28">
        <f>Economic!S96</f>
        <v>1358</v>
      </c>
      <c r="AY94" s="7">
        <f>Weather!D94</f>
        <v>16.37402777777778</v>
      </c>
      <c r="AZ94" s="7">
        <f>Weather!E94</f>
        <v>111.79166666666666</v>
      </c>
      <c r="BA94" s="7">
        <f>Weather!F94</f>
        <v>3.0124999999999957</v>
      </c>
      <c r="BB94" s="7">
        <f>Weather!G94</f>
        <v>71.412499999999994</v>
      </c>
      <c r="BC94" s="7">
        <f>Weather!H94</f>
        <v>22.633333333333329</v>
      </c>
      <c r="BD94" s="7">
        <f>Weather!I94</f>
        <v>45.029166666666661</v>
      </c>
      <c r="BE94" s="7">
        <f>Weather!J94</f>
        <v>56.250000000000007</v>
      </c>
      <c r="BF94" s="7">
        <f>Weather!K94</f>
        <v>22.833333333333329</v>
      </c>
      <c r="BG94" s="7">
        <f>Weather!L94</f>
        <v>94.054166666666674</v>
      </c>
      <c r="BH94" s="7">
        <f>Weather!M94</f>
        <v>8.5708333333333329</v>
      </c>
      <c r="BI94" s="7">
        <f>Weather!N94</f>
        <v>139.79166666666663</v>
      </c>
      <c r="BJ94" s="7">
        <f>Weather!O94</f>
        <v>2.1000000000000014</v>
      </c>
      <c r="BK94" s="7">
        <f>Weather!P94</f>
        <v>193.32083333333327</v>
      </c>
      <c r="BL94" s="7">
        <f>Weather!Q94</f>
        <v>0</v>
      </c>
      <c r="BM94" s="7">
        <f>Weather!R94</f>
        <v>251.2208333333333</v>
      </c>
      <c r="BN94" s="1">
        <f t="shared" si="34"/>
        <v>0</v>
      </c>
      <c r="BO94" s="1">
        <f t="shared" si="34"/>
        <v>0</v>
      </c>
      <c r="BP94" s="1">
        <f t="shared" si="34"/>
        <v>0</v>
      </c>
      <c r="BQ94" s="1">
        <f t="shared" si="34"/>
        <v>0</v>
      </c>
      <c r="BR94" s="1">
        <f t="shared" si="34"/>
        <v>0</v>
      </c>
      <c r="BS94" s="1">
        <f t="shared" si="34"/>
        <v>0</v>
      </c>
      <c r="BT94" s="1">
        <f t="shared" si="34"/>
        <v>0</v>
      </c>
      <c r="BU94" s="1">
        <f t="shared" si="34"/>
        <v>0</v>
      </c>
      <c r="BV94" s="1">
        <f t="shared" si="34"/>
        <v>1</v>
      </c>
      <c r="BW94" s="1">
        <f t="shared" si="34"/>
        <v>0</v>
      </c>
      <c r="BX94" s="1">
        <f t="shared" si="34"/>
        <v>0</v>
      </c>
      <c r="BY94" s="1">
        <f t="shared" si="34"/>
        <v>0</v>
      </c>
      <c r="BZ94" s="1">
        <f t="shared" si="34"/>
        <v>0</v>
      </c>
      <c r="CA94" s="1">
        <f t="shared" si="34"/>
        <v>1</v>
      </c>
      <c r="CB94" s="1">
        <f t="shared" si="34"/>
        <v>1</v>
      </c>
      <c r="CC94" s="1">
        <f t="shared" si="23"/>
        <v>93</v>
      </c>
      <c r="CD94" s="1">
        <f t="shared" si="17"/>
        <v>30</v>
      </c>
      <c r="CE94" s="1">
        <v>20</v>
      </c>
      <c r="CF94" s="1">
        <v>0.5</v>
      </c>
      <c r="CG94" s="1">
        <v>0.25</v>
      </c>
      <c r="CH94" s="1">
        <v>0.5</v>
      </c>
      <c r="CI94" s="1">
        <v>0</v>
      </c>
      <c r="CJ94" s="1">
        <f t="shared" si="30"/>
        <v>27.947916666666664</v>
      </c>
      <c r="CK94" s="1">
        <f t="shared" si="30"/>
        <v>0.75312499999999893</v>
      </c>
      <c r="CL94" s="1">
        <f t="shared" si="30"/>
        <v>17.853124999999999</v>
      </c>
      <c r="CM94" s="1">
        <f t="shared" si="30"/>
        <v>5.6583333333333323</v>
      </c>
      <c r="CN94" s="1">
        <f t="shared" si="30"/>
        <v>11.257291666666665</v>
      </c>
      <c r="CO94" s="1">
        <f t="shared" si="30"/>
        <v>14.062500000000002</v>
      </c>
      <c r="CP94" s="1">
        <f t="shared" si="28"/>
        <v>5.7083333333333321</v>
      </c>
      <c r="CQ94" s="1">
        <f t="shared" si="28"/>
        <v>23.513541666666669</v>
      </c>
      <c r="CR94" s="1">
        <f t="shared" si="24"/>
        <v>2.1427083333333332</v>
      </c>
      <c r="CS94" s="1">
        <f t="shared" si="24"/>
        <v>34.947916666666657</v>
      </c>
      <c r="CT94" s="1">
        <f t="shared" si="24"/>
        <v>0.52500000000000036</v>
      </c>
      <c r="CU94" s="1">
        <f t="shared" si="24"/>
        <v>48.330208333333317</v>
      </c>
      <c r="CV94" s="1">
        <f t="shared" si="24"/>
        <v>0</v>
      </c>
      <c r="CW94" s="1">
        <f t="shared" si="24"/>
        <v>62.805208333333326</v>
      </c>
      <c r="CX94" s="1">
        <f t="shared" si="31"/>
        <v>55.895833333333329</v>
      </c>
      <c r="CY94" s="1">
        <f t="shared" si="31"/>
        <v>1.5062499999999979</v>
      </c>
      <c r="CZ94" s="1">
        <f t="shared" si="31"/>
        <v>35.706249999999997</v>
      </c>
      <c r="DA94" s="1">
        <f t="shared" si="31"/>
        <v>11.316666666666665</v>
      </c>
      <c r="DB94" s="1">
        <f t="shared" si="31"/>
        <v>22.514583333333331</v>
      </c>
      <c r="DC94" s="1">
        <f t="shared" si="31"/>
        <v>28.125000000000004</v>
      </c>
      <c r="DD94" s="1">
        <f t="shared" si="29"/>
        <v>11.416666666666664</v>
      </c>
      <c r="DE94" s="1">
        <f t="shared" si="29"/>
        <v>47.027083333333337</v>
      </c>
      <c r="DF94" s="1">
        <f t="shared" si="25"/>
        <v>4.2854166666666664</v>
      </c>
      <c r="DG94" s="1">
        <f t="shared" si="25"/>
        <v>69.895833333333314</v>
      </c>
      <c r="DH94" s="1">
        <f t="shared" si="25"/>
        <v>1.0500000000000007</v>
      </c>
      <c r="DI94" s="1">
        <f t="shared" si="25"/>
        <v>96.660416666666634</v>
      </c>
      <c r="DJ94" s="1">
        <f t="shared" si="25"/>
        <v>0</v>
      </c>
      <c r="DK94" s="1">
        <f t="shared" si="25"/>
        <v>125.61041666666665</v>
      </c>
      <c r="DL94" s="25"/>
      <c r="DM94" s="25"/>
      <c r="DN94" s="24"/>
      <c r="DO94" s="25"/>
      <c r="DP94" s="25"/>
      <c r="DQ94" s="25"/>
      <c r="DR94" s="25"/>
      <c r="DS94" s="25"/>
      <c r="DT94" s="25"/>
      <c r="DU94" s="25"/>
      <c r="DV94" s="25"/>
    </row>
    <row r="95" spans="1:126" x14ac:dyDescent="0.25">
      <c r="A95" s="261">
        <v>44835</v>
      </c>
      <c r="B95" s="262">
        <f t="shared" si="18"/>
        <v>2022</v>
      </c>
      <c r="C95" s="262">
        <f t="shared" si="19"/>
        <v>10</v>
      </c>
      <c r="D95" s="263">
        <v>33389202.31651577</v>
      </c>
      <c r="E95" s="263">
        <f>IFERROR(VLOOKUP($B95-1,CDM!$L$7:$T$18,2,FALSE)/12,0)+IFERROR(VLOOKUP($B95,CDM!$L$36:$T$46,2,FALSE)/24,0)+IFERROR(VLOOKUP($B95,CDM!$L$36:$T$46,2,FALSE)/2*$C95/78,0)</f>
        <v>2464487.4379779496</v>
      </c>
      <c r="F95" s="263">
        <f t="shared" si="20"/>
        <v>35853689.754493721</v>
      </c>
      <c r="G95" s="264">
        <v>55909</v>
      </c>
      <c r="H95" s="263">
        <v>9171464.8415090963</v>
      </c>
      <c r="I95" s="263">
        <f>IFERROR(VLOOKUP($B95-1,CDM!$L$7:$T$18,3,FALSE)/12,0)+IFERROR(VLOOKUP($B95,CDM!$L$36:$T$46,3,FALSE)/24,0)+IFERROR(VLOOKUP($B95,CDM!$L$36:$T$46,3,FALSE)/2*$C95/78,0)</f>
        <v>656581.6255962163</v>
      </c>
      <c r="J95" s="263">
        <f t="shared" si="21"/>
        <v>9828046.4671053123</v>
      </c>
      <c r="K95" s="265">
        <v>4318</v>
      </c>
      <c r="L95" s="4">
        <v>25812729.775310397</v>
      </c>
      <c r="M95" s="266">
        <f>IFERROR(VLOOKUP($B95-1,CDM!$L$7:$T$18,4,FALSE)/12,0)+IFERROR(VLOOKUP($B95,CDM!$L$36:$T$46,4,FALSE)/24,0)+IFERROR(VLOOKUP($B95,CDM!$L$36:$T$46,4,FALSE)/2*$C95/78,0)</f>
        <v>881853.12575441378</v>
      </c>
      <c r="N95" s="263">
        <f t="shared" si="22"/>
        <v>26694582.901064809</v>
      </c>
      <c r="O95" s="4">
        <v>65780.95</v>
      </c>
      <c r="P95" s="265">
        <v>542</v>
      </c>
      <c r="Q95" s="265">
        <v>7505949.6809150111</v>
      </c>
      <c r="R95" s="265">
        <f>IFERROR(VLOOKUP($B95-1,CDM!$L$7:$T$18,5,FALSE)/12,0)+IFERROR(VLOOKUP($B95,CDM!$L$36:$T$46,5,FALSE)/24,0)+IFERROR(VLOOKUP($B95,CDM!$L$36:$T$46,5,FALSE)/2*$C95/78,0)</f>
        <v>902503.43612475356</v>
      </c>
      <c r="S95" s="265">
        <f t="shared" si="32"/>
        <v>8408453.1170397643</v>
      </c>
      <c r="T95" s="265">
        <v>13863.42</v>
      </c>
      <c r="U95" s="265">
        <v>18</v>
      </c>
      <c r="V95" s="265">
        <v>2642054</v>
      </c>
      <c r="W95" s="265">
        <f>IFERROR(VLOOKUP($B95-1,CDM!$L$7:$T$18,6,FALSE)/12,0)+IFERROR(VLOOKUP($B95,CDM!$L$36:$T$46,6,FALSE)/24,0)+IFERROR(VLOOKUP($B95,CDM!$L$36:$T$46,6,FALSE)/2*$C95/78,0)</f>
        <v>34291.099475539333</v>
      </c>
      <c r="X95" s="265">
        <f t="shared" si="33"/>
        <v>2676345.0994755393</v>
      </c>
      <c r="Y95" s="265">
        <v>5294.52</v>
      </c>
      <c r="Z95" s="265">
        <v>1</v>
      </c>
      <c r="AA95" s="4">
        <v>422910.79554822855</v>
      </c>
      <c r="AB95" s="4">
        <v>1059</v>
      </c>
      <c r="AC95" s="265">
        <v>14322</v>
      </c>
      <c r="AD95" s="265">
        <v>2212.1999999999998</v>
      </c>
      <c r="AE95" s="265">
        <v>0</v>
      </c>
      <c r="AF95" s="265">
        <v>19</v>
      </c>
      <c r="AG95" s="4">
        <v>232379</v>
      </c>
      <c r="AH95" s="4">
        <v>253</v>
      </c>
      <c r="AI95" s="28">
        <f>Economic!H97</f>
        <v>850461.9</v>
      </c>
      <c r="AJ95" s="28">
        <f>Economic!I97</f>
        <v>662856.4</v>
      </c>
      <c r="AK95" s="28">
        <f>Economic!J97</f>
        <v>71555.5</v>
      </c>
      <c r="AL95" s="28">
        <f>Economic!K97</f>
        <v>852029</v>
      </c>
      <c r="AM95" s="28">
        <f>Economic!L97</f>
        <v>664944</v>
      </c>
      <c r="AN95" s="28">
        <f>Economic!M97</f>
        <v>31696</v>
      </c>
      <c r="AO95" s="28">
        <f>Economic!D97</f>
        <v>7740.3</v>
      </c>
      <c r="AP95" s="28">
        <f>Economic!E97</f>
        <v>7743.5</v>
      </c>
      <c r="AQ95" s="28">
        <f>Economic!F97</f>
        <v>226.2</v>
      </c>
      <c r="AR95" s="28">
        <f>Economic!G97</f>
        <v>223.5</v>
      </c>
      <c r="AS95" s="28">
        <f>Economic!N97</f>
        <v>210.90000000000055</v>
      </c>
      <c r="AT95" s="28">
        <f>Economic!O97</f>
        <v>205</v>
      </c>
      <c r="AU95" s="28">
        <f>Economic!P97</f>
        <v>9</v>
      </c>
      <c r="AV95" s="28">
        <f>Economic!Q97</f>
        <v>9</v>
      </c>
      <c r="AW95" s="28">
        <f>Economic!R97</f>
        <v>33196.400000000023</v>
      </c>
      <c r="AX95" s="28">
        <f>Economic!S97</f>
        <v>-950</v>
      </c>
      <c r="AY95" s="7">
        <f>Weather!D95</f>
        <v>9.3272381954184187</v>
      </c>
      <c r="AZ95" s="7">
        <f>Weather!E95</f>
        <v>330.85561594202903</v>
      </c>
      <c r="BA95" s="7">
        <f>Weather!F95</f>
        <v>0</v>
      </c>
      <c r="BB95" s="7">
        <f>Weather!G95</f>
        <v>268.85561594202898</v>
      </c>
      <c r="BC95" s="7">
        <f>Weather!H95</f>
        <v>0</v>
      </c>
      <c r="BD95" s="7">
        <f>Weather!I95</f>
        <v>206.85561594202895</v>
      </c>
      <c r="BE95" s="7">
        <f>Weather!J95</f>
        <v>0</v>
      </c>
      <c r="BF95" s="7">
        <f>Weather!K95</f>
        <v>147.2764492753623</v>
      </c>
      <c r="BG95" s="7">
        <f>Weather!L95</f>
        <v>2.4208333333333307</v>
      </c>
      <c r="BH95" s="7">
        <f>Weather!M95</f>
        <v>94.459782608695647</v>
      </c>
      <c r="BI95" s="7">
        <f>Weather!N95</f>
        <v>11.604166666666668</v>
      </c>
      <c r="BJ95" s="7">
        <f>Weather!O95</f>
        <v>52.855615942028983</v>
      </c>
      <c r="BK95" s="7">
        <f>Weather!P95</f>
        <v>32</v>
      </c>
      <c r="BL95" s="7">
        <f>Weather!Q95</f>
        <v>23.659782608695654</v>
      </c>
      <c r="BM95" s="7">
        <f>Weather!R95</f>
        <v>64.804166666666674</v>
      </c>
      <c r="BN95" s="1">
        <f t="shared" ref="BN95:CB110" si="35">BN83</f>
        <v>0</v>
      </c>
      <c r="BO95" s="1">
        <f t="shared" si="35"/>
        <v>0</v>
      </c>
      <c r="BP95" s="1">
        <f t="shared" si="35"/>
        <v>0</v>
      </c>
      <c r="BQ95" s="1">
        <f t="shared" si="35"/>
        <v>0</v>
      </c>
      <c r="BR95" s="1">
        <f t="shared" si="35"/>
        <v>0</v>
      </c>
      <c r="BS95" s="1">
        <f t="shared" si="35"/>
        <v>0</v>
      </c>
      <c r="BT95" s="1">
        <f t="shared" si="35"/>
        <v>0</v>
      </c>
      <c r="BU95" s="1">
        <f t="shared" si="35"/>
        <v>0</v>
      </c>
      <c r="BV95" s="1">
        <f t="shared" si="35"/>
        <v>0</v>
      </c>
      <c r="BW95" s="1">
        <f t="shared" si="35"/>
        <v>1</v>
      </c>
      <c r="BX95" s="1">
        <f t="shared" si="35"/>
        <v>0</v>
      </c>
      <c r="BY95" s="1">
        <f t="shared" si="35"/>
        <v>0</v>
      </c>
      <c r="BZ95" s="1">
        <f t="shared" si="35"/>
        <v>0</v>
      </c>
      <c r="CA95" s="1">
        <f t="shared" si="35"/>
        <v>1</v>
      </c>
      <c r="CB95" s="1">
        <f t="shared" si="35"/>
        <v>1</v>
      </c>
      <c r="CC95" s="1">
        <f t="shared" si="23"/>
        <v>94</v>
      </c>
      <c r="CD95" s="1">
        <f t="shared" si="17"/>
        <v>31</v>
      </c>
      <c r="CE95" s="1">
        <v>20</v>
      </c>
      <c r="CF95" s="1">
        <v>0.5</v>
      </c>
      <c r="CG95" s="1">
        <v>0.25</v>
      </c>
      <c r="CH95" s="1">
        <v>0.5</v>
      </c>
      <c r="CI95" s="1">
        <v>0</v>
      </c>
      <c r="CJ95" s="1">
        <f t="shared" si="30"/>
        <v>82.713903985507258</v>
      </c>
      <c r="CK95" s="1">
        <f t="shared" si="30"/>
        <v>0</v>
      </c>
      <c r="CL95" s="1">
        <f t="shared" si="30"/>
        <v>67.213903985507244</v>
      </c>
      <c r="CM95" s="1">
        <f t="shared" si="30"/>
        <v>0</v>
      </c>
      <c r="CN95" s="1">
        <f t="shared" si="30"/>
        <v>51.713903985507237</v>
      </c>
      <c r="CO95" s="1">
        <f t="shared" si="30"/>
        <v>0</v>
      </c>
      <c r="CP95" s="1">
        <f t="shared" si="28"/>
        <v>36.819112318840574</v>
      </c>
      <c r="CQ95" s="1">
        <f t="shared" si="28"/>
        <v>0.60520833333333268</v>
      </c>
      <c r="CR95" s="1">
        <f t="shared" si="24"/>
        <v>23.614945652173912</v>
      </c>
      <c r="CS95" s="1">
        <f t="shared" si="24"/>
        <v>2.901041666666667</v>
      </c>
      <c r="CT95" s="1">
        <f t="shared" si="24"/>
        <v>13.213903985507246</v>
      </c>
      <c r="CU95" s="1">
        <f t="shared" si="24"/>
        <v>8</v>
      </c>
      <c r="CV95" s="1">
        <f t="shared" si="24"/>
        <v>5.9149456521739134</v>
      </c>
      <c r="CW95" s="1">
        <f t="shared" si="24"/>
        <v>16.201041666666669</v>
      </c>
      <c r="CX95" s="1">
        <f t="shared" si="31"/>
        <v>165.42780797101452</v>
      </c>
      <c r="CY95" s="1">
        <f t="shared" si="31"/>
        <v>0</v>
      </c>
      <c r="CZ95" s="1">
        <f t="shared" si="31"/>
        <v>134.42780797101449</v>
      </c>
      <c r="DA95" s="1">
        <f t="shared" si="31"/>
        <v>0</v>
      </c>
      <c r="DB95" s="1">
        <f t="shared" si="31"/>
        <v>103.42780797101447</v>
      </c>
      <c r="DC95" s="1">
        <f t="shared" si="31"/>
        <v>0</v>
      </c>
      <c r="DD95" s="1">
        <f t="shared" si="29"/>
        <v>73.638224637681148</v>
      </c>
      <c r="DE95" s="1">
        <f t="shared" si="29"/>
        <v>1.2104166666666654</v>
      </c>
      <c r="DF95" s="1">
        <f t="shared" si="25"/>
        <v>47.229891304347824</v>
      </c>
      <c r="DG95" s="1">
        <f t="shared" si="25"/>
        <v>5.8020833333333339</v>
      </c>
      <c r="DH95" s="1">
        <f t="shared" si="25"/>
        <v>26.427807971014492</v>
      </c>
      <c r="DI95" s="1">
        <f t="shared" si="25"/>
        <v>16</v>
      </c>
      <c r="DJ95" s="1">
        <f t="shared" si="25"/>
        <v>11.829891304347827</v>
      </c>
      <c r="DK95" s="1">
        <f t="shared" si="25"/>
        <v>32.402083333333337</v>
      </c>
      <c r="DL95" s="25"/>
      <c r="DM95" s="25"/>
      <c r="DN95" s="24"/>
      <c r="DO95" s="25"/>
      <c r="DP95" s="25"/>
      <c r="DQ95" s="25"/>
      <c r="DR95" s="25"/>
      <c r="DS95" s="25"/>
      <c r="DT95" s="25"/>
      <c r="DU95" s="25"/>
      <c r="DV95" s="25"/>
    </row>
    <row r="96" spans="1:126" x14ac:dyDescent="0.25">
      <c r="A96" s="261">
        <v>44866</v>
      </c>
      <c r="B96" s="262">
        <f t="shared" si="18"/>
        <v>2022</v>
      </c>
      <c r="C96" s="262">
        <f t="shared" si="19"/>
        <v>11</v>
      </c>
      <c r="D96" s="263">
        <v>36813909.437606379</v>
      </c>
      <c r="E96" s="263">
        <f>IFERROR(VLOOKUP($B96-1,CDM!$L$7:$T$18,2,FALSE)/12,0)+IFERROR(VLOOKUP($B96,CDM!$L$36:$T$46,2,FALSE)/24,0)+IFERROR(VLOOKUP($B96,CDM!$L$36:$T$46,2,FALSE)/2*$C96/78,0)</f>
        <v>2465840.8587900461</v>
      </c>
      <c r="F96" s="263">
        <f t="shared" si="20"/>
        <v>39279750.296396427</v>
      </c>
      <c r="G96" s="264">
        <v>56131</v>
      </c>
      <c r="H96" s="263">
        <v>10011776.613460153</v>
      </c>
      <c r="I96" s="263">
        <f>IFERROR(VLOOKUP($B96-1,CDM!$L$7:$T$18,3,FALSE)/12,0)+IFERROR(VLOOKUP($B96,CDM!$L$36:$T$46,3,FALSE)/24,0)+IFERROR(VLOOKUP($B96,CDM!$L$36:$T$46,3,FALSE)/2*$C96/78,0)</f>
        <v>662418.8780366038</v>
      </c>
      <c r="J96" s="263">
        <f t="shared" si="21"/>
        <v>10674195.491496757</v>
      </c>
      <c r="K96" s="265">
        <v>4330</v>
      </c>
      <c r="L96" s="4">
        <v>26325872.081837926</v>
      </c>
      <c r="M96" s="266">
        <f>IFERROR(VLOOKUP($B96-1,CDM!$L$7:$T$18,4,FALSE)/12,0)+IFERROR(VLOOKUP($B96,CDM!$L$36:$T$46,4,FALSE)/24,0)+IFERROR(VLOOKUP($B96,CDM!$L$36:$T$46,4,FALSE)/2*$C96/78,0)</f>
        <v>892778.21565812558</v>
      </c>
      <c r="N96" s="263">
        <f t="shared" si="22"/>
        <v>27218650.297496051</v>
      </c>
      <c r="O96" s="4">
        <v>66598.679872000008</v>
      </c>
      <c r="P96" s="265">
        <v>543</v>
      </c>
      <c r="Q96" s="265">
        <v>6535302.1219652826</v>
      </c>
      <c r="R96" s="265">
        <f>IFERROR(VLOOKUP($B96-1,CDM!$L$7:$T$18,5,FALSE)/12,0)+IFERROR(VLOOKUP($B96,CDM!$L$36:$T$46,5,FALSE)/24,0)+IFERROR(VLOOKUP($B96,CDM!$L$36:$T$46,5,FALSE)/2*$C96/78,0)</f>
        <v>904752.13997499831</v>
      </c>
      <c r="S96" s="265">
        <f t="shared" si="32"/>
        <v>7440054.2619402809</v>
      </c>
      <c r="T96" s="265">
        <v>14185.995584</v>
      </c>
      <c r="U96" s="265">
        <v>18</v>
      </c>
      <c r="V96" s="265">
        <v>2584119</v>
      </c>
      <c r="W96" s="265">
        <f>IFERROR(VLOOKUP($B96-1,CDM!$L$7:$T$18,6,FALSE)/12,0)+IFERROR(VLOOKUP($B96,CDM!$L$36:$T$46,6,FALSE)/24,0)+IFERROR(VLOOKUP($B96,CDM!$L$36:$T$46,6,FALSE)/2*$C96/78,0)</f>
        <v>34781.110135324736</v>
      </c>
      <c r="X96" s="265">
        <f t="shared" si="33"/>
        <v>2618900.1101353248</v>
      </c>
      <c r="Y96" s="265">
        <v>5172.7280639999999</v>
      </c>
      <c r="Z96" s="265">
        <v>1</v>
      </c>
      <c r="AA96" s="4">
        <v>449439.20718190307</v>
      </c>
      <c r="AB96" s="4">
        <v>1060</v>
      </c>
      <c r="AC96" s="265">
        <v>14322</v>
      </c>
      <c r="AD96" s="265">
        <v>2285.94</v>
      </c>
      <c r="AE96" s="265">
        <v>0</v>
      </c>
      <c r="AF96" s="265">
        <v>19</v>
      </c>
      <c r="AG96" s="4">
        <v>232995</v>
      </c>
      <c r="AH96" s="4">
        <v>257</v>
      </c>
      <c r="AI96" s="28">
        <f>Economic!H98</f>
        <v>850461.9</v>
      </c>
      <c r="AJ96" s="28">
        <f>Economic!I98</f>
        <v>662856.4</v>
      </c>
      <c r="AK96" s="28">
        <f>Economic!J98</f>
        <v>71555.5</v>
      </c>
      <c r="AL96" s="28">
        <f>Economic!K98</f>
        <v>852029</v>
      </c>
      <c r="AM96" s="28">
        <f>Economic!L98</f>
        <v>664944</v>
      </c>
      <c r="AN96" s="28">
        <f>Economic!M98</f>
        <v>31696</v>
      </c>
      <c r="AO96" s="28">
        <f>Economic!D98</f>
        <v>7747.2</v>
      </c>
      <c r="AP96" s="28">
        <f>Economic!E98</f>
        <v>7738.9</v>
      </c>
      <c r="AQ96" s="28">
        <f>Economic!F98</f>
        <v>225.9</v>
      </c>
      <c r="AR96" s="28">
        <f>Economic!G98</f>
        <v>223.8</v>
      </c>
      <c r="AS96" s="28">
        <f>Economic!N98</f>
        <v>155.19999999999982</v>
      </c>
      <c r="AT96" s="28">
        <f>Economic!O98</f>
        <v>148.79999999999927</v>
      </c>
      <c r="AU96" s="28">
        <f>Economic!P98</f>
        <v>3.3000000000000114</v>
      </c>
      <c r="AV96" s="28">
        <f>Economic!Q98</f>
        <v>3.6000000000000227</v>
      </c>
      <c r="AW96" s="28">
        <f>Economic!R98</f>
        <v>33196.400000000023</v>
      </c>
      <c r="AX96" s="28">
        <f>Economic!S98</f>
        <v>-950</v>
      </c>
      <c r="AY96" s="7">
        <f>Weather!D96</f>
        <v>4.2722222222222213</v>
      </c>
      <c r="AZ96" s="7">
        <f>Weather!E96</f>
        <v>471.83333333333348</v>
      </c>
      <c r="BA96" s="7">
        <f>Weather!F96</f>
        <v>0</v>
      </c>
      <c r="BB96" s="7">
        <f>Weather!G96</f>
        <v>411.83333333333348</v>
      </c>
      <c r="BC96" s="7">
        <f>Weather!H96</f>
        <v>0</v>
      </c>
      <c r="BD96" s="7">
        <f>Weather!I96</f>
        <v>351.83333333333343</v>
      </c>
      <c r="BE96" s="7">
        <f>Weather!J96</f>
        <v>0</v>
      </c>
      <c r="BF96" s="7">
        <f>Weather!K96</f>
        <v>294.14166666666671</v>
      </c>
      <c r="BG96" s="7">
        <f>Weather!L96</f>
        <v>2.3083333333333318</v>
      </c>
      <c r="BH96" s="7">
        <f>Weather!M96</f>
        <v>238.41249999999999</v>
      </c>
      <c r="BI96" s="7">
        <f>Weather!N96</f>
        <v>6.5791666666666675</v>
      </c>
      <c r="BJ96" s="7">
        <f>Weather!O96</f>
        <v>185.6583333333333</v>
      </c>
      <c r="BK96" s="7">
        <f>Weather!P96</f>
        <v>13.824999999999999</v>
      </c>
      <c r="BL96" s="7">
        <f>Weather!Q96</f>
        <v>138.80000000000001</v>
      </c>
      <c r="BM96" s="7">
        <f>Weather!R96</f>
        <v>26.966666666666669</v>
      </c>
      <c r="BN96" s="1">
        <f t="shared" si="35"/>
        <v>0</v>
      </c>
      <c r="BO96" s="1">
        <f t="shared" si="35"/>
        <v>0</v>
      </c>
      <c r="BP96" s="1">
        <f t="shared" si="35"/>
        <v>0</v>
      </c>
      <c r="BQ96" s="1">
        <f t="shared" si="35"/>
        <v>0</v>
      </c>
      <c r="BR96" s="1">
        <f t="shared" si="35"/>
        <v>0</v>
      </c>
      <c r="BS96" s="1">
        <f t="shared" si="35"/>
        <v>0</v>
      </c>
      <c r="BT96" s="1">
        <f t="shared" si="35"/>
        <v>0</v>
      </c>
      <c r="BU96" s="1">
        <f t="shared" si="35"/>
        <v>0</v>
      </c>
      <c r="BV96" s="1">
        <f t="shared" si="35"/>
        <v>0</v>
      </c>
      <c r="BW96" s="1">
        <f t="shared" si="35"/>
        <v>0</v>
      </c>
      <c r="BX96" s="1">
        <f t="shared" si="35"/>
        <v>1</v>
      </c>
      <c r="BY96" s="1">
        <f t="shared" si="35"/>
        <v>0</v>
      </c>
      <c r="BZ96" s="1">
        <f t="shared" si="35"/>
        <v>0</v>
      </c>
      <c r="CA96" s="1">
        <f t="shared" si="35"/>
        <v>1</v>
      </c>
      <c r="CB96" s="1">
        <f t="shared" si="35"/>
        <v>1</v>
      </c>
      <c r="CC96" s="1">
        <f t="shared" si="23"/>
        <v>95</v>
      </c>
      <c r="CD96" s="1">
        <f t="shared" si="17"/>
        <v>30</v>
      </c>
      <c r="CE96" s="1">
        <v>22</v>
      </c>
      <c r="CF96" s="1">
        <v>0.5</v>
      </c>
      <c r="CG96" s="1">
        <v>0.25</v>
      </c>
      <c r="CH96" s="1">
        <v>0.5</v>
      </c>
      <c r="CI96" s="1">
        <v>0</v>
      </c>
      <c r="CJ96" s="1">
        <f t="shared" si="30"/>
        <v>117.95833333333337</v>
      </c>
      <c r="CK96" s="1">
        <f t="shared" si="30"/>
        <v>0</v>
      </c>
      <c r="CL96" s="1">
        <f t="shared" si="30"/>
        <v>102.95833333333337</v>
      </c>
      <c r="CM96" s="1">
        <f t="shared" si="30"/>
        <v>0</v>
      </c>
      <c r="CN96" s="1">
        <f t="shared" si="30"/>
        <v>87.958333333333357</v>
      </c>
      <c r="CO96" s="1">
        <f t="shared" si="30"/>
        <v>0</v>
      </c>
      <c r="CP96" s="1">
        <f t="shared" si="28"/>
        <v>73.535416666666677</v>
      </c>
      <c r="CQ96" s="1">
        <f t="shared" si="28"/>
        <v>0.57708333333333295</v>
      </c>
      <c r="CR96" s="1">
        <f t="shared" si="24"/>
        <v>59.603124999999999</v>
      </c>
      <c r="CS96" s="1">
        <f t="shared" si="24"/>
        <v>1.6447916666666669</v>
      </c>
      <c r="CT96" s="1">
        <f t="shared" si="24"/>
        <v>46.414583333333326</v>
      </c>
      <c r="CU96" s="1">
        <f t="shared" si="24"/>
        <v>3.4562499999999998</v>
      </c>
      <c r="CV96" s="1">
        <f t="shared" si="24"/>
        <v>34.700000000000003</v>
      </c>
      <c r="CW96" s="1">
        <f t="shared" si="24"/>
        <v>6.7416666666666671</v>
      </c>
      <c r="CX96" s="1">
        <f t="shared" si="31"/>
        <v>235.91666666666674</v>
      </c>
      <c r="CY96" s="1">
        <f t="shared" si="31"/>
        <v>0</v>
      </c>
      <c r="CZ96" s="1">
        <f t="shared" si="31"/>
        <v>205.91666666666674</v>
      </c>
      <c r="DA96" s="1">
        <f t="shared" si="31"/>
        <v>0</v>
      </c>
      <c r="DB96" s="1">
        <f t="shared" si="31"/>
        <v>175.91666666666671</v>
      </c>
      <c r="DC96" s="1">
        <f t="shared" si="31"/>
        <v>0</v>
      </c>
      <c r="DD96" s="1">
        <f t="shared" si="29"/>
        <v>147.07083333333335</v>
      </c>
      <c r="DE96" s="1">
        <f t="shared" si="29"/>
        <v>1.1541666666666659</v>
      </c>
      <c r="DF96" s="1">
        <f t="shared" si="25"/>
        <v>119.20625</v>
      </c>
      <c r="DG96" s="1">
        <f t="shared" si="25"/>
        <v>3.2895833333333337</v>
      </c>
      <c r="DH96" s="1">
        <f t="shared" si="25"/>
        <v>92.829166666666652</v>
      </c>
      <c r="DI96" s="1">
        <f t="shared" si="25"/>
        <v>6.9124999999999996</v>
      </c>
      <c r="DJ96" s="1">
        <f t="shared" si="25"/>
        <v>69.400000000000006</v>
      </c>
      <c r="DK96" s="1">
        <f t="shared" si="25"/>
        <v>13.483333333333334</v>
      </c>
      <c r="DL96" s="25"/>
      <c r="DM96" s="25"/>
      <c r="DN96" s="24"/>
      <c r="DO96" s="25"/>
      <c r="DP96" s="25"/>
      <c r="DQ96" s="25"/>
      <c r="DR96" s="25"/>
      <c r="DS96" s="25"/>
      <c r="DT96" s="25"/>
      <c r="DU96" s="25"/>
      <c r="DV96" s="25"/>
    </row>
    <row r="97" spans="1:126" x14ac:dyDescent="0.25">
      <c r="A97" s="261">
        <v>44896</v>
      </c>
      <c r="B97" s="262">
        <f t="shared" si="18"/>
        <v>2022</v>
      </c>
      <c r="C97" s="262">
        <f t="shared" si="19"/>
        <v>12</v>
      </c>
      <c r="D97" s="263">
        <v>43479324.748896815</v>
      </c>
      <c r="E97" s="263">
        <f>IFERROR(VLOOKUP($B97-1,CDM!$L$7:$T$18,2,FALSE)/12,0)+IFERROR(VLOOKUP($B97,CDM!$L$36:$T$46,2,FALSE)/24,0)+IFERROR(VLOOKUP($B97,CDM!$L$36:$T$46,2,FALSE)/2*$C97/78,0)</f>
        <v>2467194.2796021425</v>
      </c>
      <c r="F97" s="263">
        <f t="shared" si="20"/>
        <v>45946519.028498955</v>
      </c>
      <c r="G97" s="264">
        <v>56121</v>
      </c>
      <c r="H97" s="263">
        <v>11469193.960186472</v>
      </c>
      <c r="I97" s="263">
        <f>IFERROR(VLOOKUP($B97-1,CDM!$L$7:$T$18,3,FALSE)/12,0)+IFERROR(VLOOKUP($B97,CDM!$L$36:$T$46,3,FALSE)/24,0)+IFERROR(VLOOKUP($B97,CDM!$L$36:$T$46,3,FALSE)/2*$C97/78,0)</f>
        <v>668256.1304769913</v>
      </c>
      <c r="J97" s="263">
        <f t="shared" si="21"/>
        <v>12137450.090663463</v>
      </c>
      <c r="K97" s="265">
        <v>4328</v>
      </c>
      <c r="L97" s="265">
        <v>32309572.356373917</v>
      </c>
      <c r="M97" s="266">
        <f>IFERROR(VLOOKUP($B97-1,CDM!$L$7:$T$18,4,FALSE)/12,0)+IFERROR(VLOOKUP($B97,CDM!$L$36:$T$46,4,FALSE)/24,0)+IFERROR(VLOOKUP($B97,CDM!$L$36:$T$46,4,FALSE)/2*$C97/78,0)</f>
        <v>903703.30556183727</v>
      </c>
      <c r="N97" s="263">
        <f t="shared" si="22"/>
        <v>33213275.661935754</v>
      </c>
      <c r="O97" s="265">
        <v>53668.939660475706</v>
      </c>
      <c r="P97" s="265">
        <v>544</v>
      </c>
      <c r="Q97" s="265">
        <v>6279854.1853795862</v>
      </c>
      <c r="R97" s="265">
        <f>IFERROR(VLOOKUP($B97-1,CDM!$L$7:$T$18,5,FALSE)/12,0)+IFERROR(VLOOKUP($B97,CDM!$L$36:$T$46,5,FALSE)/24,0)+IFERROR(VLOOKUP($B97,CDM!$L$36:$T$46,5,FALSE)/2*$C97/78,0)</f>
        <v>907000.84382524295</v>
      </c>
      <c r="S97" s="265">
        <f t="shared" si="32"/>
        <v>7186855.0292048287</v>
      </c>
      <c r="T97" s="265">
        <v>13838.55</v>
      </c>
      <c r="U97" s="265">
        <v>18</v>
      </c>
      <c r="V97" s="265">
        <v>2398663</v>
      </c>
      <c r="W97" s="265">
        <f>IFERROR(VLOOKUP($B97-1,CDM!$L$7:$T$18,6,FALSE)/12,0)+IFERROR(VLOOKUP($B97,CDM!$L$36:$T$46,6,FALSE)/24,0)+IFERROR(VLOOKUP($B97,CDM!$L$36:$T$46,6,FALSE)/2*$C97/78,0)</f>
        <v>35271.120795110139</v>
      </c>
      <c r="X97" s="265">
        <f t="shared" si="33"/>
        <v>2433934.1207951102</v>
      </c>
      <c r="Y97" s="265">
        <v>5590.2</v>
      </c>
      <c r="Z97" s="265">
        <v>1</v>
      </c>
      <c r="AA97" s="4">
        <v>487817.33382266638</v>
      </c>
      <c r="AB97" s="4">
        <v>1060</v>
      </c>
      <c r="AC97" s="265">
        <v>14322</v>
      </c>
      <c r="AD97" s="265">
        <v>2285.94</v>
      </c>
      <c r="AE97" s="265">
        <v>79</v>
      </c>
      <c r="AF97" s="265">
        <v>19</v>
      </c>
      <c r="AG97" s="4">
        <v>233069</v>
      </c>
      <c r="AH97" s="4">
        <v>259</v>
      </c>
      <c r="AI97" s="28">
        <f>Economic!H99</f>
        <v>850461.9</v>
      </c>
      <c r="AJ97" s="28">
        <f>Economic!I99</f>
        <v>662856.4</v>
      </c>
      <c r="AK97" s="28">
        <f>Economic!J99</f>
        <v>71555.5</v>
      </c>
      <c r="AL97" s="28">
        <f>Economic!K99</f>
        <v>852029</v>
      </c>
      <c r="AM97" s="28">
        <f>Economic!L99</f>
        <v>664944</v>
      </c>
      <c r="AN97" s="28">
        <f>Economic!M99</f>
        <v>31696</v>
      </c>
      <c r="AO97" s="28">
        <f>Economic!D99</f>
        <v>7776.1</v>
      </c>
      <c r="AP97" s="28">
        <f>Economic!E99</f>
        <v>7777.2</v>
      </c>
      <c r="AQ97" s="28">
        <f>Economic!F99</f>
        <v>227.6</v>
      </c>
      <c r="AR97" s="28">
        <f>Economic!G99</f>
        <v>227.1</v>
      </c>
      <c r="AS97" s="28">
        <f>Economic!N99</f>
        <v>131.90000000000055</v>
      </c>
      <c r="AT97" s="28">
        <f>Economic!O99</f>
        <v>129.69999999999982</v>
      </c>
      <c r="AU97" s="28">
        <f>Economic!P99</f>
        <v>4.0999999999999943</v>
      </c>
      <c r="AV97" s="28">
        <f>Economic!Q99</f>
        <v>4.7999999999999829</v>
      </c>
      <c r="AW97" s="28">
        <f>Economic!R99</f>
        <v>33196.400000000023</v>
      </c>
      <c r="AX97" s="28">
        <f>Economic!S99</f>
        <v>-950</v>
      </c>
      <c r="AY97" s="7">
        <f>Weather!D97</f>
        <v>-0.87486559139784936</v>
      </c>
      <c r="AZ97" s="7">
        <f>Weather!E97</f>
        <v>647.12083333333328</v>
      </c>
      <c r="BA97" s="7">
        <f>Weather!F97</f>
        <v>0</v>
      </c>
      <c r="BB97" s="7">
        <f>Weather!G97</f>
        <v>585.12083333333328</v>
      </c>
      <c r="BC97" s="7">
        <f>Weather!H97</f>
        <v>0</v>
      </c>
      <c r="BD97" s="7">
        <f>Weather!I97</f>
        <v>523.12083333333328</v>
      </c>
      <c r="BE97" s="7">
        <f>Weather!J97</f>
        <v>0</v>
      </c>
      <c r="BF97" s="7">
        <f>Weather!K97</f>
        <v>461.12083333333328</v>
      </c>
      <c r="BG97" s="7">
        <f>Weather!L97</f>
        <v>0</v>
      </c>
      <c r="BH97" s="7">
        <f>Weather!M97</f>
        <v>399.12083333333328</v>
      </c>
      <c r="BI97" s="7">
        <f>Weather!N97</f>
        <v>0</v>
      </c>
      <c r="BJ97" s="7">
        <f>Weather!O97</f>
        <v>337.12083333333322</v>
      </c>
      <c r="BK97" s="7">
        <f>Weather!P97</f>
        <v>0</v>
      </c>
      <c r="BL97" s="7">
        <f>Weather!Q97</f>
        <v>275.12083333333322</v>
      </c>
      <c r="BM97" s="7">
        <f>Weather!R97</f>
        <v>0</v>
      </c>
      <c r="BN97" s="1">
        <f t="shared" si="35"/>
        <v>0</v>
      </c>
      <c r="BO97" s="1">
        <f t="shared" si="35"/>
        <v>0</v>
      </c>
      <c r="BP97" s="1">
        <f t="shared" si="35"/>
        <v>0</v>
      </c>
      <c r="BQ97" s="1">
        <f t="shared" si="35"/>
        <v>0</v>
      </c>
      <c r="BR97" s="1">
        <f t="shared" si="35"/>
        <v>0</v>
      </c>
      <c r="BS97" s="1">
        <f t="shared" si="35"/>
        <v>0</v>
      </c>
      <c r="BT97" s="1">
        <f t="shared" si="35"/>
        <v>0</v>
      </c>
      <c r="BU97" s="1">
        <f t="shared" si="35"/>
        <v>0</v>
      </c>
      <c r="BV97" s="1">
        <f t="shared" si="35"/>
        <v>0</v>
      </c>
      <c r="BW97" s="1">
        <f t="shared" si="35"/>
        <v>0</v>
      </c>
      <c r="BX97" s="1">
        <f t="shared" si="35"/>
        <v>0</v>
      </c>
      <c r="BY97" s="1">
        <f t="shared" si="35"/>
        <v>1</v>
      </c>
      <c r="BZ97" s="1">
        <f t="shared" si="35"/>
        <v>0</v>
      </c>
      <c r="CA97" s="1">
        <f t="shared" si="35"/>
        <v>0</v>
      </c>
      <c r="CB97" s="1">
        <f t="shared" si="35"/>
        <v>0</v>
      </c>
      <c r="CC97" s="1">
        <f t="shared" si="23"/>
        <v>96</v>
      </c>
      <c r="CD97" s="1">
        <f t="shared" si="17"/>
        <v>31</v>
      </c>
      <c r="CE97" s="1">
        <v>20</v>
      </c>
      <c r="CF97" s="1">
        <v>0.5</v>
      </c>
      <c r="CG97" s="1">
        <v>0.25</v>
      </c>
      <c r="CH97" s="1">
        <v>0.5</v>
      </c>
      <c r="CI97" s="1">
        <v>0</v>
      </c>
      <c r="CJ97" s="1">
        <f t="shared" si="30"/>
        <v>161.78020833333332</v>
      </c>
      <c r="CK97" s="1">
        <f t="shared" si="30"/>
        <v>0</v>
      </c>
      <c r="CL97" s="1">
        <f t="shared" si="30"/>
        <v>146.28020833333332</v>
      </c>
      <c r="CM97" s="1">
        <f t="shared" si="30"/>
        <v>0</v>
      </c>
      <c r="CN97" s="1">
        <f t="shared" si="30"/>
        <v>130.78020833333332</v>
      </c>
      <c r="CO97" s="1">
        <f t="shared" si="30"/>
        <v>0</v>
      </c>
      <c r="CP97" s="1">
        <f t="shared" si="28"/>
        <v>115.28020833333332</v>
      </c>
      <c r="CQ97" s="1">
        <f t="shared" si="28"/>
        <v>0</v>
      </c>
      <c r="CR97" s="1">
        <f t="shared" si="24"/>
        <v>99.78020833333332</v>
      </c>
      <c r="CS97" s="1">
        <f t="shared" si="24"/>
        <v>0</v>
      </c>
      <c r="CT97" s="1">
        <f t="shared" si="24"/>
        <v>84.280208333333306</v>
      </c>
      <c r="CU97" s="1">
        <f t="shared" si="24"/>
        <v>0</v>
      </c>
      <c r="CV97" s="1">
        <f t="shared" si="24"/>
        <v>68.780208333333306</v>
      </c>
      <c r="CW97" s="1">
        <f t="shared" si="24"/>
        <v>0</v>
      </c>
      <c r="CX97" s="1">
        <f t="shared" si="31"/>
        <v>323.56041666666664</v>
      </c>
      <c r="CY97" s="1">
        <f t="shared" si="31"/>
        <v>0</v>
      </c>
      <c r="CZ97" s="1">
        <f t="shared" si="31"/>
        <v>292.56041666666664</v>
      </c>
      <c r="DA97" s="1">
        <f t="shared" si="31"/>
        <v>0</v>
      </c>
      <c r="DB97" s="1">
        <f t="shared" si="31"/>
        <v>261.56041666666664</v>
      </c>
      <c r="DC97" s="1">
        <f t="shared" si="31"/>
        <v>0</v>
      </c>
      <c r="DD97" s="1">
        <f t="shared" si="29"/>
        <v>230.56041666666664</v>
      </c>
      <c r="DE97" s="1">
        <f t="shared" si="29"/>
        <v>0</v>
      </c>
      <c r="DF97" s="1">
        <f t="shared" si="25"/>
        <v>199.56041666666664</v>
      </c>
      <c r="DG97" s="1">
        <f t="shared" si="25"/>
        <v>0</v>
      </c>
      <c r="DH97" s="1">
        <f t="shared" si="25"/>
        <v>168.56041666666661</v>
      </c>
      <c r="DI97" s="1">
        <f t="shared" si="25"/>
        <v>0</v>
      </c>
      <c r="DJ97" s="1">
        <f t="shared" si="25"/>
        <v>137.56041666666661</v>
      </c>
      <c r="DK97" s="1">
        <f t="shared" si="25"/>
        <v>0</v>
      </c>
      <c r="DL97" s="25"/>
      <c r="DM97" s="25"/>
      <c r="DN97" s="24"/>
      <c r="DO97" s="25"/>
      <c r="DP97" s="25"/>
      <c r="DQ97" s="25"/>
      <c r="DR97" s="25"/>
      <c r="DS97" s="25"/>
      <c r="DT97" s="25"/>
      <c r="DU97" s="25"/>
      <c r="DV97" s="25"/>
    </row>
    <row r="98" spans="1:126" x14ac:dyDescent="0.25">
      <c r="A98" s="261">
        <v>44927</v>
      </c>
      <c r="B98" s="262">
        <f t="shared" si="18"/>
        <v>2023</v>
      </c>
      <c r="C98" s="262">
        <f t="shared" si="19"/>
        <v>1</v>
      </c>
      <c r="D98" s="263">
        <v>47321247.724178247</v>
      </c>
      <c r="E98" s="263">
        <f>IFERROR(VLOOKUP($B98-1,CDM!$L$7:$T$18,2,FALSE)/12,0)+IFERROR(VLOOKUP($B98,CDM!$L$36:$T$46,2,FALSE)/24,0)+IFERROR(VLOOKUP($B98,CDM!$L$36:$T$46,2,FALSE)/2*$C98/78,0)</f>
        <v>2489404.5225710627</v>
      </c>
      <c r="F98" s="263">
        <f t="shared" si="20"/>
        <v>49810652.246749312</v>
      </c>
      <c r="G98" s="264">
        <v>56311</v>
      </c>
      <c r="H98" s="263">
        <v>11205649.907919466</v>
      </c>
      <c r="I98" s="263">
        <f>IFERROR(VLOOKUP($B98-1,CDM!$L$7:$T$18,3,FALSE)/12,0)+IFERROR(VLOOKUP($B98,CDM!$L$36:$T$46,3,FALSE)/24,0)+IFERROR(VLOOKUP($B98,CDM!$L$36:$T$46,3,FALSE)/2*$C98/78,0)</f>
        <v>695270.84902940411</v>
      </c>
      <c r="J98" s="263">
        <f t="shared" si="21"/>
        <v>11900920.75694887</v>
      </c>
      <c r="K98" s="265">
        <v>4326</v>
      </c>
      <c r="L98" s="265">
        <v>32685114.047520991</v>
      </c>
      <c r="M98" s="266">
        <f>IFERROR(VLOOKUP($B98-1,CDM!$L$7:$T$18,4,FALSE)/12,0)+IFERROR(VLOOKUP($B98,CDM!$L$36:$T$46,4,FALSE)/24,0)+IFERROR(VLOOKUP($B98,CDM!$L$36:$T$46,4,FALSE)/2*$C98/78,0)</f>
        <v>951130.94846040709</v>
      </c>
      <c r="N98" s="263">
        <f t="shared" si="22"/>
        <v>33636244.995981395</v>
      </c>
      <c r="O98" s="265">
        <v>54859.010211524306</v>
      </c>
      <c r="P98" s="265">
        <v>542</v>
      </c>
      <c r="Q98" s="265">
        <v>6352846.3944661673</v>
      </c>
      <c r="R98" s="265">
        <f>IFERROR(VLOOKUP($B98-1,CDM!$L$7:$T$18,5,FALSE)/12,0)+IFERROR(VLOOKUP($B98,CDM!$L$36:$T$46,5,FALSE)/24,0)+IFERROR(VLOOKUP($B98,CDM!$L$36:$T$46,5,FALSE)/2*$C98/78,0)</f>
        <v>944673.42998192389</v>
      </c>
      <c r="S98" s="265">
        <f t="shared" si="32"/>
        <v>7297519.824448091</v>
      </c>
      <c r="T98" s="265">
        <v>14145.41</v>
      </c>
      <c r="U98" s="265">
        <v>18</v>
      </c>
      <c r="V98" s="265">
        <v>2718971.7479580869</v>
      </c>
      <c r="W98" s="265">
        <f>IFERROR(VLOOKUP($B98-1,CDM!$L$7:$T$18,6,FALSE)/12,0)+IFERROR(VLOOKUP($B98,CDM!$L$36:$T$46,6,FALSE)/24,0)+IFERROR(VLOOKUP($B98,CDM!$L$36:$T$46,6,FALSE)/2*$C98/78,0)</f>
        <v>39510.516604836826</v>
      </c>
      <c r="X98" s="265">
        <f t="shared" si="33"/>
        <v>2758482.2645629239</v>
      </c>
      <c r="Y98" s="265">
        <v>5331.48</v>
      </c>
      <c r="Z98" s="265">
        <v>1</v>
      </c>
      <c r="AA98" s="4">
        <v>488854.44281625398</v>
      </c>
      <c r="AB98" s="4">
        <v>1061</v>
      </c>
      <c r="AC98" s="265">
        <v>14338</v>
      </c>
      <c r="AD98" s="265">
        <v>2064.7199999999998</v>
      </c>
      <c r="AE98" s="265">
        <v>0</v>
      </c>
      <c r="AF98" s="265">
        <v>19</v>
      </c>
      <c r="AG98" s="4">
        <v>233132</v>
      </c>
      <c r="AH98" s="4">
        <v>260</v>
      </c>
      <c r="AI98" s="28">
        <f>Economic!H100</f>
        <v>865859.6</v>
      </c>
      <c r="AJ98" s="28">
        <f>Economic!I100</f>
        <v>679067</v>
      </c>
      <c r="AK98" s="28">
        <f>Economic!J100</f>
        <v>74531.5</v>
      </c>
      <c r="AL98" s="28">
        <f>Economic!K100</f>
        <v>860658</v>
      </c>
      <c r="AM98" s="28">
        <f>Economic!L100</f>
        <v>671794</v>
      </c>
      <c r="AN98" s="28">
        <f>Economic!M100</f>
        <v>32304</v>
      </c>
      <c r="AO98" s="28">
        <f>Economic!D100</f>
        <v>7807</v>
      </c>
      <c r="AP98" s="28">
        <f>Economic!E100</f>
        <v>7776.6</v>
      </c>
      <c r="AQ98" s="28">
        <f>Economic!F100</f>
        <v>228.9</v>
      </c>
      <c r="AR98" s="28">
        <f>Economic!G100</f>
        <v>229.2</v>
      </c>
      <c r="AS98" s="28">
        <f>Economic!N100</f>
        <v>179.30000000000018</v>
      </c>
      <c r="AT98" s="28">
        <f>Economic!O100</f>
        <v>181.5</v>
      </c>
      <c r="AU98" s="28">
        <f>Economic!P100</f>
        <v>7.5999999999999943</v>
      </c>
      <c r="AV98" s="28">
        <f>Economic!Q100</f>
        <v>8.3999999999999773</v>
      </c>
      <c r="AW98" s="28">
        <f>Economic!R100</f>
        <v>15397.699999999953</v>
      </c>
      <c r="AX98" s="28">
        <f>Economic!S100</f>
        <v>8629</v>
      </c>
      <c r="AY98" s="7">
        <f>Weather!D98</f>
        <v>-1.4861559139784948</v>
      </c>
      <c r="AZ98" s="7">
        <f>Weather!E98</f>
        <v>666.07083333333355</v>
      </c>
      <c r="BA98" s="7">
        <f>Weather!F98</f>
        <v>0</v>
      </c>
      <c r="BB98" s="7">
        <f>Weather!G98</f>
        <v>604.07083333333344</v>
      </c>
      <c r="BC98" s="7">
        <f>Weather!H98</f>
        <v>0</v>
      </c>
      <c r="BD98" s="7">
        <f>Weather!I98</f>
        <v>542.07083333333333</v>
      </c>
      <c r="BE98" s="7">
        <f>Weather!J98</f>
        <v>0</v>
      </c>
      <c r="BF98" s="7">
        <f>Weather!K98</f>
        <v>480.07083333333327</v>
      </c>
      <c r="BG98" s="7">
        <f>Weather!L98</f>
        <v>0</v>
      </c>
      <c r="BH98" s="7">
        <f>Weather!M98</f>
        <v>418.07083333333327</v>
      </c>
      <c r="BI98" s="7">
        <f>Weather!N98</f>
        <v>0</v>
      </c>
      <c r="BJ98" s="7">
        <f>Weather!O98</f>
        <v>356.07083333333321</v>
      </c>
      <c r="BK98" s="7">
        <f>Weather!P98</f>
        <v>0</v>
      </c>
      <c r="BL98" s="7">
        <f>Weather!Q98</f>
        <v>294.07083333333327</v>
      </c>
      <c r="BM98" s="7">
        <f>Weather!R98</f>
        <v>0</v>
      </c>
      <c r="BN98" s="1">
        <f t="shared" si="35"/>
        <v>1</v>
      </c>
      <c r="BO98" s="1">
        <f t="shared" si="35"/>
        <v>0</v>
      </c>
      <c r="BP98" s="1">
        <f t="shared" si="35"/>
        <v>0</v>
      </c>
      <c r="BQ98" s="1">
        <f t="shared" si="35"/>
        <v>0</v>
      </c>
      <c r="BR98" s="1">
        <f t="shared" si="35"/>
        <v>0</v>
      </c>
      <c r="BS98" s="1">
        <f t="shared" si="35"/>
        <v>0</v>
      </c>
      <c r="BT98" s="1">
        <f t="shared" si="35"/>
        <v>0</v>
      </c>
      <c r="BU98" s="1">
        <f t="shared" si="35"/>
        <v>0</v>
      </c>
      <c r="BV98" s="1">
        <f t="shared" si="35"/>
        <v>0</v>
      </c>
      <c r="BW98" s="1">
        <f t="shared" si="35"/>
        <v>0</v>
      </c>
      <c r="BX98" s="1">
        <f t="shared" si="35"/>
        <v>0</v>
      </c>
      <c r="BY98" s="1">
        <f t="shared" si="35"/>
        <v>0</v>
      </c>
      <c r="BZ98" s="1">
        <f t="shared" si="35"/>
        <v>0</v>
      </c>
      <c r="CA98" s="1">
        <f t="shared" si="35"/>
        <v>0</v>
      </c>
      <c r="CB98" s="1">
        <f t="shared" si="35"/>
        <v>0</v>
      </c>
      <c r="CC98" s="1">
        <f t="shared" si="23"/>
        <v>97</v>
      </c>
      <c r="CD98" s="1">
        <f t="shared" si="17"/>
        <v>31</v>
      </c>
      <c r="CE98" s="1">
        <v>21</v>
      </c>
      <c r="CF98" s="1">
        <v>0</v>
      </c>
      <c r="CG98" s="1">
        <v>0</v>
      </c>
      <c r="CH98" s="1">
        <v>0.25</v>
      </c>
      <c r="CI98" s="1">
        <v>0</v>
      </c>
      <c r="CJ98" s="1">
        <f t="shared" si="30"/>
        <v>0</v>
      </c>
      <c r="CK98" s="1">
        <f t="shared" si="30"/>
        <v>0</v>
      </c>
      <c r="CL98" s="1">
        <f t="shared" si="30"/>
        <v>0</v>
      </c>
      <c r="CM98" s="1">
        <f t="shared" si="30"/>
        <v>0</v>
      </c>
      <c r="CN98" s="1">
        <f t="shared" si="30"/>
        <v>0</v>
      </c>
      <c r="CO98" s="1">
        <f t="shared" si="30"/>
        <v>0</v>
      </c>
      <c r="CP98" s="1">
        <f t="shared" si="28"/>
        <v>0</v>
      </c>
      <c r="CQ98" s="1">
        <f t="shared" si="28"/>
        <v>0</v>
      </c>
      <c r="CR98" s="1">
        <f t="shared" si="24"/>
        <v>0</v>
      </c>
      <c r="CS98" s="1">
        <f t="shared" si="24"/>
        <v>0</v>
      </c>
      <c r="CT98" s="1">
        <f t="shared" si="24"/>
        <v>0</v>
      </c>
      <c r="CU98" s="1">
        <f t="shared" si="24"/>
        <v>0</v>
      </c>
      <c r="CV98" s="1">
        <f t="shared" si="24"/>
        <v>0</v>
      </c>
      <c r="CW98" s="1">
        <f t="shared" si="24"/>
        <v>0</v>
      </c>
      <c r="CX98" s="1">
        <f t="shared" si="31"/>
        <v>166.51770833333339</v>
      </c>
      <c r="CY98" s="1">
        <f t="shared" si="31"/>
        <v>0</v>
      </c>
      <c r="CZ98" s="1">
        <f t="shared" si="31"/>
        <v>151.01770833333336</v>
      </c>
      <c r="DA98" s="1">
        <f t="shared" si="31"/>
        <v>0</v>
      </c>
      <c r="DB98" s="1">
        <f t="shared" si="31"/>
        <v>135.51770833333333</v>
      </c>
      <c r="DC98" s="1">
        <f t="shared" si="31"/>
        <v>0</v>
      </c>
      <c r="DD98" s="1">
        <f t="shared" si="29"/>
        <v>120.01770833333332</v>
      </c>
      <c r="DE98" s="1">
        <f t="shared" si="29"/>
        <v>0</v>
      </c>
      <c r="DF98" s="1">
        <f t="shared" si="25"/>
        <v>104.51770833333332</v>
      </c>
      <c r="DG98" s="1">
        <f t="shared" si="25"/>
        <v>0</v>
      </c>
      <c r="DH98" s="1">
        <f t="shared" si="25"/>
        <v>89.017708333333303</v>
      </c>
      <c r="DI98" s="1">
        <f t="shared" si="25"/>
        <v>0</v>
      </c>
      <c r="DJ98" s="1">
        <f t="shared" si="25"/>
        <v>73.517708333333317</v>
      </c>
      <c r="DK98" s="1">
        <f t="shared" si="25"/>
        <v>0</v>
      </c>
      <c r="DL98" s="25"/>
      <c r="DM98" s="25"/>
      <c r="DN98" s="24"/>
      <c r="DO98" s="25"/>
      <c r="DP98" s="25"/>
      <c r="DQ98" s="25"/>
      <c r="DR98" s="25"/>
      <c r="DS98" s="25"/>
      <c r="DT98" s="25"/>
      <c r="DU98" s="25"/>
      <c r="DV98" s="25"/>
    </row>
    <row r="99" spans="1:126" x14ac:dyDescent="0.25">
      <c r="A99" s="261">
        <v>44958</v>
      </c>
      <c r="B99" s="262">
        <f t="shared" si="18"/>
        <v>2023</v>
      </c>
      <c r="C99" s="262">
        <f t="shared" si="19"/>
        <v>2</v>
      </c>
      <c r="D99" s="263">
        <v>45648803.882836401</v>
      </c>
      <c r="E99" s="263">
        <f>IFERROR(VLOOKUP($B99-1,CDM!$L$7:$T$18,2,FALSE)/12,0)+IFERROR(VLOOKUP($B99,CDM!$L$36:$T$46,2,FALSE)/24,0)+IFERROR(VLOOKUP($B99,CDM!$L$36:$T$46,2,FALSE)/2*$C99/78,0)</f>
        <v>2493358.3968957891</v>
      </c>
      <c r="F99" s="263">
        <f t="shared" si="20"/>
        <v>48142162.27973219</v>
      </c>
      <c r="G99" s="264">
        <v>56365</v>
      </c>
      <c r="H99" s="263">
        <v>10565235.498452913</v>
      </c>
      <c r="I99" s="263">
        <f>IFERROR(VLOOKUP($B99-1,CDM!$L$7:$T$18,3,FALSE)/12,0)+IFERROR(VLOOKUP($B99,CDM!$L$36:$T$46,3,FALSE)/24,0)+IFERROR(VLOOKUP($B99,CDM!$L$36:$T$46,3,FALSE)/2*$C99/78,0)</f>
        <v>703153.46329267672</v>
      </c>
      <c r="J99" s="263">
        <f t="shared" si="21"/>
        <v>11268388.96174559</v>
      </c>
      <c r="K99" s="265">
        <v>4326</v>
      </c>
      <c r="L99" s="4">
        <v>28235012.157527912</v>
      </c>
      <c r="M99" s="266">
        <f>IFERROR(VLOOKUP($B99-1,CDM!$L$7:$T$18,4,FALSE)/12,0)+IFERROR(VLOOKUP($B99,CDM!$L$36:$T$46,4,FALSE)/24,0)+IFERROR(VLOOKUP($B99,CDM!$L$36:$T$46,4,FALSE)/2*$C99/78,0)</f>
        <v>965466.36677627161</v>
      </c>
      <c r="N99" s="263">
        <f t="shared" si="22"/>
        <v>29200478.524304185</v>
      </c>
      <c r="O99" s="4">
        <v>78573.51999999999</v>
      </c>
      <c r="P99" s="265">
        <v>543</v>
      </c>
      <c r="Q99" s="265">
        <v>6210101.8460466005</v>
      </c>
      <c r="R99" s="265">
        <f>IFERROR(VLOOKUP($B99-1,CDM!$L$7:$T$18,5,FALSE)/12,0)+IFERROR(VLOOKUP($B99,CDM!$L$36:$T$46,5,FALSE)/24,0)+IFERROR(VLOOKUP($B99,CDM!$L$36:$T$46,5,FALSE)/2*$C99/78,0)</f>
        <v>951345.49095966085</v>
      </c>
      <c r="S99" s="265">
        <f t="shared" si="32"/>
        <v>7161447.3370062616</v>
      </c>
      <c r="T99" s="265">
        <v>14090.740000000002</v>
      </c>
      <c r="U99" s="265">
        <v>18</v>
      </c>
      <c r="V99" s="265">
        <v>2576085.9383378797</v>
      </c>
      <c r="W99" s="265">
        <f>IFERROR(VLOOKUP($B99-1,CDM!$L$7:$T$18,6,FALSE)/12,0)+IFERROR(VLOOKUP($B99,CDM!$L$36:$T$46,6,FALSE)/24,0)+IFERROR(VLOOKUP($B99,CDM!$L$36:$T$46,6,FALSE)/2*$C99/78,0)</f>
        <v>40435.110529976344</v>
      </c>
      <c r="X99" s="265">
        <f t="shared" si="33"/>
        <v>2616521.0488678562</v>
      </c>
      <c r="Y99" s="265">
        <v>5222.28</v>
      </c>
      <c r="Z99" s="265">
        <v>1</v>
      </c>
      <c r="AA99" s="4">
        <v>398863.72537048097</v>
      </c>
      <c r="AB99" s="4">
        <v>1061</v>
      </c>
      <c r="AC99" s="265">
        <v>14338</v>
      </c>
      <c r="AD99" s="265">
        <v>2285.94</v>
      </c>
      <c r="AE99" s="265">
        <v>0</v>
      </c>
      <c r="AF99" s="265">
        <v>19</v>
      </c>
      <c r="AG99" s="4">
        <v>233691</v>
      </c>
      <c r="AH99" s="4">
        <v>260</v>
      </c>
      <c r="AI99" s="28">
        <f>Economic!H101</f>
        <v>865859.6</v>
      </c>
      <c r="AJ99" s="28">
        <f>Economic!I101</f>
        <v>679067</v>
      </c>
      <c r="AK99" s="28">
        <f>Economic!J101</f>
        <v>74531.5</v>
      </c>
      <c r="AL99" s="28">
        <f>Economic!K101</f>
        <v>860658</v>
      </c>
      <c r="AM99" s="28">
        <f>Economic!L101</f>
        <v>671794</v>
      </c>
      <c r="AN99" s="28">
        <f>Economic!M101</f>
        <v>32304</v>
      </c>
      <c r="AO99" s="28">
        <f>Economic!D101</f>
        <v>7840.7</v>
      </c>
      <c r="AP99" s="28">
        <f>Economic!E101</f>
        <v>7780.5</v>
      </c>
      <c r="AQ99" s="28">
        <f>Economic!F101</f>
        <v>229.5</v>
      </c>
      <c r="AR99" s="28">
        <f>Economic!G101</f>
        <v>229.6</v>
      </c>
      <c r="AS99" s="28">
        <f>Economic!N101</f>
        <v>189.39999999999964</v>
      </c>
      <c r="AT99" s="28">
        <f>Economic!O101</f>
        <v>191.69999999999982</v>
      </c>
      <c r="AU99" s="28">
        <f>Economic!P101</f>
        <v>8.1999999999999886</v>
      </c>
      <c r="AV99" s="28">
        <f>Economic!Q101</f>
        <v>8.6999999999999886</v>
      </c>
      <c r="AW99" s="28">
        <f>Economic!R101</f>
        <v>15397.699999999953</v>
      </c>
      <c r="AX99" s="28">
        <f>Economic!S101</f>
        <v>8629</v>
      </c>
      <c r="AY99" s="7">
        <f>Weather!D99</f>
        <v>-2.4797619047619048</v>
      </c>
      <c r="AZ99" s="7">
        <f>Weather!E99</f>
        <v>629.43333333333328</v>
      </c>
      <c r="BA99" s="7">
        <f>Weather!F99</f>
        <v>0</v>
      </c>
      <c r="BB99" s="7">
        <f>Weather!G99</f>
        <v>573.43333333333328</v>
      </c>
      <c r="BC99" s="7">
        <f>Weather!H99</f>
        <v>0</v>
      </c>
      <c r="BD99" s="7">
        <f>Weather!I99</f>
        <v>517.43333333333328</v>
      </c>
      <c r="BE99" s="7">
        <f>Weather!J99</f>
        <v>0</v>
      </c>
      <c r="BF99" s="7">
        <f>Weather!K99</f>
        <v>461.43333333333328</v>
      </c>
      <c r="BG99" s="7">
        <f>Weather!L99</f>
        <v>0</v>
      </c>
      <c r="BH99" s="7">
        <f>Weather!M99</f>
        <v>405.43333333333328</v>
      </c>
      <c r="BI99" s="7">
        <f>Weather!N99</f>
        <v>0</v>
      </c>
      <c r="BJ99" s="7">
        <f>Weather!O99</f>
        <v>349.43333333333328</v>
      </c>
      <c r="BK99" s="7">
        <f>Weather!P99</f>
        <v>0</v>
      </c>
      <c r="BL99" s="7">
        <f>Weather!Q99</f>
        <v>293.51666666666665</v>
      </c>
      <c r="BM99" s="7">
        <f>Weather!R99</f>
        <v>8.3333333333332149E-2</v>
      </c>
      <c r="BN99" s="1">
        <f t="shared" si="35"/>
        <v>0</v>
      </c>
      <c r="BO99" s="1">
        <f t="shared" si="35"/>
        <v>1</v>
      </c>
      <c r="BP99" s="1">
        <f t="shared" si="35"/>
        <v>0</v>
      </c>
      <c r="BQ99" s="1">
        <f t="shared" si="35"/>
        <v>0</v>
      </c>
      <c r="BR99" s="1">
        <f t="shared" si="35"/>
        <v>0</v>
      </c>
      <c r="BS99" s="1">
        <f t="shared" si="35"/>
        <v>0</v>
      </c>
      <c r="BT99" s="1">
        <f t="shared" si="35"/>
        <v>0</v>
      </c>
      <c r="BU99" s="1">
        <f t="shared" si="35"/>
        <v>0</v>
      </c>
      <c r="BV99" s="1">
        <f t="shared" si="35"/>
        <v>0</v>
      </c>
      <c r="BW99" s="1">
        <f t="shared" si="35"/>
        <v>0</v>
      </c>
      <c r="BX99" s="1">
        <f t="shared" si="35"/>
        <v>0</v>
      </c>
      <c r="BY99" s="1">
        <f t="shared" si="35"/>
        <v>0</v>
      </c>
      <c r="BZ99" s="1">
        <f t="shared" si="35"/>
        <v>0</v>
      </c>
      <c r="CA99" s="1">
        <f t="shared" si="35"/>
        <v>0</v>
      </c>
      <c r="CB99" s="1">
        <f t="shared" si="35"/>
        <v>0</v>
      </c>
      <c r="CC99" s="1">
        <f t="shared" si="23"/>
        <v>98</v>
      </c>
      <c r="CD99" s="1">
        <f t="shared" si="17"/>
        <v>28</v>
      </c>
      <c r="CE99" s="1">
        <v>19</v>
      </c>
      <c r="CF99" s="1">
        <v>0</v>
      </c>
      <c r="CG99" s="1">
        <v>0</v>
      </c>
      <c r="CH99" s="1">
        <v>0.25</v>
      </c>
      <c r="CI99" s="1">
        <v>0</v>
      </c>
      <c r="CJ99" s="1">
        <f t="shared" si="30"/>
        <v>0</v>
      </c>
      <c r="CK99" s="1">
        <f t="shared" si="30"/>
        <v>0</v>
      </c>
      <c r="CL99" s="1">
        <f t="shared" si="30"/>
        <v>0</v>
      </c>
      <c r="CM99" s="1">
        <f t="shared" si="30"/>
        <v>0</v>
      </c>
      <c r="CN99" s="1">
        <f t="shared" si="30"/>
        <v>0</v>
      </c>
      <c r="CO99" s="1">
        <f t="shared" si="30"/>
        <v>0</v>
      </c>
      <c r="CP99" s="1">
        <f t="shared" si="28"/>
        <v>0</v>
      </c>
      <c r="CQ99" s="1">
        <f t="shared" si="28"/>
        <v>0</v>
      </c>
      <c r="CR99" s="1">
        <f t="shared" si="24"/>
        <v>0</v>
      </c>
      <c r="CS99" s="1">
        <f t="shared" si="24"/>
        <v>0</v>
      </c>
      <c r="CT99" s="1">
        <f t="shared" si="24"/>
        <v>0</v>
      </c>
      <c r="CU99" s="1">
        <f t="shared" si="24"/>
        <v>0</v>
      </c>
      <c r="CV99" s="1">
        <f t="shared" si="24"/>
        <v>0</v>
      </c>
      <c r="CW99" s="1">
        <f t="shared" si="24"/>
        <v>0</v>
      </c>
      <c r="CX99" s="1">
        <f t="shared" si="31"/>
        <v>157.35833333333332</v>
      </c>
      <c r="CY99" s="1">
        <f t="shared" si="31"/>
        <v>0</v>
      </c>
      <c r="CZ99" s="1">
        <f t="shared" si="31"/>
        <v>143.35833333333332</v>
      </c>
      <c r="DA99" s="1">
        <f t="shared" si="31"/>
        <v>0</v>
      </c>
      <c r="DB99" s="1">
        <f t="shared" si="31"/>
        <v>129.35833333333332</v>
      </c>
      <c r="DC99" s="1">
        <f t="shared" si="31"/>
        <v>0</v>
      </c>
      <c r="DD99" s="1">
        <f t="shared" si="29"/>
        <v>115.35833333333332</v>
      </c>
      <c r="DE99" s="1">
        <f t="shared" si="29"/>
        <v>0</v>
      </c>
      <c r="DF99" s="1">
        <f t="shared" si="25"/>
        <v>101.35833333333332</v>
      </c>
      <c r="DG99" s="1">
        <f t="shared" si="25"/>
        <v>0</v>
      </c>
      <c r="DH99" s="1">
        <f t="shared" si="25"/>
        <v>87.35833333333332</v>
      </c>
      <c r="DI99" s="1">
        <f t="shared" si="25"/>
        <v>0</v>
      </c>
      <c r="DJ99" s="1">
        <f t="shared" si="25"/>
        <v>73.379166666666663</v>
      </c>
      <c r="DK99" s="1">
        <f t="shared" si="25"/>
        <v>2.0833333333333037E-2</v>
      </c>
      <c r="DL99" s="25"/>
      <c r="DM99" s="25"/>
      <c r="DN99" s="24"/>
      <c r="DO99" s="25"/>
      <c r="DP99" s="25"/>
      <c r="DQ99" s="25"/>
      <c r="DR99" s="25"/>
      <c r="DS99" s="25"/>
      <c r="DT99" s="25"/>
      <c r="DU99" s="25"/>
      <c r="DV99" s="25"/>
    </row>
    <row r="100" spans="1:126" x14ac:dyDescent="0.25">
      <c r="A100" s="261">
        <v>44986</v>
      </c>
      <c r="B100" s="262">
        <f t="shared" si="18"/>
        <v>2023</v>
      </c>
      <c r="C100" s="262">
        <f t="shared" si="19"/>
        <v>3</v>
      </c>
      <c r="D100" s="263">
        <v>41586323.957748681</v>
      </c>
      <c r="E100" s="263">
        <f>IFERROR(VLOOKUP($B100-1,CDM!$L$7:$T$18,2,FALSE)/12,0)+IFERROR(VLOOKUP($B100,CDM!$L$36:$T$46,2,FALSE)/24,0)+IFERROR(VLOOKUP($B100,CDM!$L$36:$T$46,2,FALSE)/2*$C100/78,0)</f>
        <v>2497312.2712205159</v>
      </c>
      <c r="F100" s="263">
        <f t="shared" si="20"/>
        <v>44083636.228969194</v>
      </c>
      <c r="G100" s="264">
        <v>56613</v>
      </c>
      <c r="H100" s="263">
        <v>11105734.116340065</v>
      </c>
      <c r="I100" s="263">
        <f>IFERROR(VLOOKUP($B100-1,CDM!$L$7:$T$18,3,FALSE)/12,0)+IFERROR(VLOOKUP($B100,CDM!$L$36:$T$46,3,FALSE)/24,0)+IFERROR(VLOOKUP($B100,CDM!$L$36:$T$46,3,FALSE)/2*$C100/78,0)</f>
        <v>711036.07755594922</v>
      </c>
      <c r="J100" s="263">
        <f t="shared" si="21"/>
        <v>11816770.193896014</v>
      </c>
      <c r="K100" s="265">
        <v>4323</v>
      </c>
      <c r="L100" s="4">
        <v>27905440.111342404</v>
      </c>
      <c r="M100" s="266">
        <f>IFERROR(VLOOKUP($B100-1,CDM!$L$7:$T$18,4,FALSE)/12,0)+IFERROR(VLOOKUP($B100,CDM!$L$36:$T$46,4,FALSE)/24,0)+IFERROR(VLOOKUP($B100,CDM!$L$36:$T$46,4,FALSE)/2*$C100/78,0)</f>
        <v>979801.78509213624</v>
      </c>
      <c r="N100" s="263">
        <f t="shared" si="22"/>
        <v>28885241.896434542</v>
      </c>
      <c r="O100" s="4">
        <v>73464.97</v>
      </c>
      <c r="P100" s="265">
        <v>544</v>
      </c>
      <c r="Q100" s="265">
        <v>5818133.0374552952</v>
      </c>
      <c r="R100" s="265">
        <f>IFERROR(VLOOKUP($B100-1,CDM!$L$7:$T$18,5,FALSE)/12,0)+IFERROR(VLOOKUP($B100,CDM!$L$36:$T$46,5,FALSE)/24,0)+IFERROR(VLOOKUP($B100,CDM!$L$36:$T$46,5,FALSE)/2*$C100/78,0)</f>
        <v>958017.55193739769</v>
      </c>
      <c r="S100" s="265">
        <f t="shared" si="32"/>
        <v>6776150.5893926928</v>
      </c>
      <c r="T100" s="265">
        <v>13068.880000000001</v>
      </c>
      <c r="U100" s="265">
        <v>18</v>
      </c>
      <c r="V100" s="265">
        <v>2739789.2561942837</v>
      </c>
      <c r="W100" s="265">
        <f>IFERROR(VLOOKUP($B100-1,CDM!$L$7:$T$18,6,FALSE)/12,0)+IFERROR(VLOOKUP($B100,CDM!$L$36:$T$46,6,FALSE)/24,0)+IFERROR(VLOOKUP($B100,CDM!$L$36:$T$46,6,FALSE)/2*$C100/78,0)</f>
        <v>41359.704455115869</v>
      </c>
      <c r="X100" s="265">
        <f t="shared" si="33"/>
        <v>2781148.9606493996</v>
      </c>
      <c r="Y100" s="265">
        <v>5223.96</v>
      </c>
      <c r="Z100" s="265">
        <v>1</v>
      </c>
      <c r="AA100" s="4">
        <v>399950.18344264361</v>
      </c>
      <c r="AB100" s="4">
        <v>1061</v>
      </c>
      <c r="AC100" s="265">
        <v>14338</v>
      </c>
      <c r="AD100" s="265">
        <v>2212.1999999999998</v>
      </c>
      <c r="AE100" s="265">
        <v>0</v>
      </c>
      <c r="AF100" s="265">
        <v>19</v>
      </c>
      <c r="AG100" s="4">
        <v>233701</v>
      </c>
      <c r="AH100" s="4">
        <v>260</v>
      </c>
      <c r="AI100" s="28">
        <f>Economic!H102</f>
        <v>865859.6</v>
      </c>
      <c r="AJ100" s="28">
        <f>Economic!I102</f>
        <v>679067</v>
      </c>
      <c r="AK100" s="28">
        <f>Economic!J102</f>
        <v>74531.5</v>
      </c>
      <c r="AL100" s="28">
        <f>Economic!K102</f>
        <v>860658</v>
      </c>
      <c r="AM100" s="28">
        <f>Economic!L102</f>
        <v>671794</v>
      </c>
      <c r="AN100" s="28">
        <f>Economic!M102</f>
        <v>32304</v>
      </c>
      <c r="AO100" s="28">
        <f>Economic!D102</f>
        <v>7866.6</v>
      </c>
      <c r="AP100" s="28">
        <f>Economic!E102</f>
        <v>7781.3</v>
      </c>
      <c r="AQ100" s="28">
        <f>Economic!F102</f>
        <v>226.7</v>
      </c>
      <c r="AR100" s="28">
        <f>Economic!G102</f>
        <v>225.8</v>
      </c>
      <c r="AS100" s="28">
        <f>Economic!N102</f>
        <v>204.10000000000036</v>
      </c>
      <c r="AT100" s="28">
        <f>Economic!O102</f>
        <v>207.90000000000055</v>
      </c>
      <c r="AU100" s="28">
        <f>Economic!P102</f>
        <v>4</v>
      </c>
      <c r="AV100" s="28">
        <f>Economic!Q102</f>
        <v>3.8000000000000114</v>
      </c>
      <c r="AW100" s="28">
        <f>Economic!R102</f>
        <v>15397.699999999953</v>
      </c>
      <c r="AX100" s="28">
        <f>Economic!S102</f>
        <v>8629</v>
      </c>
      <c r="AY100" s="7">
        <f>Weather!D100</f>
        <v>0.22473118279569884</v>
      </c>
      <c r="AZ100" s="7">
        <f>Weather!E100</f>
        <v>613.0333333333333</v>
      </c>
      <c r="BA100" s="7">
        <f>Weather!F100</f>
        <v>0</v>
      </c>
      <c r="BB100" s="7">
        <f>Weather!G100</f>
        <v>551.03333333333342</v>
      </c>
      <c r="BC100" s="7">
        <f>Weather!H100</f>
        <v>0</v>
      </c>
      <c r="BD100" s="7">
        <f>Weather!I100</f>
        <v>489.03333333333336</v>
      </c>
      <c r="BE100" s="7">
        <f>Weather!J100</f>
        <v>0</v>
      </c>
      <c r="BF100" s="7">
        <f>Weather!K100</f>
        <v>427.0333333333333</v>
      </c>
      <c r="BG100" s="7">
        <f>Weather!L100</f>
        <v>0</v>
      </c>
      <c r="BH100" s="7">
        <f>Weather!M100</f>
        <v>365.03333333333336</v>
      </c>
      <c r="BI100" s="7">
        <f>Weather!N100</f>
        <v>0</v>
      </c>
      <c r="BJ100" s="7">
        <f>Weather!O100</f>
        <v>303.03333333333342</v>
      </c>
      <c r="BK100" s="7">
        <f>Weather!P100</f>
        <v>0</v>
      </c>
      <c r="BL100" s="7">
        <f>Weather!Q100</f>
        <v>241.03333333333333</v>
      </c>
      <c r="BM100" s="7">
        <f>Weather!R100</f>
        <v>0</v>
      </c>
      <c r="BN100" s="1">
        <f t="shared" si="35"/>
        <v>0</v>
      </c>
      <c r="BO100" s="1">
        <f t="shared" si="35"/>
        <v>0</v>
      </c>
      <c r="BP100" s="1">
        <f t="shared" si="35"/>
        <v>1</v>
      </c>
      <c r="BQ100" s="1">
        <f t="shared" si="35"/>
        <v>0</v>
      </c>
      <c r="BR100" s="1">
        <f t="shared" si="35"/>
        <v>0</v>
      </c>
      <c r="BS100" s="1">
        <f t="shared" si="35"/>
        <v>0</v>
      </c>
      <c r="BT100" s="1">
        <f t="shared" si="35"/>
        <v>0</v>
      </c>
      <c r="BU100" s="1">
        <f t="shared" si="35"/>
        <v>0</v>
      </c>
      <c r="BV100" s="1">
        <f t="shared" si="35"/>
        <v>0</v>
      </c>
      <c r="BW100" s="1">
        <f t="shared" si="35"/>
        <v>0</v>
      </c>
      <c r="BX100" s="1">
        <f t="shared" si="35"/>
        <v>0</v>
      </c>
      <c r="BY100" s="1">
        <f t="shared" si="35"/>
        <v>0</v>
      </c>
      <c r="BZ100" s="1">
        <f t="shared" si="35"/>
        <v>1</v>
      </c>
      <c r="CA100" s="1">
        <f t="shared" si="35"/>
        <v>0</v>
      </c>
      <c r="CB100" s="1">
        <f t="shared" si="35"/>
        <v>1</v>
      </c>
      <c r="CC100" s="1">
        <f t="shared" si="23"/>
        <v>99</v>
      </c>
      <c r="CD100" s="1">
        <f t="shared" si="17"/>
        <v>31</v>
      </c>
      <c r="CE100" s="1">
        <v>23</v>
      </c>
      <c r="CF100" s="1">
        <v>0</v>
      </c>
      <c r="CG100" s="1">
        <v>0</v>
      </c>
      <c r="CH100" s="1">
        <v>0.25</v>
      </c>
      <c r="CI100" s="1">
        <v>0</v>
      </c>
      <c r="CJ100" s="1">
        <f t="shared" si="30"/>
        <v>0</v>
      </c>
      <c r="CK100" s="1">
        <f t="shared" si="30"/>
        <v>0</v>
      </c>
      <c r="CL100" s="1">
        <f t="shared" si="30"/>
        <v>0</v>
      </c>
      <c r="CM100" s="1">
        <f t="shared" si="30"/>
        <v>0</v>
      </c>
      <c r="CN100" s="1">
        <f t="shared" si="30"/>
        <v>0</v>
      </c>
      <c r="CO100" s="1">
        <f t="shared" si="30"/>
        <v>0</v>
      </c>
      <c r="CP100" s="1">
        <f t="shared" si="28"/>
        <v>0</v>
      </c>
      <c r="CQ100" s="1">
        <f t="shared" si="28"/>
        <v>0</v>
      </c>
      <c r="CR100" s="1">
        <f t="shared" si="24"/>
        <v>0</v>
      </c>
      <c r="CS100" s="1">
        <f t="shared" si="24"/>
        <v>0</v>
      </c>
      <c r="CT100" s="1">
        <f t="shared" si="24"/>
        <v>0</v>
      </c>
      <c r="CU100" s="1">
        <f t="shared" si="24"/>
        <v>0</v>
      </c>
      <c r="CV100" s="1">
        <f t="shared" si="24"/>
        <v>0</v>
      </c>
      <c r="CW100" s="1">
        <f t="shared" si="24"/>
        <v>0</v>
      </c>
      <c r="CX100" s="1">
        <f t="shared" si="31"/>
        <v>153.25833333333333</v>
      </c>
      <c r="CY100" s="1">
        <f t="shared" si="31"/>
        <v>0</v>
      </c>
      <c r="CZ100" s="1">
        <f t="shared" si="31"/>
        <v>137.75833333333335</v>
      </c>
      <c r="DA100" s="1">
        <f t="shared" si="31"/>
        <v>0</v>
      </c>
      <c r="DB100" s="1">
        <f t="shared" si="31"/>
        <v>122.25833333333334</v>
      </c>
      <c r="DC100" s="1">
        <f t="shared" si="31"/>
        <v>0</v>
      </c>
      <c r="DD100" s="1">
        <f t="shared" si="29"/>
        <v>106.75833333333333</v>
      </c>
      <c r="DE100" s="1">
        <f t="shared" si="29"/>
        <v>0</v>
      </c>
      <c r="DF100" s="1">
        <f t="shared" si="25"/>
        <v>91.25833333333334</v>
      </c>
      <c r="DG100" s="1">
        <f t="shared" si="25"/>
        <v>0</v>
      </c>
      <c r="DH100" s="1">
        <f t="shared" si="25"/>
        <v>75.758333333333354</v>
      </c>
      <c r="DI100" s="1">
        <f t="shared" si="25"/>
        <v>0</v>
      </c>
      <c r="DJ100" s="1">
        <f t="shared" si="25"/>
        <v>60.258333333333333</v>
      </c>
      <c r="DK100" s="1">
        <f t="shared" si="25"/>
        <v>0</v>
      </c>
      <c r="DL100" s="25"/>
      <c r="DM100" s="25"/>
      <c r="DN100" s="24"/>
      <c r="DO100" s="25"/>
      <c r="DP100" s="25"/>
      <c r="DQ100" s="25"/>
      <c r="DR100" s="25"/>
      <c r="DS100" s="25"/>
      <c r="DT100" s="25"/>
      <c r="DU100" s="25"/>
      <c r="DV100" s="25"/>
    </row>
    <row r="101" spans="1:126" x14ac:dyDescent="0.25">
      <c r="A101" s="261">
        <v>45017</v>
      </c>
      <c r="B101" s="262">
        <f t="shared" si="18"/>
        <v>2023</v>
      </c>
      <c r="C101" s="262">
        <f t="shared" si="19"/>
        <v>4</v>
      </c>
      <c r="D101" s="263">
        <v>39009088.07493154</v>
      </c>
      <c r="E101" s="263">
        <f>IFERROR(VLOOKUP($B101-1,CDM!$L$7:$T$18,2,FALSE)/12,0)+IFERROR(VLOOKUP($B101,CDM!$L$36:$T$46,2,FALSE)/24,0)+IFERROR(VLOOKUP($B101,CDM!$L$36:$T$46,2,FALSE)/2*$C101/78,0)</f>
        <v>2501266.1455452428</v>
      </c>
      <c r="F101" s="263">
        <f t="shared" si="20"/>
        <v>41510354.220476784</v>
      </c>
      <c r="G101" s="264">
        <v>56562</v>
      </c>
      <c r="H101" s="263">
        <v>9279670.0050605703</v>
      </c>
      <c r="I101" s="263">
        <f>IFERROR(VLOOKUP($B101-1,CDM!$L$7:$T$18,3,FALSE)/12,0)+IFERROR(VLOOKUP($B101,CDM!$L$36:$T$46,3,FALSE)/24,0)+IFERROR(VLOOKUP($B101,CDM!$L$36:$T$46,3,FALSE)/2*$C101/78,0)</f>
        <v>718918.69181922171</v>
      </c>
      <c r="J101" s="263">
        <f t="shared" si="21"/>
        <v>9998588.696879793</v>
      </c>
      <c r="K101" s="265">
        <v>4324</v>
      </c>
      <c r="L101" s="4">
        <v>24560606.019747391</v>
      </c>
      <c r="M101" s="266">
        <f>IFERROR(VLOOKUP($B101-1,CDM!$L$7:$T$18,4,FALSE)/12,0)+IFERROR(VLOOKUP($B101,CDM!$L$36:$T$46,4,FALSE)/24,0)+IFERROR(VLOOKUP($B101,CDM!$L$36:$T$46,4,FALSE)/2*$C101/78,0)</f>
        <v>994137.20340800087</v>
      </c>
      <c r="N101" s="263">
        <f t="shared" si="22"/>
        <v>25554743.22315539</v>
      </c>
      <c r="O101" s="4">
        <v>68383.03</v>
      </c>
      <c r="P101" s="265">
        <v>544</v>
      </c>
      <c r="Q101" s="265">
        <v>5982383.9461071435</v>
      </c>
      <c r="R101" s="265">
        <f>IFERROR(VLOOKUP($B101-1,CDM!$L$7:$T$18,5,FALSE)/12,0)+IFERROR(VLOOKUP($B101,CDM!$L$36:$T$46,5,FALSE)/24,0)+IFERROR(VLOOKUP($B101,CDM!$L$36:$T$46,5,FALSE)/2*$C101/78,0)</f>
        <v>964689.61291513464</v>
      </c>
      <c r="S101" s="265">
        <f t="shared" si="32"/>
        <v>6947073.5590222785</v>
      </c>
      <c r="T101" s="265">
        <v>14966.41</v>
      </c>
      <c r="U101" s="265">
        <v>18</v>
      </c>
      <c r="V101" s="265">
        <v>2517469.3774617161</v>
      </c>
      <c r="W101" s="265">
        <f>IFERROR(VLOOKUP($B101-1,CDM!$L$7:$T$18,6,FALSE)/12,0)+IFERROR(VLOOKUP($B101,CDM!$L$36:$T$46,6,FALSE)/24,0)+IFERROR(VLOOKUP($B101,CDM!$L$36:$T$46,6,FALSE)/2*$C101/78,0)</f>
        <v>42284.298380255386</v>
      </c>
      <c r="X101" s="265">
        <f t="shared" si="33"/>
        <v>2559753.6758419713</v>
      </c>
      <c r="Y101" s="265">
        <v>5114.76</v>
      </c>
      <c r="Z101" s="265">
        <v>1</v>
      </c>
      <c r="AA101" s="4">
        <v>340608.0086936368</v>
      </c>
      <c r="AB101" s="4">
        <v>1061</v>
      </c>
      <c r="AC101" s="265">
        <v>14338</v>
      </c>
      <c r="AD101" s="265">
        <v>2285.94</v>
      </c>
      <c r="AE101" s="265">
        <v>0</v>
      </c>
      <c r="AF101" s="265">
        <v>19</v>
      </c>
      <c r="AG101" s="4">
        <v>233701</v>
      </c>
      <c r="AH101" s="4">
        <v>260</v>
      </c>
      <c r="AI101" s="28">
        <f>Economic!H103</f>
        <v>865859.6</v>
      </c>
      <c r="AJ101" s="28">
        <f>Economic!I103</f>
        <v>679067</v>
      </c>
      <c r="AK101" s="28">
        <f>Economic!J103</f>
        <v>74531.5</v>
      </c>
      <c r="AL101" s="28">
        <f>Economic!K103</f>
        <v>865503</v>
      </c>
      <c r="AM101" s="28">
        <f>Economic!L103</f>
        <v>675983</v>
      </c>
      <c r="AN101" s="28">
        <f>Economic!M103</f>
        <v>32660</v>
      </c>
      <c r="AO101" s="28">
        <f>Economic!D103</f>
        <v>7884.3</v>
      </c>
      <c r="AP101" s="28">
        <f>Economic!E103</f>
        <v>7819.6</v>
      </c>
      <c r="AQ101" s="28">
        <f>Economic!F103</f>
        <v>223.9</v>
      </c>
      <c r="AR101" s="28">
        <f>Economic!G103</f>
        <v>223.9</v>
      </c>
      <c r="AS101" s="28">
        <f>Economic!N103</f>
        <v>147.69999999999982</v>
      </c>
      <c r="AT101" s="28">
        <f>Economic!O103</f>
        <v>149.60000000000036</v>
      </c>
      <c r="AU101" s="28">
        <f>Economic!P103</f>
        <v>-3.4000000000000057</v>
      </c>
      <c r="AV101" s="28">
        <f>Economic!Q103</f>
        <v>-3.4000000000000057</v>
      </c>
      <c r="AW101" s="28">
        <f>Economic!R103</f>
        <v>15397.699999999953</v>
      </c>
      <c r="AX101" s="28">
        <f>Economic!S103</f>
        <v>4845</v>
      </c>
      <c r="AY101" s="7">
        <f>Weather!D101</f>
        <v>7.9533333333333323</v>
      </c>
      <c r="AZ101" s="7">
        <f>Weather!E101</f>
        <v>361.4</v>
      </c>
      <c r="BA101" s="7">
        <f>Weather!F101</f>
        <v>0</v>
      </c>
      <c r="BB101" s="7">
        <f>Weather!G101</f>
        <v>301.39999999999998</v>
      </c>
      <c r="BC101" s="7">
        <f>Weather!H101</f>
        <v>0</v>
      </c>
      <c r="BD101" s="7">
        <f>Weather!I101</f>
        <v>243.15833333333336</v>
      </c>
      <c r="BE101" s="7">
        <f>Weather!J101</f>
        <v>1.75833333333334</v>
      </c>
      <c r="BF101" s="7">
        <f>Weather!K101</f>
        <v>193.11666666666667</v>
      </c>
      <c r="BG101" s="7">
        <f>Weather!L101</f>
        <v>11.71666666666667</v>
      </c>
      <c r="BH101" s="7">
        <f>Weather!M101</f>
        <v>144.11666666666667</v>
      </c>
      <c r="BI101" s="7">
        <f>Weather!N101</f>
        <v>22.716666666666676</v>
      </c>
      <c r="BJ101" s="7">
        <f>Weather!O101</f>
        <v>98.574999999999989</v>
      </c>
      <c r="BK101" s="7">
        <f>Weather!P101</f>
        <v>37.175000000000004</v>
      </c>
      <c r="BL101" s="7">
        <f>Weather!Q101</f>
        <v>58.116666666666674</v>
      </c>
      <c r="BM101" s="7">
        <f>Weather!R101</f>
        <v>56.716666666666676</v>
      </c>
      <c r="BN101" s="1">
        <f t="shared" si="35"/>
        <v>0</v>
      </c>
      <c r="BO101" s="1">
        <f t="shared" si="35"/>
        <v>0</v>
      </c>
      <c r="BP101" s="1">
        <f t="shared" si="35"/>
        <v>0</v>
      </c>
      <c r="BQ101" s="1">
        <f t="shared" si="35"/>
        <v>1</v>
      </c>
      <c r="BR101" s="1">
        <f t="shared" si="35"/>
        <v>0</v>
      </c>
      <c r="BS101" s="1">
        <f t="shared" si="35"/>
        <v>0</v>
      </c>
      <c r="BT101" s="1">
        <f t="shared" si="35"/>
        <v>0</v>
      </c>
      <c r="BU101" s="1">
        <f t="shared" si="35"/>
        <v>0</v>
      </c>
      <c r="BV101" s="1">
        <f t="shared" si="35"/>
        <v>0</v>
      </c>
      <c r="BW101" s="1">
        <f t="shared" si="35"/>
        <v>0</v>
      </c>
      <c r="BX101" s="1">
        <f t="shared" si="35"/>
        <v>0</v>
      </c>
      <c r="BY101" s="1">
        <f t="shared" si="35"/>
        <v>0</v>
      </c>
      <c r="BZ101" s="1">
        <f t="shared" si="35"/>
        <v>1</v>
      </c>
      <c r="CA101" s="1">
        <f t="shared" si="35"/>
        <v>0</v>
      </c>
      <c r="CB101" s="1">
        <f t="shared" si="35"/>
        <v>1</v>
      </c>
      <c r="CC101" s="1">
        <f t="shared" si="23"/>
        <v>100</v>
      </c>
      <c r="CD101" s="1">
        <f t="shared" si="17"/>
        <v>30</v>
      </c>
      <c r="CE101" s="1">
        <v>19</v>
      </c>
      <c r="CF101" s="1">
        <v>0</v>
      </c>
      <c r="CG101" s="1">
        <v>0</v>
      </c>
      <c r="CH101" s="1">
        <v>0.25</v>
      </c>
      <c r="CI101" s="1">
        <v>0</v>
      </c>
      <c r="CJ101" s="1">
        <f t="shared" si="30"/>
        <v>0</v>
      </c>
      <c r="CK101" s="1">
        <f t="shared" si="30"/>
        <v>0</v>
      </c>
      <c r="CL101" s="1">
        <f t="shared" si="30"/>
        <v>0</v>
      </c>
      <c r="CM101" s="1">
        <f t="shared" si="30"/>
        <v>0</v>
      </c>
      <c r="CN101" s="1">
        <f t="shared" si="30"/>
        <v>0</v>
      </c>
      <c r="CO101" s="1">
        <f t="shared" si="30"/>
        <v>0</v>
      </c>
      <c r="CP101" s="1">
        <f t="shared" si="28"/>
        <v>0</v>
      </c>
      <c r="CQ101" s="1">
        <f t="shared" si="28"/>
        <v>0</v>
      </c>
      <c r="CR101" s="1">
        <f t="shared" si="24"/>
        <v>0</v>
      </c>
      <c r="CS101" s="1">
        <f t="shared" si="24"/>
        <v>0</v>
      </c>
      <c r="CT101" s="1">
        <f t="shared" si="24"/>
        <v>0</v>
      </c>
      <c r="CU101" s="1">
        <f t="shared" ref="CU101:CW115" si="36">$CG101*BK101</f>
        <v>0</v>
      </c>
      <c r="CV101" s="1">
        <f t="shared" si="36"/>
        <v>0</v>
      </c>
      <c r="CW101" s="1">
        <f t="shared" si="36"/>
        <v>0</v>
      </c>
      <c r="CX101" s="1">
        <f t="shared" si="31"/>
        <v>90.35</v>
      </c>
      <c r="CY101" s="1">
        <f t="shared" si="31"/>
        <v>0</v>
      </c>
      <c r="CZ101" s="1">
        <f t="shared" si="31"/>
        <v>75.349999999999994</v>
      </c>
      <c r="DA101" s="1">
        <f t="shared" si="31"/>
        <v>0</v>
      </c>
      <c r="DB101" s="1">
        <f t="shared" si="31"/>
        <v>60.78958333333334</v>
      </c>
      <c r="DC101" s="1">
        <f t="shared" si="31"/>
        <v>0.43958333333333499</v>
      </c>
      <c r="DD101" s="1">
        <f t="shared" si="29"/>
        <v>48.279166666666669</v>
      </c>
      <c r="DE101" s="1">
        <f t="shared" si="29"/>
        <v>2.9291666666666676</v>
      </c>
      <c r="DF101" s="1">
        <f t="shared" si="25"/>
        <v>36.029166666666669</v>
      </c>
      <c r="DG101" s="1">
        <f t="shared" si="25"/>
        <v>5.6791666666666689</v>
      </c>
      <c r="DH101" s="1">
        <f t="shared" si="25"/>
        <v>24.643749999999997</v>
      </c>
      <c r="DI101" s="1">
        <f t="shared" ref="DI101:DK115" si="37">$CH101*BK101</f>
        <v>9.2937500000000011</v>
      </c>
      <c r="DJ101" s="1">
        <f t="shared" si="37"/>
        <v>14.529166666666669</v>
      </c>
      <c r="DK101" s="1">
        <f t="shared" si="37"/>
        <v>14.179166666666669</v>
      </c>
      <c r="DL101" s="25"/>
      <c r="DM101" s="25"/>
      <c r="DN101" s="24"/>
      <c r="DO101" s="25"/>
      <c r="DP101" s="25"/>
      <c r="DQ101" s="25"/>
      <c r="DR101" s="25"/>
      <c r="DS101" s="25"/>
      <c r="DT101" s="25"/>
      <c r="DU101" s="25"/>
      <c r="DV101" s="25"/>
    </row>
    <row r="102" spans="1:126" x14ac:dyDescent="0.25">
      <c r="A102" s="261">
        <v>45047</v>
      </c>
      <c r="B102" s="262">
        <f t="shared" si="18"/>
        <v>2023</v>
      </c>
      <c r="C102" s="262">
        <f t="shared" si="19"/>
        <v>5</v>
      </c>
      <c r="D102" s="263">
        <v>35211427.053577706</v>
      </c>
      <c r="E102" s="263">
        <f>IFERROR(VLOOKUP($B102-1,CDM!$L$7:$T$18,2,FALSE)/12,0)+IFERROR(VLOOKUP($B102,CDM!$L$36:$T$46,2,FALSE)/24,0)+IFERROR(VLOOKUP($B102,CDM!$L$36:$T$46,2,FALSE)/2*$C102/78,0)</f>
        <v>2505220.0198699697</v>
      </c>
      <c r="F102" s="263">
        <f t="shared" si="20"/>
        <v>37716647.073447675</v>
      </c>
      <c r="G102" s="264">
        <v>57007</v>
      </c>
      <c r="H102" s="263">
        <v>9641299.5781515539</v>
      </c>
      <c r="I102" s="263">
        <f>IFERROR(VLOOKUP($B102-1,CDM!$L$7:$T$18,3,FALSE)/12,0)+IFERROR(VLOOKUP($B102,CDM!$L$36:$T$46,3,FALSE)/24,0)+IFERROR(VLOOKUP($B102,CDM!$L$36:$T$46,3,FALSE)/2*$C102/78,0)</f>
        <v>726801.30608249432</v>
      </c>
      <c r="J102" s="263">
        <f t="shared" si="21"/>
        <v>10368100.884234048</v>
      </c>
      <c r="K102" s="265">
        <v>4331</v>
      </c>
      <c r="L102" s="4">
        <v>25126757.098224279</v>
      </c>
      <c r="M102" s="266">
        <f>IFERROR(VLOOKUP($B102-1,CDM!$L$7:$T$18,4,FALSE)/12,0)+IFERROR(VLOOKUP($B102,CDM!$L$36:$T$46,4,FALSE)/24,0)+IFERROR(VLOOKUP($B102,CDM!$L$36:$T$46,4,FALSE)/2*$C102/78,0)</f>
        <v>1008472.6217238654</v>
      </c>
      <c r="N102" s="263">
        <f t="shared" si="22"/>
        <v>26135229.719948143</v>
      </c>
      <c r="O102" s="4">
        <v>74476.05</v>
      </c>
      <c r="P102" s="265">
        <v>546</v>
      </c>
      <c r="Q102" s="265">
        <v>6228639.3792677624</v>
      </c>
      <c r="R102" s="265">
        <f>IFERROR(VLOOKUP($B102-1,CDM!$L$7:$T$18,5,FALSE)/12,0)+IFERROR(VLOOKUP($B102,CDM!$L$36:$T$46,5,FALSE)/24,0)+IFERROR(VLOOKUP($B102,CDM!$L$36:$T$46,5,FALSE)/2*$C102/78,0)</f>
        <v>971361.67389287148</v>
      </c>
      <c r="S102" s="265">
        <f t="shared" si="32"/>
        <v>7200001.0531606339</v>
      </c>
      <c r="T102" s="265">
        <v>15747.64</v>
      </c>
      <c r="U102" s="265">
        <v>18</v>
      </c>
      <c r="V102" s="265">
        <v>2612878.6013215701</v>
      </c>
      <c r="W102" s="265">
        <f>IFERROR(VLOOKUP($B102-1,CDM!$L$7:$T$18,6,FALSE)/12,0)+IFERROR(VLOOKUP($B102,CDM!$L$36:$T$46,6,FALSE)/24,0)+IFERROR(VLOOKUP($B102,CDM!$L$36:$T$46,6,FALSE)/2*$C102/78,0)</f>
        <v>43208.892305394904</v>
      </c>
      <c r="X102" s="265">
        <f t="shared" si="33"/>
        <v>2656087.4936269652</v>
      </c>
      <c r="Y102" s="265">
        <v>5904.5</v>
      </c>
      <c r="Z102" s="265">
        <v>1</v>
      </c>
      <c r="AA102" s="4">
        <v>311879.67510809598</v>
      </c>
      <c r="AB102" s="4">
        <v>1061.0999999999999</v>
      </c>
      <c r="AC102" s="265">
        <v>14338</v>
      </c>
      <c r="AD102" s="265">
        <v>2212.1999999999998</v>
      </c>
      <c r="AE102" s="265">
        <v>0</v>
      </c>
      <c r="AF102" s="265">
        <v>19</v>
      </c>
      <c r="AG102" s="4">
        <v>233670</v>
      </c>
      <c r="AH102" s="4">
        <v>260</v>
      </c>
      <c r="AI102" s="28">
        <f>Economic!H104</f>
        <v>865859.6</v>
      </c>
      <c r="AJ102" s="28">
        <f>Economic!I104</f>
        <v>679067</v>
      </c>
      <c r="AK102" s="28">
        <f>Economic!J104</f>
        <v>74531.5</v>
      </c>
      <c r="AL102" s="28">
        <f>Economic!K104</f>
        <v>865503</v>
      </c>
      <c r="AM102" s="28">
        <f>Economic!L104</f>
        <v>675983</v>
      </c>
      <c r="AN102" s="28">
        <f>Economic!M104</f>
        <v>32660</v>
      </c>
      <c r="AO102" s="28">
        <f>Economic!D104</f>
        <v>7895.3</v>
      </c>
      <c r="AP102" s="28">
        <f>Economic!E104</f>
        <v>7882.6</v>
      </c>
      <c r="AQ102" s="28">
        <f>Economic!F104</f>
        <v>220</v>
      </c>
      <c r="AR102" s="28">
        <f>Economic!G104</f>
        <v>221.2</v>
      </c>
      <c r="AS102" s="28">
        <f>Economic!N104</f>
        <v>142</v>
      </c>
      <c r="AT102" s="28">
        <f>Economic!O104</f>
        <v>144</v>
      </c>
      <c r="AU102" s="28">
        <f>Economic!P104</f>
        <v>-9.3000000000000114</v>
      </c>
      <c r="AV102" s="28">
        <f>Economic!Q104</f>
        <v>-9.6000000000000227</v>
      </c>
      <c r="AW102" s="28">
        <f>Economic!R104</f>
        <v>15397.699999999953</v>
      </c>
      <c r="AX102" s="28">
        <f>Economic!S104</f>
        <v>4845</v>
      </c>
      <c r="AY102" s="7">
        <f>Weather!D102</f>
        <v>12.986102150537635</v>
      </c>
      <c r="AZ102" s="7">
        <f>Weather!E102</f>
        <v>219.04750000000001</v>
      </c>
      <c r="BA102" s="7">
        <f>Weather!F102</f>
        <v>1.6166666666666636</v>
      </c>
      <c r="BB102" s="7">
        <f>Weather!G102</f>
        <v>163.56416666666669</v>
      </c>
      <c r="BC102" s="7">
        <f>Weather!H102</f>
        <v>8.1333333333333258</v>
      </c>
      <c r="BD102" s="7">
        <f>Weather!I102</f>
        <v>113.00166666666665</v>
      </c>
      <c r="BE102" s="7">
        <f>Weather!J102</f>
        <v>19.570833333333329</v>
      </c>
      <c r="BF102" s="7">
        <f>Weather!K102</f>
        <v>68.776666666666671</v>
      </c>
      <c r="BG102" s="7">
        <f>Weather!L102</f>
        <v>37.345833333333331</v>
      </c>
      <c r="BH102" s="7">
        <f>Weather!M102</f>
        <v>37.480833333333329</v>
      </c>
      <c r="BI102" s="7">
        <f>Weather!N102</f>
        <v>68.049999999999983</v>
      </c>
      <c r="BJ102" s="7">
        <f>Weather!O102</f>
        <v>20.284999999999989</v>
      </c>
      <c r="BK102" s="7">
        <f>Weather!P102</f>
        <v>112.85416666666666</v>
      </c>
      <c r="BL102" s="7">
        <f>Weather!Q102</f>
        <v>7.2058333333333309</v>
      </c>
      <c r="BM102" s="7">
        <f>Weather!R102</f>
        <v>161.77500000000001</v>
      </c>
      <c r="BN102" s="1">
        <f t="shared" si="35"/>
        <v>0</v>
      </c>
      <c r="BO102" s="1">
        <f t="shared" si="35"/>
        <v>0</v>
      </c>
      <c r="BP102" s="1">
        <f t="shared" si="35"/>
        <v>0</v>
      </c>
      <c r="BQ102" s="1">
        <f t="shared" si="35"/>
        <v>0</v>
      </c>
      <c r="BR102" s="1">
        <f t="shared" si="35"/>
        <v>1</v>
      </c>
      <c r="BS102" s="1">
        <f t="shared" si="35"/>
        <v>0</v>
      </c>
      <c r="BT102" s="1">
        <f t="shared" si="35"/>
        <v>0</v>
      </c>
      <c r="BU102" s="1">
        <f t="shared" si="35"/>
        <v>0</v>
      </c>
      <c r="BV102" s="1">
        <f t="shared" si="35"/>
        <v>0</v>
      </c>
      <c r="BW102" s="1">
        <f t="shared" si="35"/>
        <v>0</v>
      </c>
      <c r="BX102" s="1">
        <f t="shared" si="35"/>
        <v>0</v>
      </c>
      <c r="BY102" s="1">
        <f t="shared" si="35"/>
        <v>0</v>
      </c>
      <c r="BZ102" s="1">
        <f t="shared" si="35"/>
        <v>1</v>
      </c>
      <c r="CA102" s="1">
        <f t="shared" si="35"/>
        <v>0</v>
      </c>
      <c r="CB102" s="1">
        <f t="shared" si="35"/>
        <v>1</v>
      </c>
      <c r="CC102" s="1">
        <f t="shared" si="23"/>
        <v>101</v>
      </c>
      <c r="CD102" s="1">
        <f t="shared" si="17"/>
        <v>31</v>
      </c>
      <c r="CE102" s="1">
        <v>22</v>
      </c>
      <c r="CF102" s="1">
        <v>0</v>
      </c>
      <c r="CG102" s="1">
        <v>0</v>
      </c>
      <c r="CH102" s="1">
        <v>0.25</v>
      </c>
      <c r="CI102" s="1">
        <v>0</v>
      </c>
      <c r="CJ102" s="1">
        <f t="shared" si="30"/>
        <v>0</v>
      </c>
      <c r="CK102" s="1">
        <f t="shared" si="30"/>
        <v>0</v>
      </c>
      <c r="CL102" s="1">
        <f t="shared" si="30"/>
        <v>0</v>
      </c>
      <c r="CM102" s="1">
        <f t="shared" si="30"/>
        <v>0</v>
      </c>
      <c r="CN102" s="1">
        <f t="shared" si="30"/>
        <v>0</v>
      </c>
      <c r="CO102" s="1">
        <f t="shared" si="30"/>
        <v>0</v>
      </c>
      <c r="CP102" s="1">
        <f t="shared" si="28"/>
        <v>0</v>
      </c>
      <c r="CQ102" s="1">
        <f t="shared" si="28"/>
        <v>0</v>
      </c>
      <c r="CR102" s="1">
        <f t="shared" si="28"/>
        <v>0</v>
      </c>
      <c r="CS102" s="1">
        <f t="shared" si="28"/>
        <v>0</v>
      </c>
      <c r="CT102" s="1">
        <f t="shared" si="28"/>
        <v>0</v>
      </c>
      <c r="CU102" s="1">
        <f t="shared" si="36"/>
        <v>0</v>
      </c>
      <c r="CV102" s="1">
        <f t="shared" si="36"/>
        <v>0</v>
      </c>
      <c r="CW102" s="1">
        <f t="shared" si="36"/>
        <v>0</v>
      </c>
      <c r="CX102" s="1">
        <f t="shared" si="31"/>
        <v>54.761875000000003</v>
      </c>
      <c r="CY102" s="1">
        <f t="shared" si="31"/>
        <v>0.4041666666666659</v>
      </c>
      <c r="CZ102" s="1">
        <f t="shared" si="31"/>
        <v>40.891041666666673</v>
      </c>
      <c r="DA102" s="1">
        <f t="shared" si="31"/>
        <v>2.0333333333333314</v>
      </c>
      <c r="DB102" s="1">
        <f t="shared" si="31"/>
        <v>28.250416666666663</v>
      </c>
      <c r="DC102" s="1">
        <f t="shared" si="31"/>
        <v>4.8927083333333323</v>
      </c>
      <c r="DD102" s="1">
        <f t="shared" si="29"/>
        <v>17.194166666666668</v>
      </c>
      <c r="DE102" s="1">
        <f t="shared" si="29"/>
        <v>9.3364583333333329</v>
      </c>
      <c r="DF102" s="1">
        <f t="shared" si="29"/>
        <v>9.3702083333333324</v>
      </c>
      <c r="DG102" s="1">
        <f t="shared" si="29"/>
        <v>17.012499999999996</v>
      </c>
      <c r="DH102" s="1">
        <f t="shared" si="29"/>
        <v>5.0712499999999974</v>
      </c>
      <c r="DI102" s="1">
        <f t="shared" si="37"/>
        <v>28.213541666666664</v>
      </c>
      <c r="DJ102" s="1">
        <f t="shared" si="37"/>
        <v>1.8014583333333327</v>
      </c>
      <c r="DK102" s="1">
        <f t="shared" si="37"/>
        <v>40.443750000000001</v>
      </c>
      <c r="DL102" s="25"/>
      <c r="DM102" s="25"/>
      <c r="DN102" s="24"/>
      <c r="DO102" s="25"/>
      <c r="DP102" s="25"/>
      <c r="DQ102" s="25"/>
      <c r="DR102" s="25"/>
      <c r="DS102" s="25"/>
      <c r="DT102" s="25"/>
      <c r="DU102" s="25"/>
      <c r="DV102" s="25"/>
    </row>
    <row r="103" spans="1:126" x14ac:dyDescent="0.25">
      <c r="A103" s="261">
        <v>45078</v>
      </c>
      <c r="B103" s="262">
        <f t="shared" si="18"/>
        <v>2023</v>
      </c>
      <c r="C103" s="262">
        <f t="shared" si="19"/>
        <v>6</v>
      </c>
      <c r="D103" s="263">
        <v>41734868.608303823</v>
      </c>
      <c r="E103" s="263">
        <f>IFERROR(VLOOKUP($B103-1,CDM!$L$7:$T$18,2,FALSE)/12,0)+IFERROR(VLOOKUP($B103,CDM!$L$36:$T$46,2,FALSE)/24,0)+IFERROR(VLOOKUP($B103,CDM!$L$36:$T$46,2,FALSE)/2*$C103/78,0)</f>
        <v>2509173.8941946961</v>
      </c>
      <c r="F103" s="263">
        <f t="shared" si="20"/>
        <v>44244042.502498522</v>
      </c>
      <c r="G103" s="264">
        <v>57237</v>
      </c>
      <c r="H103" s="263">
        <v>10386750.995515592</v>
      </c>
      <c r="I103" s="263">
        <f>IFERROR(VLOOKUP($B103-1,CDM!$L$7:$T$18,3,FALSE)/12,0)+IFERROR(VLOOKUP($B103,CDM!$L$36:$T$46,3,FALSE)/24,0)+IFERROR(VLOOKUP($B103,CDM!$L$36:$T$46,3,FALSE)/2*$C103/78,0)</f>
        <v>734683.92034576682</v>
      </c>
      <c r="J103" s="263">
        <f t="shared" si="21"/>
        <v>11121434.915861359</v>
      </c>
      <c r="K103" s="265">
        <v>4427</v>
      </c>
      <c r="L103" s="4">
        <v>24977115.519233055</v>
      </c>
      <c r="M103" s="266">
        <f>IFERROR(VLOOKUP($B103-1,CDM!$L$7:$T$18,4,FALSE)/12,0)+IFERROR(VLOOKUP($B103,CDM!$L$36:$T$46,4,FALSE)/24,0)+IFERROR(VLOOKUP($B103,CDM!$L$36:$T$46,4,FALSE)/2*$C103/78,0)</f>
        <v>1022808.04003973</v>
      </c>
      <c r="N103" s="263">
        <f t="shared" si="22"/>
        <v>25999923.559272785</v>
      </c>
      <c r="O103" s="4">
        <v>71474.94</v>
      </c>
      <c r="P103" s="265">
        <v>502</v>
      </c>
      <c r="Q103" s="265">
        <v>6986002.6691308822</v>
      </c>
      <c r="R103" s="265">
        <f>IFERROR(VLOOKUP($B103-1,CDM!$L$7:$T$18,5,FALSE)/12,0)+IFERROR(VLOOKUP($B103,CDM!$L$36:$T$46,5,FALSE)/24,0)+IFERROR(VLOOKUP($B103,CDM!$L$36:$T$46,5,FALSE)/2*$C103/78,0)</f>
        <v>978033.73487060843</v>
      </c>
      <c r="S103" s="265">
        <f t="shared" si="32"/>
        <v>7964036.4040014911</v>
      </c>
      <c r="T103" s="265">
        <v>16264.94</v>
      </c>
      <c r="U103" s="265">
        <v>18</v>
      </c>
      <c r="V103" s="265">
        <v>2552437.8310888154</v>
      </c>
      <c r="W103" s="265">
        <f>IFERROR(VLOOKUP($B103-1,CDM!$L$7:$T$18,6,FALSE)/12,0)+IFERROR(VLOOKUP($B103,CDM!$L$36:$T$46,6,FALSE)/24,0)+IFERROR(VLOOKUP($B103,CDM!$L$36:$T$46,6,FALSE)/2*$C103/78,0)</f>
        <v>44133.486230534421</v>
      </c>
      <c r="X103" s="265">
        <f t="shared" si="33"/>
        <v>2596571.3173193499</v>
      </c>
      <c r="Y103" s="265">
        <v>6611.64</v>
      </c>
      <c r="Z103" s="265">
        <v>1</v>
      </c>
      <c r="AA103" s="4">
        <v>279405.63553276402</v>
      </c>
      <c r="AB103" s="4">
        <v>1061.8</v>
      </c>
      <c r="AC103" s="265">
        <v>14354</v>
      </c>
      <c r="AD103" s="265">
        <v>2285.94</v>
      </c>
      <c r="AE103" s="265">
        <v>0</v>
      </c>
      <c r="AF103" s="265">
        <v>19</v>
      </c>
      <c r="AG103" s="4">
        <v>234193</v>
      </c>
      <c r="AH103" s="4">
        <v>259</v>
      </c>
      <c r="AI103" s="28">
        <f>Economic!H105</f>
        <v>865859.6</v>
      </c>
      <c r="AJ103" s="28">
        <f>Economic!I105</f>
        <v>679067</v>
      </c>
      <c r="AK103" s="28">
        <f>Economic!J105</f>
        <v>74531.5</v>
      </c>
      <c r="AL103" s="28">
        <f>Economic!K105</f>
        <v>865503</v>
      </c>
      <c r="AM103" s="28">
        <f>Economic!L105</f>
        <v>675983</v>
      </c>
      <c r="AN103" s="28">
        <f>Economic!M105</f>
        <v>32660</v>
      </c>
      <c r="AO103" s="28">
        <f>Economic!D105</f>
        <v>7916.1</v>
      </c>
      <c r="AP103" s="28">
        <f>Economic!E105</f>
        <v>7971.2</v>
      </c>
      <c r="AQ103" s="28">
        <f>Economic!F105</f>
        <v>220.4</v>
      </c>
      <c r="AR103" s="28">
        <f>Economic!G105</f>
        <v>223</v>
      </c>
      <c r="AS103" s="28">
        <f>Economic!N105</f>
        <v>161.30000000000018</v>
      </c>
      <c r="AT103" s="28">
        <f>Economic!O105</f>
        <v>162</v>
      </c>
      <c r="AU103" s="28">
        <f>Economic!P105</f>
        <v>-9.5</v>
      </c>
      <c r="AV103" s="28">
        <f>Economic!Q105</f>
        <v>-9.6999999999999886</v>
      </c>
      <c r="AW103" s="28">
        <f>Economic!R105</f>
        <v>15397.699999999953</v>
      </c>
      <c r="AX103" s="28">
        <f>Economic!S105</f>
        <v>4845</v>
      </c>
      <c r="AY103" s="7">
        <f>Weather!D103</f>
        <v>18.851388888888884</v>
      </c>
      <c r="AZ103" s="7">
        <f>Weather!E103</f>
        <v>55.599999999999994</v>
      </c>
      <c r="BA103" s="7">
        <f>Weather!F103</f>
        <v>21.141666666666666</v>
      </c>
      <c r="BB103" s="7">
        <f>Weather!G103</f>
        <v>21.441666666666659</v>
      </c>
      <c r="BC103" s="7">
        <f>Weather!H103</f>
        <v>46.983333333333334</v>
      </c>
      <c r="BD103" s="7">
        <f>Weather!I103</f>
        <v>4.2708333333333268</v>
      </c>
      <c r="BE103" s="7">
        <f>Weather!J103</f>
        <v>89.8125</v>
      </c>
      <c r="BF103" s="7">
        <f>Weather!K103</f>
        <v>0</v>
      </c>
      <c r="BG103" s="7">
        <f>Weather!L103</f>
        <v>145.54166666666666</v>
      </c>
      <c r="BH103" s="7">
        <f>Weather!M103</f>
        <v>0</v>
      </c>
      <c r="BI103" s="7">
        <f>Weather!N103</f>
        <v>205.54166666666669</v>
      </c>
      <c r="BJ103" s="7">
        <f>Weather!O103</f>
        <v>0</v>
      </c>
      <c r="BK103" s="7">
        <f>Weather!P103</f>
        <v>265.54166666666669</v>
      </c>
      <c r="BL103" s="7">
        <f>Weather!Q103</f>
        <v>0</v>
      </c>
      <c r="BM103" s="7">
        <f>Weather!R103</f>
        <v>325.54166666666669</v>
      </c>
      <c r="BN103" s="1">
        <f t="shared" si="35"/>
        <v>0</v>
      </c>
      <c r="BO103" s="1">
        <f t="shared" si="35"/>
        <v>0</v>
      </c>
      <c r="BP103" s="1">
        <f t="shared" si="35"/>
        <v>0</v>
      </c>
      <c r="BQ103" s="1">
        <f t="shared" si="35"/>
        <v>0</v>
      </c>
      <c r="BR103" s="1">
        <f t="shared" si="35"/>
        <v>0</v>
      </c>
      <c r="BS103" s="1">
        <f t="shared" si="35"/>
        <v>1</v>
      </c>
      <c r="BT103" s="1">
        <f t="shared" si="35"/>
        <v>0</v>
      </c>
      <c r="BU103" s="1">
        <f t="shared" si="35"/>
        <v>0</v>
      </c>
      <c r="BV103" s="1">
        <f t="shared" si="35"/>
        <v>0</v>
      </c>
      <c r="BW103" s="1">
        <f t="shared" si="35"/>
        <v>0</v>
      </c>
      <c r="BX103" s="1">
        <f t="shared" si="35"/>
        <v>0</v>
      </c>
      <c r="BY103" s="1">
        <f t="shared" si="35"/>
        <v>0</v>
      </c>
      <c r="BZ103" s="1">
        <f t="shared" si="35"/>
        <v>0</v>
      </c>
      <c r="CA103" s="1">
        <f t="shared" si="35"/>
        <v>0</v>
      </c>
      <c r="CB103" s="1">
        <f t="shared" si="35"/>
        <v>0</v>
      </c>
      <c r="CC103" s="1">
        <f t="shared" si="23"/>
        <v>102</v>
      </c>
      <c r="CD103" s="1">
        <f t="shared" si="17"/>
        <v>30</v>
      </c>
      <c r="CE103" s="1">
        <v>22</v>
      </c>
      <c r="CF103" s="1">
        <v>0</v>
      </c>
      <c r="CG103" s="1">
        <v>0</v>
      </c>
      <c r="CH103" s="1">
        <v>0.25</v>
      </c>
      <c r="CI103" s="1">
        <v>0</v>
      </c>
      <c r="CJ103" s="1">
        <f t="shared" si="30"/>
        <v>0</v>
      </c>
      <c r="CK103" s="1">
        <f t="shared" si="30"/>
        <v>0</v>
      </c>
      <c r="CL103" s="1">
        <f t="shared" si="30"/>
        <v>0</v>
      </c>
      <c r="CM103" s="1">
        <f t="shared" si="30"/>
        <v>0</v>
      </c>
      <c r="CN103" s="1">
        <f t="shared" si="30"/>
        <v>0</v>
      </c>
      <c r="CO103" s="1">
        <f t="shared" si="30"/>
        <v>0</v>
      </c>
      <c r="CP103" s="1">
        <f t="shared" si="28"/>
        <v>0</v>
      </c>
      <c r="CQ103" s="1">
        <f t="shared" si="28"/>
        <v>0</v>
      </c>
      <c r="CR103" s="1">
        <f t="shared" si="28"/>
        <v>0</v>
      </c>
      <c r="CS103" s="1">
        <f t="shared" si="28"/>
        <v>0</v>
      </c>
      <c r="CT103" s="1">
        <f t="shared" si="28"/>
        <v>0</v>
      </c>
      <c r="CU103" s="1">
        <f t="shared" si="36"/>
        <v>0</v>
      </c>
      <c r="CV103" s="1">
        <f t="shared" si="36"/>
        <v>0</v>
      </c>
      <c r="CW103" s="1">
        <f t="shared" si="36"/>
        <v>0</v>
      </c>
      <c r="CX103" s="1">
        <f t="shared" si="31"/>
        <v>13.899999999999999</v>
      </c>
      <c r="CY103" s="1">
        <f t="shared" si="31"/>
        <v>5.2854166666666664</v>
      </c>
      <c r="CZ103" s="1">
        <f t="shared" si="31"/>
        <v>5.3604166666666648</v>
      </c>
      <c r="DA103" s="1">
        <f t="shared" si="31"/>
        <v>11.745833333333334</v>
      </c>
      <c r="DB103" s="1">
        <f t="shared" si="31"/>
        <v>1.0677083333333317</v>
      </c>
      <c r="DC103" s="1">
        <f t="shared" si="31"/>
        <v>22.453125</v>
      </c>
      <c r="DD103" s="1">
        <f t="shared" si="29"/>
        <v>0</v>
      </c>
      <c r="DE103" s="1">
        <f t="shared" si="29"/>
        <v>36.385416666666664</v>
      </c>
      <c r="DF103" s="1">
        <f t="shared" si="29"/>
        <v>0</v>
      </c>
      <c r="DG103" s="1">
        <f t="shared" si="29"/>
        <v>51.385416666666671</v>
      </c>
      <c r="DH103" s="1">
        <f t="shared" si="29"/>
        <v>0</v>
      </c>
      <c r="DI103" s="1">
        <f t="shared" si="37"/>
        <v>66.385416666666671</v>
      </c>
      <c r="DJ103" s="1">
        <f t="shared" si="37"/>
        <v>0</v>
      </c>
      <c r="DK103" s="1">
        <f t="shared" si="37"/>
        <v>81.385416666666671</v>
      </c>
      <c r="DL103" s="25"/>
      <c r="DM103" s="25"/>
      <c r="DN103" s="24"/>
      <c r="DO103" s="25"/>
      <c r="DP103" s="25"/>
      <c r="DQ103" s="25"/>
      <c r="DR103" s="25"/>
      <c r="DS103" s="25"/>
      <c r="DT103" s="25"/>
      <c r="DU103" s="25"/>
      <c r="DV103" s="25"/>
    </row>
    <row r="104" spans="1:126" x14ac:dyDescent="0.25">
      <c r="A104" s="261">
        <v>45108</v>
      </c>
      <c r="B104" s="262">
        <f t="shared" si="18"/>
        <v>2023</v>
      </c>
      <c r="C104" s="262">
        <f t="shared" si="19"/>
        <v>7</v>
      </c>
      <c r="D104" s="263">
        <v>50676415.019803561</v>
      </c>
      <c r="E104" s="263">
        <f>IFERROR(VLOOKUP($B104-1,CDM!$L$7:$T$18,2,FALSE)/12,0)+IFERROR(VLOOKUP($B104,CDM!$L$36:$T$46,2,FALSE)/24,0)+IFERROR(VLOOKUP($B104,CDM!$L$36:$T$46,2,FALSE)/2*$C104/78,0)</f>
        <v>2513127.768519423</v>
      </c>
      <c r="F104" s="263">
        <f t="shared" si="20"/>
        <v>53189542.788322985</v>
      </c>
      <c r="G104" s="264">
        <v>57117</v>
      </c>
      <c r="H104" s="263">
        <v>11800522.143800972</v>
      </c>
      <c r="I104" s="263">
        <f>IFERROR(VLOOKUP($B104-1,CDM!$L$7:$T$18,3,FALSE)/12,0)+IFERROR(VLOOKUP($B104,CDM!$L$36:$T$46,3,FALSE)/24,0)+IFERROR(VLOOKUP($B104,CDM!$L$36:$T$46,3,FALSE)/2*$C104/78,0)</f>
        <v>742566.53460903931</v>
      </c>
      <c r="J104" s="263">
        <f t="shared" si="21"/>
        <v>12543088.678410012</v>
      </c>
      <c r="K104" s="265">
        <v>4428</v>
      </c>
      <c r="L104" s="4">
        <v>28175776.702092201</v>
      </c>
      <c r="M104" s="266">
        <f>IFERROR(VLOOKUP($B104-1,CDM!$L$7:$T$18,4,FALSE)/12,0)+IFERROR(VLOOKUP($B104,CDM!$L$36:$T$46,4,FALSE)/24,0)+IFERROR(VLOOKUP($B104,CDM!$L$36:$T$46,4,FALSE)/2*$C104/78,0)</f>
        <v>1037143.4583555947</v>
      </c>
      <c r="N104" s="263">
        <f t="shared" si="22"/>
        <v>29212920.160447795</v>
      </c>
      <c r="O104" s="4">
        <v>74306.489999999991</v>
      </c>
      <c r="P104" s="265">
        <v>501</v>
      </c>
      <c r="Q104" s="265">
        <v>7175136.9031590242</v>
      </c>
      <c r="R104" s="265">
        <f>IFERROR(VLOOKUP($B104-1,CDM!$L$7:$T$18,5,FALSE)/12,0)+IFERROR(VLOOKUP($B104,CDM!$L$36:$T$46,5,FALSE)/24,0)+IFERROR(VLOOKUP($B104,CDM!$L$36:$T$46,5,FALSE)/2*$C104/78,0)</f>
        <v>984705.79584834527</v>
      </c>
      <c r="S104" s="265">
        <f t="shared" si="32"/>
        <v>8159842.6990073696</v>
      </c>
      <c r="T104" s="265">
        <v>15915.71</v>
      </c>
      <c r="U104" s="265">
        <v>18</v>
      </c>
      <c r="V104" s="265">
        <v>2671992.2080055689</v>
      </c>
      <c r="W104" s="265">
        <f>IFERROR(VLOOKUP($B104-1,CDM!$L$7:$T$18,6,FALSE)/12,0)+IFERROR(VLOOKUP($B104,CDM!$L$36:$T$46,6,FALSE)/24,0)+IFERROR(VLOOKUP($B104,CDM!$L$36:$T$46,6,FALSE)/2*$C104/78,0)</f>
        <v>45058.080155673939</v>
      </c>
      <c r="X104" s="265">
        <f t="shared" si="33"/>
        <v>2717050.2881612428</v>
      </c>
      <c r="Y104" s="265">
        <v>5697.72</v>
      </c>
      <c r="Z104" s="265">
        <v>1</v>
      </c>
      <c r="AA104" s="4">
        <v>296800.05956267804</v>
      </c>
      <c r="AB104" s="4">
        <v>1064.5</v>
      </c>
      <c r="AC104" s="265">
        <v>14415</v>
      </c>
      <c r="AD104" s="265">
        <v>2285.94</v>
      </c>
      <c r="AE104" s="265">
        <v>0</v>
      </c>
      <c r="AF104" s="265">
        <v>19</v>
      </c>
      <c r="AG104" s="4">
        <v>234168</v>
      </c>
      <c r="AH104" s="4">
        <v>258</v>
      </c>
      <c r="AI104" s="28">
        <f>Economic!H106</f>
        <v>865859.6</v>
      </c>
      <c r="AJ104" s="28">
        <f>Economic!I106</f>
        <v>679067</v>
      </c>
      <c r="AK104" s="28">
        <f>Economic!J106</f>
        <v>74531.5</v>
      </c>
      <c r="AL104" s="28">
        <f>Economic!K106</f>
        <v>867701</v>
      </c>
      <c r="AM104" s="28">
        <f>Economic!L106</f>
        <v>682077</v>
      </c>
      <c r="AN104" s="28">
        <f>Economic!M106</f>
        <v>32844</v>
      </c>
      <c r="AO104" s="28">
        <f>Economic!D106</f>
        <v>7926.1</v>
      </c>
      <c r="AP104" s="28">
        <f>Economic!E106</f>
        <v>8016.9</v>
      </c>
      <c r="AQ104" s="28">
        <f>Economic!F106</f>
        <v>220.8</v>
      </c>
      <c r="AR104" s="28">
        <f>Economic!G106</f>
        <v>222.5</v>
      </c>
      <c r="AS104" s="28">
        <f>Economic!N106</f>
        <v>171.30000000000018</v>
      </c>
      <c r="AT104" s="28">
        <f>Economic!O106</f>
        <v>173.29999999999927</v>
      </c>
      <c r="AU104" s="28">
        <f>Economic!P106</f>
        <v>-8</v>
      </c>
      <c r="AV104" s="28">
        <f>Economic!Q106</f>
        <v>-8.6999999999999886</v>
      </c>
      <c r="AW104" s="28">
        <f>Economic!R106</f>
        <v>15397.699999999953</v>
      </c>
      <c r="AX104" s="28">
        <f>Economic!S106</f>
        <v>2198</v>
      </c>
      <c r="AY104" s="7">
        <f>Weather!D104</f>
        <v>21.218817204301072</v>
      </c>
      <c r="AZ104" s="7">
        <f>Weather!E104</f>
        <v>7.3166666666666593</v>
      </c>
      <c r="BA104" s="7">
        <f>Weather!F104</f>
        <v>45.099999999999966</v>
      </c>
      <c r="BB104" s="7">
        <f>Weather!G104</f>
        <v>0.12499999999999645</v>
      </c>
      <c r="BC104" s="7">
        <f>Weather!H104</f>
        <v>99.908333333333317</v>
      </c>
      <c r="BD104" s="7">
        <f>Weather!I104</f>
        <v>0</v>
      </c>
      <c r="BE104" s="7">
        <f>Weather!J104</f>
        <v>161.78333333333336</v>
      </c>
      <c r="BF104" s="7">
        <f>Weather!K104</f>
        <v>0</v>
      </c>
      <c r="BG104" s="7">
        <f>Weather!L104</f>
        <v>223.78333333333336</v>
      </c>
      <c r="BH104" s="7">
        <f>Weather!M104</f>
        <v>0</v>
      </c>
      <c r="BI104" s="7">
        <f>Weather!N104</f>
        <v>285.78333333333342</v>
      </c>
      <c r="BJ104" s="7">
        <f>Weather!O104</f>
        <v>0</v>
      </c>
      <c r="BK104" s="7">
        <f>Weather!P104</f>
        <v>347.78333333333342</v>
      </c>
      <c r="BL104" s="7">
        <f>Weather!Q104</f>
        <v>0</v>
      </c>
      <c r="BM104" s="7">
        <f>Weather!R104</f>
        <v>409.7833333333333</v>
      </c>
      <c r="BN104" s="1">
        <f t="shared" si="35"/>
        <v>0</v>
      </c>
      <c r="BO104" s="1">
        <f t="shared" si="35"/>
        <v>0</v>
      </c>
      <c r="BP104" s="1">
        <f t="shared" si="35"/>
        <v>0</v>
      </c>
      <c r="BQ104" s="1">
        <f t="shared" si="35"/>
        <v>0</v>
      </c>
      <c r="BR104" s="1">
        <f t="shared" si="35"/>
        <v>0</v>
      </c>
      <c r="BS104" s="1">
        <f t="shared" si="35"/>
        <v>0</v>
      </c>
      <c r="BT104" s="1">
        <f t="shared" si="35"/>
        <v>1</v>
      </c>
      <c r="BU104" s="1">
        <f t="shared" si="35"/>
        <v>0</v>
      </c>
      <c r="BV104" s="1">
        <f t="shared" si="35"/>
        <v>0</v>
      </c>
      <c r="BW104" s="1">
        <f t="shared" si="35"/>
        <v>0</v>
      </c>
      <c r="BX104" s="1">
        <f t="shared" si="35"/>
        <v>0</v>
      </c>
      <c r="BY104" s="1">
        <f t="shared" si="35"/>
        <v>0</v>
      </c>
      <c r="BZ104" s="1">
        <f t="shared" si="35"/>
        <v>0</v>
      </c>
      <c r="CA104" s="1">
        <f t="shared" si="35"/>
        <v>0</v>
      </c>
      <c r="CB104" s="1">
        <f t="shared" si="35"/>
        <v>0</v>
      </c>
      <c r="CC104" s="1">
        <f t="shared" si="23"/>
        <v>103</v>
      </c>
      <c r="CD104" s="1">
        <f t="shared" si="17"/>
        <v>31</v>
      </c>
      <c r="CE104" s="1">
        <v>20</v>
      </c>
      <c r="CF104" s="1">
        <v>0</v>
      </c>
      <c r="CG104" s="1">
        <v>0</v>
      </c>
      <c r="CH104" s="1">
        <v>0.25</v>
      </c>
      <c r="CI104" s="1">
        <v>0</v>
      </c>
      <c r="CJ104" s="1">
        <f t="shared" si="30"/>
        <v>0</v>
      </c>
      <c r="CK104" s="1">
        <f t="shared" si="30"/>
        <v>0</v>
      </c>
      <c r="CL104" s="1">
        <f t="shared" si="30"/>
        <v>0</v>
      </c>
      <c r="CM104" s="1">
        <f t="shared" si="30"/>
        <v>0</v>
      </c>
      <c r="CN104" s="1">
        <f t="shared" si="30"/>
        <v>0</v>
      </c>
      <c r="CO104" s="1">
        <f t="shared" si="30"/>
        <v>0</v>
      </c>
      <c r="CP104" s="1">
        <f t="shared" si="28"/>
        <v>0</v>
      </c>
      <c r="CQ104" s="1">
        <f t="shared" si="28"/>
        <v>0</v>
      </c>
      <c r="CR104" s="1">
        <f t="shared" si="28"/>
        <v>0</v>
      </c>
      <c r="CS104" s="1">
        <f t="shared" si="28"/>
        <v>0</v>
      </c>
      <c r="CT104" s="1">
        <f t="shared" si="28"/>
        <v>0</v>
      </c>
      <c r="CU104" s="1">
        <f t="shared" si="36"/>
        <v>0</v>
      </c>
      <c r="CV104" s="1">
        <f t="shared" si="36"/>
        <v>0</v>
      </c>
      <c r="CW104" s="1">
        <f t="shared" si="36"/>
        <v>0</v>
      </c>
      <c r="CX104" s="1">
        <f t="shared" si="31"/>
        <v>1.8291666666666648</v>
      </c>
      <c r="CY104" s="1">
        <f t="shared" si="31"/>
        <v>11.274999999999991</v>
      </c>
      <c r="CZ104" s="1">
        <f t="shared" si="31"/>
        <v>3.1249999999999112E-2</v>
      </c>
      <c r="DA104" s="1">
        <f t="shared" si="31"/>
        <v>24.977083333333329</v>
      </c>
      <c r="DB104" s="1">
        <f t="shared" si="31"/>
        <v>0</v>
      </c>
      <c r="DC104" s="1">
        <f t="shared" si="31"/>
        <v>40.44583333333334</v>
      </c>
      <c r="DD104" s="1">
        <f t="shared" si="29"/>
        <v>0</v>
      </c>
      <c r="DE104" s="1">
        <f t="shared" si="29"/>
        <v>55.94583333333334</v>
      </c>
      <c r="DF104" s="1">
        <f t="shared" si="29"/>
        <v>0</v>
      </c>
      <c r="DG104" s="1">
        <f t="shared" si="29"/>
        <v>71.445833333333354</v>
      </c>
      <c r="DH104" s="1">
        <f t="shared" si="29"/>
        <v>0</v>
      </c>
      <c r="DI104" s="1">
        <f t="shared" si="37"/>
        <v>86.945833333333354</v>
      </c>
      <c r="DJ104" s="1">
        <f t="shared" si="37"/>
        <v>0</v>
      </c>
      <c r="DK104" s="1">
        <f t="shared" si="37"/>
        <v>102.44583333333333</v>
      </c>
      <c r="DL104" s="25"/>
      <c r="DM104" s="25"/>
      <c r="DN104" s="24"/>
      <c r="DO104" s="25"/>
      <c r="DP104" s="25"/>
      <c r="DQ104" s="25"/>
      <c r="DR104" s="25"/>
      <c r="DS104" s="25"/>
      <c r="DT104" s="25"/>
      <c r="DU104" s="25"/>
      <c r="DV104" s="25"/>
    </row>
    <row r="105" spans="1:126" x14ac:dyDescent="0.25">
      <c r="A105" s="261">
        <v>45139</v>
      </c>
      <c r="B105" s="262">
        <f t="shared" si="18"/>
        <v>2023</v>
      </c>
      <c r="C105" s="262">
        <f t="shared" si="19"/>
        <v>8</v>
      </c>
      <c r="D105" s="263">
        <v>49883081.059523009</v>
      </c>
      <c r="E105" s="263">
        <f>IFERROR(VLOOKUP($B105-1,CDM!$L$7:$T$18,2,FALSE)/12,0)+IFERROR(VLOOKUP($B105,CDM!$L$36:$T$46,2,FALSE)/24,0)+IFERROR(VLOOKUP($B105,CDM!$L$36:$T$46,2,FALSE)/2*$C105/78,0)</f>
        <v>2517081.6428441498</v>
      </c>
      <c r="F105" s="263">
        <f t="shared" si="20"/>
        <v>52400162.702367157</v>
      </c>
      <c r="G105" s="264">
        <v>57319</v>
      </c>
      <c r="H105" s="263">
        <v>10988147.424653323</v>
      </c>
      <c r="I105" s="263">
        <f>IFERROR(VLOOKUP($B105-1,CDM!$L$7:$T$18,3,FALSE)/12,0)+IFERROR(VLOOKUP($B105,CDM!$L$36:$T$46,3,FALSE)/24,0)+IFERROR(VLOOKUP($B105,CDM!$L$36:$T$46,3,FALSE)/2*$C105/78,0)</f>
        <v>750449.14887231193</v>
      </c>
      <c r="J105" s="263">
        <f t="shared" si="21"/>
        <v>11738596.573525636</v>
      </c>
      <c r="K105" s="265">
        <v>4431</v>
      </c>
      <c r="L105" s="4">
        <v>26191452.433149893</v>
      </c>
      <c r="M105" s="266">
        <f>IFERROR(VLOOKUP($B105-1,CDM!$L$7:$T$18,4,FALSE)/12,0)+IFERROR(VLOOKUP($B105,CDM!$L$36:$T$46,4,FALSE)/24,0)+IFERROR(VLOOKUP($B105,CDM!$L$36:$T$46,4,FALSE)/2*$C105/78,0)</f>
        <v>1051478.8766714593</v>
      </c>
      <c r="N105" s="263">
        <f t="shared" si="22"/>
        <v>27242931.309821352</v>
      </c>
      <c r="O105" s="4">
        <v>71422.929999999993</v>
      </c>
      <c r="P105" s="265">
        <v>504</v>
      </c>
      <c r="Q105" s="265">
        <v>7226299.2855512602</v>
      </c>
      <c r="R105" s="265">
        <f>IFERROR(VLOOKUP($B105-1,CDM!$L$7:$T$18,5,FALSE)/12,0)+IFERROR(VLOOKUP($B105,CDM!$L$36:$T$46,5,FALSE)/24,0)+IFERROR(VLOOKUP($B105,CDM!$L$36:$T$46,5,FALSE)/2*$C105/78,0)</f>
        <v>991377.85682608222</v>
      </c>
      <c r="S105" s="265">
        <f t="shared" si="32"/>
        <v>8217677.1423773421</v>
      </c>
      <c r="T105" s="265">
        <v>15506.96</v>
      </c>
      <c r="U105" s="265">
        <v>18</v>
      </c>
      <c r="V105" s="265">
        <v>2937780.5360975759</v>
      </c>
      <c r="W105" s="265">
        <f>IFERROR(VLOOKUP($B105-1,CDM!$L$7:$T$18,6,FALSE)/12,0)+IFERROR(VLOOKUP($B105,CDM!$L$36:$T$46,6,FALSE)/24,0)+IFERROR(VLOOKUP($B105,CDM!$L$36:$T$46,6,FALSE)/2*$C105/78,0)</f>
        <v>45982.674080813464</v>
      </c>
      <c r="X105" s="265">
        <f t="shared" si="33"/>
        <v>2983763.2101783892</v>
      </c>
      <c r="Y105" s="265">
        <v>6440.28</v>
      </c>
      <c r="Z105" s="265">
        <v>1</v>
      </c>
      <c r="AA105" s="4">
        <v>305790.15876303281</v>
      </c>
      <c r="AB105" s="4">
        <v>1067.3</v>
      </c>
      <c r="AC105" s="265">
        <v>14427</v>
      </c>
      <c r="AD105" s="265">
        <v>2212.1999999999998</v>
      </c>
      <c r="AE105" s="265">
        <v>0</v>
      </c>
      <c r="AF105" s="265">
        <v>19</v>
      </c>
      <c r="AG105" s="4">
        <v>230836.22950819673</v>
      </c>
      <c r="AH105" s="4">
        <v>258</v>
      </c>
      <c r="AI105" s="28">
        <f>Economic!H107</f>
        <v>865859.6</v>
      </c>
      <c r="AJ105" s="28">
        <f>Economic!I107</f>
        <v>679067</v>
      </c>
      <c r="AK105" s="28">
        <f>Economic!J107</f>
        <v>74531.5</v>
      </c>
      <c r="AL105" s="28">
        <f>Economic!K107</f>
        <v>867701</v>
      </c>
      <c r="AM105" s="28">
        <f>Economic!L107</f>
        <v>682077</v>
      </c>
      <c r="AN105" s="28">
        <f>Economic!M107</f>
        <v>32844</v>
      </c>
      <c r="AO105" s="28">
        <f>Economic!D107</f>
        <v>7940.5</v>
      </c>
      <c r="AP105" s="28">
        <f>Economic!E107</f>
        <v>8020.3</v>
      </c>
      <c r="AQ105" s="28">
        <f>Economic!F107</f>
        <v>223.5</v>
      </c>
      <c r="AR105" s="28">
        <f>Economic!G107</f>
        <v>223.8</v>
      </c>
      <c r="AS105" s="28">
        <f>Economic!N107</f>
        <v>193.10000000000036</v>
      </c>
      <c r="AT105" s="28">
        <f>Economic!O107</f>
        <v>194.90000000000055</v>
      </c>
      <c r="AU105" s="28">
        <f>Economic!P107</f>
        <v>-3.8000000000000114</v>
      </c>
      <c r="AV105" s="28">
        <f>Economic!Q107</f>
        <v>-4.0999999999999943</v>
      </c>
      <c r="AW105" s="28">
        <f>Economic!R107</f>
        <v>15397.699999999953</v>
      </c>
      <c r="AX105" s="28">
        <f>Economic!S107</f>
        <v>2198</v>
      </c>
      <c r="AY105" s="7">
        <f>Weather!D105</f>
        <v>19.348544880785411</v>
      </c>
      <c r="AZ105" s="7">
        <f>Weather!E105</f>
        <v>32.211775362318839</v>
      </c>
      <c r="BA105" s="7">
        <f>Weather!F105</f>
        <v>12.016666666666676</v>
      </c>
      <c r="BB105" s="7">
        <f>Weather!G105</f>
        <v>9.274999999999995</v>
      </c>
      <c r="BC105" s="7">
        <f>Weather!H105</f>
        <v>51.079891304347839</v>
      </c>
      <c r="BD105" s="7">
        <f>Weather!I105</f>
        <v>1.6125000000000007</v>
      </c>
      <c r="BE105" s="7">
        <f>Weather!J105</f>
        <v>105.41739130434784</v>
      </c>
      <c r="BF105" s="7">
        <f>Weather!K105</f>
        <v>0</v>
      </c>
      <c r="BG105" s="7">
        <f>Weather!L105</f>
        <v>165.80489130434788</v>
      </c>
      <c r="BH105" s="7">
        <f>Weather!M105</f>
        <v>0</v>
      </c>
      <c r="BI105" s="7">
        <f>Weather!N105</f>
        <v>227.80489130434788</v>
      </c>
      <c r="BJ105" s="7">
        <f>Weather!O105</f>
        <v>0</v>
      </c>
      <c r="BK105" s="7">
        <f>Weather!P105</f>
        <v>289.8048913043479</v>
      </c>
      <c r="BL105" s="7">
        <f>Weather!Q105</f>
        <v>0</v>
      </c>
      <c r="BM105" s="7">
        <f>Weather!R105</f>
        <v>351.80489130434785</v>
      </c>
      <c r="BN105" s="1">
        <f t="shared" si="35"/>
        <v>0</v>
      </c>
      <c r="BO105" s="1">
        <f t="shared" si="35"/>
        <v>0</v>
      </c>
      <c r="BP105" s="1">
        <f t="shared" si="35"/>
        <v>0</v>
      </c>
      <c r="BQ105" s="1">
        <f t="shared" si="35"/>
        <v>0</v>
      </c>
      <c r="BR105" s="1">
        <f t="shared" si="35"/>
        <v>0</v>
      </c>
      <c r="BS105" s="1">
        <f t="shared" si="35"/>
        <v>0</v>
      </c>
      <c r="BT105" s="1">
        <f t="shared" si="35"/>
        <v>0</v>
      </c>
      <c r="BU105" s="1">
        <f t="shared" si="35"/>
        <v>1</v>
      </c>
      <c r="BV105" s="1">
        <f t="shared" si="35"/>
        <v>0</v>
      </c>
      <c r="BW105" s="1">
        <f t="shared" si="35"/>
        <v>0</v>
      </c>
      <c r="BX105" s="1">
        <f t="shared" si="35"/>
        <v>0</v>
      </c>
      <c r="BY105" s="1">
        <f t="shared" si="35"/>
        <v>0</v>
      </c>
      <c r="BZ105" s="1">
        <f t="shared" si="35"/>
        <v>0</v>
      </c>
      <c r="CA105" s="1">
        <f t="shared" si="35"/>
        <v>0</v>
      </c>
      <c r="CB105" s="1">
        <f t="shared" si="35"/>
        <v>0</v>
      </c>
      <c r="CC105" s="1">
        <f t="shared" si="23"/>
        <v>104</v>
      </c>
      <c r="CD105" s="1">
        <f t="shared" si="17"/>
        <v>31</v>
      </c>
      <c r="CE105" s="1">
        <v>22</v>
      </c>
      <c r="CF105" s="1">
        <v>0</v>
      </c>
      <c r="CG105" s="1">
        <v>0</v>
      </c>
      <c r="CH105" s="1">
        <v>0.25</v>
      </c>
      <c r="CI105" s="1">
        <v>0</v>
      </c>
      <c r="CJ105" s="1">
        <f t="shared" si="30"/>
        <v>0</v>
      </c>
      <c r="CK105" s="1">
        <f t="shared" si="30"/>
        <v>0</v>
      </c>
      <c r="CL105" s="1">
        <f t="shared" si="30"/>
        <v>0</v>
      </c>
      <c r="CM105" s="1">
        <f t="shared" si="30"/>
        <v>0</v>
      </c>
      <c r="CN105" s="1">
        <f t="shared" si="30"/>
        <v>0</v>
      </c>
      <c r="CO105" s="1">
        <f t="shared" si="30"/>
        <v>0</v>
      </c>
      <c r="CP105" s="1">
        <f t="shared" si="28"/>
        <v>0</v>
      </c>
      <c r="CQ105" s="1">
        <f t="shared" si="28"/>
        <v>0</v>
      </c>
      <c r="CR105" s="1">
        <f t="shared" si="28"/>
        <v>0</v>
      </c>
      <c r="CS105" s="1">
        <f t="shared" si="28"/>
        <v>0</v>
      </c>
      <c r="CT105" s="1">
        <f t="shared" si="28"/>
        <v>0</v>
      </c>
      <c r="CU105" s="1">
        <f t="shared" si="36"/>
        <v>0</v>
      </c>
      <c r="CV105" s="1">
        <f t="shared" si="36"/>
        <v>0</v>
      </c>
      <c r="CW105" s="1">
        <f t="shared" si="36"/>
        <v>0</v>
      </c>
      <c r="CX105" s="1">
        <f t="shared" si="31"/>
        <v>8.0529438405797098</v>
      </c>
      <c r="CY105" s="1">
        <f t="shared" si="31"/>
        <v>3.0041666666666691</v>
      </c>
      <c r="CZ105" s="1">
        <f t="shared" si="31"/>
        <v>2.3187499999999988</v>
      </c>
      <c r="DA105" s="1">
        <f t="shared" si="31"/>
        <v>12.76997282608696</v>
      </c>
      <c r="DB105" s="1">
        <f t="shared" si="31"/>
        <v>0.40312500000000018</v>
      </c>
      <c r="DC105" s="1">
        <f t="shared" si="31"/>
        <v>26.354347826086961</v>
      </c>
      <c r="DD105" s="1">
        <f t="shared" si="29"/>
        <v>0</v>
      </c>
      <c r="DE105" s="1">
        <f t="shared" si="29"/>
        <v>41.451222826086969</v>
      </c>
      <c r="DF105" s="1">
        <f t="shared" si="29"/>
        <v>0</v>
      </c>
      <c r="DG105" s="1">
        <f t="shared" si="29"/>
        <v>56.951222826086969</v>
      </c>
      <c r="DH105" s="1">
        <f t="shared" si="29"/>
        <v>0</v>
      </c>
      <c r="DI105" s="1">
        <f t="shared" si="37"/>
        <v>72.451222826086976</v>
      </c>
      <c r="DJ105" s="1">
        <f t="shared" si="37"/>
        <v>0</v>
      </c>
      <c r="DK105" s="1">
        <f t="shared" si="37"/>
        <v>87.951222826086962</v>
      </c>
      <c r="DL105" s="25"/>
      <c r="DM105" s="25"/>
      <c r="DN105" s="24"/>
      <c r="DO105" s="25"/>
      <c r="DP105" s="25"/>
      <c r="DQ105" s="25"/>
      <c r="DR105" s="25"/>
      <c r="DS105" s="25"/>
      <c r="DT105" s="25"/>
      <c r="DU105" s="25"/>
      <c r="DV105" s="25"/>
    </row>
    <row r="106" spans="1:126" x14ac:dyDescent="0.25">
      <c r="A106" s="261">
        <v>45170</v>
      </c>
      <c r="B106" s="262">
        <f t="shared" si="18"/>
        <v>2023</v>
      </c>
      <c r="C106" s="262">
        <f t="shared" si="19"/>
        <v>9</v>
      </c>
      <c r="D106" s="263">
        <v>44092631.227047838</v>
      </c>
      <c r="E106" s="263">
        <f>IFERROR(VLOOKUP($B106-1,CDM!$L$7:$T$18,2,FALSE)/12,0)+IFERROR(VLOOKUP($B106,CDM!$L$36:$T$46,2,FALSE)/24,0)+IFERROR(VLOOKUP($B106,CDM!$L$36:$T$46,2,FALSE)/2*$C106/78,0)</f>
        <v>2521035.5171688767</v>
      </c>
      <c r="F106" s="263">
        <f t="shared" si="20"/>
        <v>46613666.744216718</v>
      </c>
      <c r="G106" s="264">
        <v>57290</v>
      </c>
      <c r="H106" s="263">
        <v>10112666.782799996</v>
      </c>
      <c r="I106" s="263">
        <f>IFERROR(VLOOKUP($B106-1,CDM!$L$7:$T$18,3,FALSE)/12,0)+IFERROR(VLOOKUP($B106,CDM!$L$36:$T$46,3,FALSE)/24,0)+IFERROR(VLOOKUP($B106,CDM!$L$36:$T$46,3,FALSE)/2*$C106/78,0)</f>
        <v>758331.76313558442</v>
      </c>
      <c r="J106" s="263">
        <f t="shared" si="21"/>
        <v>10870998.545935581</v>
      </c>
      <c r="K106" s="265">
        <v>4430</v>
      </c>
      <c r="L106" s="4">
        <v>24765523.610411026</v>
      </c>
      <c r="M106" s="266">
        <f>IFERROR(VLOOKUP($B106-1,CDM!$L$7:$T$18,4,FALSE)/12,0)+IFERROR(VLOOKUP($B106,CDM!$L$36:$T$46,4,FALSE)/24,0)+IFERROR(VLOOKUP($B106,CDM!$L$36:$T$46,4,FALSE)/2*$C106/78,0)</f>
        <v>1065814.2949873239</v>
      </c>
      <c r="N106" s="263">
        <f t="shared" si="22"/>
        <v>25831337.90539835</v>
      </c>
      <c r="O106" s="4">
        <v>74318.390000000014</v>
      </c>
      <c r="P106" s="265">
        <v>505</v>
      </c>
      <c r="Q106" s="265">
        <v>7001134.0125022195</v>
      </c>
      <c r="R106" s="265">
        <f>IFERROR(VLOOKUP($B106-1,CDM!$L$7:$T$18,5,FALSE)/12,0)+IFERROR(VLOOKUP($B106,CDM!$L$36:$T$46,5,FALSE)/24,0)+IFERROR(VLOOKUP($B106,CDM!$L$36:$T$46,5,FALSE)/2*$C106/78,0)</f>
        <v>998049.91780381906</v>
      </c>
      <c r="S106" s="265">
        <f t="shared" si="32"/>
        <v>7999183.9303060388</v>
      </c>
      <c r="T106" s="265">
        <v>16983.7</v>
      </c>
      <c r="U106" s="265">
        <v>18</v>
      </c>
      <c r="V106" s="265">
        <v>2945265.9434799016</v>
      </c>
      <c r="W106" s="265">
        <f>IFERROR(VLOOKUP($B106-1,CDM!$L$7:$T$18,6,FALSE)/12,0)+IFERROR(VLOOKUP($B106,CDM!$L$36:$T$46,6,FALSE)/24,0)+IFERROR(VLOOKUP($B106,CDM!$L$36:$T$46,6,FALSE)/2*$C106/78,0)</f>
        <v>46907.268005952981</v>
      </c>
      <c r="X106" s="265">
        <f t="shared" si="33"/>
        <v>2992173.2114858548</v>
      </c>
      <c r="Y106" s="265">
        <v>6421.8</v>
      </c>
      <c r="Z106" s="265">
        <v>1</v>
      </c>
      <c r="AA106" s="4">
        <v>303740.12746349431</v>
      </c>
      <c r="AB106" s="4">
        <v>1067.3</v>
      </c>
      <c r="AC106" s="265">
        <v>14427</v>
      </c>
      <c r="AD106" s="265">
        <v>2285.94</v>
      </c>
      <c r="AE106" s="265">
        <v>0</v>
      </c>
      <c r="AF106" s="265">
        <v>19</v>
      </c>
      <c r="AG106" s="4">
        <v>238530.77049180327</v>
      </c>
      <c r="AH106" s="4">
        <v>259</v>
      </c>
      <c r="AI106" s="28">
        <f>Economic!H108</f>
        <v>865859.6</v>
      </c>
      <c r="AJ106" s="28">
        <f>Economic!I108</f>
        <v>679067</v>
      </c>
      <c r="AK106" s="28">
        <f>Economic!J108</f>
        <v>74531.5</v>
      </c>
      <c r="AL106" s="28">
        <f>Economic!K108</f>
        <v>867701</v>
      </c>
      <c r="AM106" s="28">
        <f>Economic!L108</f>
        <v>682077</v>
      </c>
      <c r="AN106" s="28">
        <f>Economic!M108</f>
        <v>32844</v>
      </c>
      <c r="AO106" s="28">
        <f>Economic!D108</f>
        <v>7945</v>
      </c>
      <c r="AP106" s="28">
        <f>Economic!E108</f>
        <v>7968.4</v>
      </c>
      <c r="AQ106" s="28">
        <f>Economic!F108</f>
        <v>223.9</v>
      </c>
      <c r="AR106" s="28">
        <f>Economic!G108</f>
        <v>222.1</v>
      </c>
      <c r="AS106" s="28">
        <f>Economic!N108</f>
        <v>204.30000000000018</v>
      </c>
      <c r="AT106" s="28">
        <f>Economic!O108</f>
        <v>201.69999999999982</v>
      </c>
      <c r="AU106" s="28">
        <f>Economic!P108</f>
        <v>-2.0999999999999943</v>
      </c>
      <c r="AV106" s="28">
        <f>Economic!Q108</f>
        <v>-2.3000000000000114</v>
      </c>
      <c r="AW106" s="28">
        <f>Economic!R108</f>
        <v>15397.699999999953</v>
      </c>
      <c r="AX106" s="28">
        <f>Economic!S108</f>
        <v>2198</v>
      </c>
      <c r="AY106" s="7">
        <f>Weather!D106</f>
        <v>17.433055555555555</v>
      </c>
      <c r="AZ106" s="7">
        <f>Weather!E106</f>
        <v>95.22083333333336</v>
      </c>
      <c r="BA106" s="7">
        <f>Weather!F106</f>
        <v>18.212499999999995</v>
      </c>
      <c r="BB106" s="7">
        <f>Weather!G106</f>
        <v>47.591666666666676</v>
      </c>
      <c r="BC106" s="7">
        <f>Weather!H106</f>
        <v>30.583333333333329</v>
      </c>
      <c r="BD106" s="7">
        <f>Weather!I106</f>
        <v>15.216666666666669</v>
      </c>
      <c r="BE106" s="7">
        <f>Weather!J106</f>
        <v>58.208333333333314</v>
      </c>
      <c r="BF106" s="7">
        <f>Weather!K106</f>
        <v>2.3583333333333378</v>
      </c>
      <c r="BG106" s="7">
        <f>Weather!L106</f>
        <v>105.35</v>
      </c>
      <c r="BH106" s="7">
        <f>Weather!M106</f>
        <v>0</v>
      </c>
      <c r="BI106" s="7">
        <f>Weather!N106</f>
        <v>162.99166666666662</v>
      </c>
      <c r="BJ106" s="7">
        <f>Weather!O106</f>
        <v>0</v>
      </c>
      <c r="BK106" s="7">
        <f>Weather!P106</f>
        <v>222.99166666666656</v>
      </c>
      <c r="BL106" s="7">
        <f>Weather!Q106</f>
        <v>0</v>
      </c>
      <c r="BM106" s="7">
        <f>Weather!R106</f>
        <v>282.99166666666656</v>
      </c>
      <c r="BN106" s="1">
        <f t="shared" si="35"/>
        <v>0</v>
      </c>
      <c r="BO106" s="1">
        <f t="shared" si="35"/>
        <v>0</v>
      </c>
      <c r="BP106" s="1">
        <f t="shared" si="35"/>
        <v>0</v>
      </c>
      <c r="BQ106" s="1">
        <f t="shared" si="35"/>
        <v>0</v>
      </c>
      <c r="BR106" s="1">
        <f t="shared" si="35"/>
        <v>0</v>
      </c>
      <c r="BS106" s="1">
        <f t="shared" si="35"/>
        <v>0</v>
      </c>
      <c r="BT106" s="1">
        <f t="shared" si="35"/>
        <v>0</v>
      </c>
      <c r="BU106" s="1">
        <f t="shared" si="35"/>
        <v>0</v>
      </c>
      <c r="BV106" s="1">
        <f t="shared" si="35"/>
        <v>1</v>
      </c>
      <c r="BW106" s="1">
        <f t="shared" si="35"/>
        <v>0</v>
      </c>
      <c r="BX106" s="1">
        <f t="shared" si="35"/>
        <v>0</v>
      </c>
      <c r="BY106" s="1">
        <f t="shared" si="35"/>
        <v>0</v>
      </c>
      <c r="BZ106" s="1">
        <f t="shared" si="35"/>
        <v>0</v>
      </c>
      <c r="CA106" s="1">
        <f t="shared" si="35"/>
        <v>1</v>
      </c>
      <c r="CB106" s="1">
        <f t="shared" si="35"/>
        <v>1</v>
      </c>
      <c r="CC106" s="1">
        <f t="shared" si="23"/>
        <v>105</v>
      </c>
      <c r="CD106" s="1">
        <f t="shared" si="17"/>
        <v>30</v>
      </c>
      <c r="CE106" s="1">
        <v>20</v>
      </c>
      <c r="CF106" s="1">
        <v>0</v>
      </c>
      <c r="CG106" s="1">
        <v>0</v>
      </c>
      <c r="CH106" s="1">
        <v>0.25</v>
      </c>
      <c r="CI106" s="1">
        <v>0</v>
      </c>
      <c r="CJ106" s="1">
        <f t="shared" si="30"/>
        <v>0</v>
      </c>
      <c r="CK106" s="1">
        <f t="shared" si="30"/>
        <v>0</v>
      </c>
      <c r="CL106" s="1">
        <f t="shared" si="30"/>
        <v>0</v>
      </c>
      <c r="CM106" s="1">
        <f t="shared" si="30"/>
        <v>0</v>
      </c>
      <c r="CN106" s="1">
        <f t="shared" si="30"/>
        <v>0</v>
      </c>
      <c r="CO106" s="1">
        <f t="shared" si="30"/>
        <v>0</v>
      </c>
      <c r="CP106" s="1">
        <f t="shared" si="28"/>
        <v>0</v>
      </c>
      <c r="CQ106" s="1">
        <f t="shared" si="28"/>
        <v>0</v>
      </c>
      <c r="CR106" s="1">
        <f t="shared" si="28"/>
        <v>0</v>
      </c>
      <c r="CS106" s="1">
        <f t="shared" si="28"/>
        <v>0</v>
      </c>
      <c r="CT106" s="1">
        <f t="shared" si="28"/>
        <v>0</v>
      </c>
      <c r="CU106" s="1">
        <f t="shared" si="36"/>
        <v>0</v>
      </c>
      <c r="CV106" s="1">
        <f t="shared" si="36"/>
        <v>0</v>
      </c>
      <c r="CW106" s="1">
        <f t="shared" si="36"/>
        <v>0</v>
      </c>
      <c r="CX106" s="1">
        <f t="shared" si="31"/>
        <v>23.80520833333334</v>
      </c>
      <c r="CY106" s="1">
        <f t="shared" si="31"/>
        <v>4.5531249999999988</v>
      </c>
      <c r="CZ106" s="1">
        <f t="shared" si="31"/>
        <v>11.897916666666669</v>
      </c>
      <c r="DA106" s="1">
        <f t="shared" si="31"/>
        <v>7.6458333333333321</v>
      </c>
      <c r="DB106" s="1">
        <f t="shared" si="31"/>
        <v>3.8041666666666671</v>
      </c>
      <c r="DC106" s="1">
        <f t="shared" si="31"/>
        <v>14.552083333333329</v>
      </c>
      <c r="DD106" s="1">
        <f t="shared" si="29"/>
        <v>0.58958333333333446</v>
      </c>
      <c r="DE106" s="1">
        <f t="shared" si="29"/>
        <v>26.337499999999999</v>
      </c>
      <c r="DF106" s="1">
        <f t="shared" si="29"/>
        <v>0</v>
      </c>
      <c r="DG106" s="1">
        <f t="shared" si="29"/>
        <v>40.747916666666654</v>
      </c>
      <c r="DH106" s="1">
        <f t="shared" si="29"/>
        <v>0</v>
      </c>
      <c r="DI106" s="1">
        <f t="shared" si="37"/>
        <v>55.74791666666664</v>
      </c>
      <c r="DJ106" s="1">
        <f t="shared" si="37"/>
        <v>0</v>
      </c>
      <c r="DK106" s="1">
        <f t="shared" si="37"/>
        <v>70.74791666666664</v>
      </c>
      <c r="DL106" s="25"/>
      <c r="DM106" s="25"/>
      <c r="DN106" s="24"/>
      <c r="DO106" s="25"/>
      <c r="DP106" s="25"/>
      <c r="DQ106" s="25"/>
      <c r="DR106" s="25"/>
      <c r="DS106" s="25"/>
      <c r="DT106" s="25"/>
      <c r="DU106" s="25"/>
      <c r="DV106" s="25"/>
    </row>
    <row r="107" spans="1:126" x14ac:dyDescent="0.25">
      <c r="A107" s="261">
        <v>45200</v>
      </c>
      <c r="B107" s="262">
        <f t="shared" si="18"/>
        <v>2023</v>
      </c>
      <c r="C107" s="262">
        <f t="shared" si="19"/>
        <v>10</v>
      </c>
      <c r="D107" s="263">
        <v>36697087.270370044</v>
      </c>
      <c r="E107" s="263">
        <f>IFERROR(VLOOKUP($B107-1,CDM!$L$7:$T$18,2,FALSE)/12,0)+IFERROR(VLOOKUP($B107,CDM!$L$36:$T$46,2,FALSE)/24,0)+IFERROR(VLOOKUP($B107,CDM!$L$36:$T$46,2,FALSE)/2*$C107/78,0)</f>
        <v>2524989.3914936031</v>
      </c>
      <c r="F107" s="263">
        <f t="shared" si="20"/>
        <v>39222076.661863647</v>
      </c>
      <c r="G107" s="264">
        <v>57322</v>
      </c>
      <c r="H107" s="263">
        <v>9823925.9173602089</v>
      </c>
      <c r="I107" s="263">
        <f>IFERROR(VLOOKUP($B107-1,CDM!$L$7:$T$18,3,FALSE)/12,0)+IFERROR(VLOOKUP($B107,CDM!$L$36:$T$46,3,FALSE)/24,0)+IFERROR(VLOOKUP($B107,CDM!$L$36:$T$46,3,FALSE)/2*$C107/78,0)</f>
        <v>766214.37739885692</v>
      </c>
      <c r="J107" s="263">
        <f t="shared" si="21"/>
        <v>10590140.294759065</v>
      </c>
      <c r="K107" s="265">
        <v>4441</v>
      </c>
      <c r="L107" s="4">
        <v>24358423.45844838</v>
      </c>
      <c r="M107" s="266">
        <f>IFERROR(VLOOKUP($B107-1,CDM!$L$7:$T$18,4,FALSE)/12,0)+IFERROR(VLOOKUP($B107,CDM!$L$36:$T$46,4,FALSE)/24,0)+IFERROR(VLOOKUP($B107,CDM!$L$36:$T$46,4,FALSE)/2*$C107/78,0)</f>
        <v>1080149.7133031883</v>
      </c>
      <c r="N107" s="263">
        <f t="shared" si="22"/>
        <v>25438573.17175157</v>
      </c>
      <c r="O107" s="4">
        <v>70078.37</v>
      </c>
      <c r="P107" s="265">
        <v>508</v>
      </c>
      <c r="Q107" s="265">
        <v>5712296.2692309907</v>
      </c>
      <c r="R107" s="265">
        <f>IFERROR(VLOOKUP($B107-1,CDM!$L$7:$T$18,5,FALSE)/12,0)+IFERROR(VLOOKUP($B107,CDM!$L$36:$T$46,5,FALSE)/24,0)+IFERROR(VLOOKUP($B107,CDM!$L$36:$T$46,5,FALSE)/2*$C107/78,0)</f>
        <v>1004721.978781556</v>
      </c>
      <c r="S107" s="265">
        <f t="shared" si="32"/>
        <v>6717018.2480125464</v>
      </c>
      <c r="T107" s="265">
        <v>13479.599999999999</v>
      </c>
      <c r="U107" s="265">
        <v>18</v>
      </c>
      <c r="V107" s="265">
        <v>2948633.5569325746</v>
      </c>
      <c r="W107" s="265">
        <f>IFERROR(VLOOKUP($B107-1,CDM!$L$7:$T$18,6,FALSE)/12,0)+IFERROR(VLOOKUP($B107,CDM!$L$36:$T$46,6,FALSE)/24,0)+IFERROR(VLOOKUP($B107,CDM!$L$36:$T$46,6,FALSE)/2*$C107/78,0)</f>
        <v>47831.861931092499</v>
      </c>
      <c r="X107" s="265">
        <f t="shared" si="33"/>
        <v>2996465.4188636672</v>
      </c>
      <c r="Y107" s="265">
        <v>8182.44</v>
      </c>
      <c r="Z107" s="265">
        <v>1</v>
      </c>
      <c r="AA107" s="4">
        <v>426672.76080104249</v>
      </c>
      <c r="AB107" s="4">
        <v>1067.3</v>
      </c>
      <c r="AC107" s="265">
        <v>14427</v>
      </c>
      <c r="AD107" s="265">
        <v>2212.1999999999998</v>
      </c>
      <c r="AE107" s="265">
        <v>0</v>
      </c>
      <c r="AF107" s="265">
        <v>19</v>
      </c>
      <c r="AG107" s="4">
        <v>234893</v>
      </c>
      <c r="AH107" s="4">
        <v>259</v>
      </c>
      <c r="AI107" s="28">
        <f>Economic!H109</f>
        <v>865859.6</v>
      </c>
      <c r="AJ107" s="28">
        <f>Economic!I109</f>
        <v>679067</v>
      </c>
      <c r="AK107" s="28">
        <f>Economic!J109</f>
        <v>74531.5</v>
      </c>
      <c r="AL107" s="28">
        <f>Economic!K109</f>
        <v>869576</v>
      </c>
      <c r="AM107" s="28">
        <f>Economic!L109</f>
        <v>686415</v>
      </c>
      <c r="AN107" s="28">
        <f>Economic!M109</f>
        <v>33497</v>
      </c>
      <c r="AO107" s="28">
        <f>Economic!D109</f>
        <v>7949.8</v>
      </c>
      <c r="AP107" s="28">
        <f>Economic!E109</f>
        <v>7947.2</v>
      </c>
      <c r="AQ107" s="28">
        <f>Economic!F109</f>
        <v>223.1</v>
      </c>
      <c r="AR107" s="28">
        <f>Economic!G109</f>
        <v>220.7</v>
      </c>
      <c r="AS107" s="28">
        <f>Economic!N109</f>
        <v>209.5</v>
      </c>
      <c r="AT107" s="28">
        <f>Economic!O109</f>
        <v>203.69999999999982</v>
      </c>
      <c r="AU107" s="28">
        <f>Economic!P109</f>
        <v>-3.0999999999999943</v>
      </c>
      <c r="AV107" s="28">
        <f>Economic!Q109</f>
        <v>-2.8000000000000114</v>
      </c>
      <c r="AW107" s="28">
        <f>Economic!R109</f>
        <v>15397.699999999953</v>
      </c>
      <c r="AX107" s="28">
        <f>Economic!S109</f>
        <v>1875</v>
      </c>
      <c r="AY107" s="7">
        <f>Weather!D107</f>
        <v>11.553225806451612</v>
      </c>
      <c r="AZ107" s="7">
        <f>Weather!E107</f>
        <v>261.85000000000002</v>
      </c>
      <c r="BA107" s="7">
        <f>Weather!F107</f>
        <v>0</v>
      </c>
      <c r="BB107" s="7">
        <f>Weather!G107</f>
        <v>207.15416666666667</v>
      </c>
      <c r="BC107" s="7">
        <f>Weather!H107</f>
        <v>7.3041666666666707</v>
      </c>
      <c r="BD107" s="7">
        <f>Weather!I107</f>
        <v>157.42916666666665</v>
      </c>
      <c r="BE107" s="7">
        <f>Weather!J107</f>
        <v>19.579166666666676</v>
      </c>
      <c r="BF107" s="7">
        <f>Weather!K107</f>
        <v>111.18333333333332</v>
      </c>
      <c r="BG107" s="7">
        <f>Weather!L107</f>
        <v>35.333333333333343</v>
      </c>
      <c r="BH107" s="7">
        <f>Weather!M107</f>
        <v>68.475000000000009</v>
      </c>
      <c r="BI107" s="7">
        <f>Weather!N107</f>
        <v>54.625</v>
      </c>
      <c r="BJ107" s="7">
        <f>Weather!O107</f>
        <v>37.779166666666669</v>
      </c>
      <c r="BK107" s="7">
        <f>Weather!P107</f>
        <v>85.929166666666674</v>
      </c>
      <c r="BL107" s="7">
        <f>Weather!Q107</f>
        <v>17.783333333333335</v>
      </c>
      <c r="BM107" s="7">
        <f>Weather!R107</f>
        <v>127.93333333333337</v>
      </c>
      <c r="BN107" s="1">
        <f t="shared" si="35"/>
        <v>0</v>
      </c>
      <c r="BO107" s="1">
        <f t="shared" si="35"/>
        <v>0</v>
      </c>
      <c r="BP107" s="1">
        <f t="shared" si="35"/>
        <v>0</v>
      </c>
      <c r="BQ107" s="1">
        <f t="shared" si="35"/>
        <v>0</v>
      </c>
      <c r="BR107" s="1">
        <f t="shared" si="35"/>
        <v>0</v>
      </c>
      <c r="BS107" s="1">
        <f t="shared" si="35"/>
        <v>0</v>
      </c>
      <c r="BT107" s="1">
        <f t="shared" si="35"/>
        <v>0</v>
      </c>
      <c r="BU107" s="1">
        <f t="shared" si="35"/>
        <v>0</v>
      </c>
      <c r="BV107" s="1">
        <f t="shared" si="35"/>
        <v>0</v>
      </c>
      <c r="BW107" s="1">
        <f t="shared" si="35"/>
        <v>1</v>
      </c>
      <c r="BX107" s="1">
        <f t="shared" si="35"/>
        <v>0</v>
      </c>
      <c r="BY107" s="1">
        <f t="shared" si="35"/>
        <v>0</v>
      </c>
      <c r="BZ107" s="1">
        <f t="shared" si="35"/>
        <v>0</v>
      </c>
      <c r="CA107" s="1">
        <f t="shared" si="35"/>
        <v>1</v>
      </c>
      <c r="CB107" s="1">
        <f t="shared" si="35"/>
        <v>1</v>
      </c>
      <c r="CC107" s="1">
        <f t="shared" si="23"/>
        <v>106</v>
      </c>
      <c r="CD107" s="1">
        <f t="shared" si="17"/>
        <v>31</v>
      </c>
      <c r="CE107" s="1">
        <v>21</v>
      </c>
      <c r="CF107" s="1">
        <v>0</v>
      </c>
      <c r="CG107" s="1">
        <v>0</v>
      </c>
      <c r="CH107" s="1">
        <v>0.25</v>
      </c>
      <c r="CI107" s="1">
        <v>0</v>
      </c>
      <c r="CJ107" s="1">
        <f t="shared" si="30"/>
        <v>0</v>
      </c>
      <c r="CK107" s="1">
        <f t="shared" si="30"/>
        <v>0</v>
      </c>
      <c r="CL107" s="1">
        <f t="shared" si="30"/>
        <v>0</v>
      </c>
      <c r="CM107" s="1">
        <f t="shared" si="30"/>
        <v>0</v>
      </c>
      <c r="CN107" s="1">
        <f t="shared" si="30"/>
        <v>0</v>
      </c>
      <c r="CO107" s="1">
        <f t="shared" si="30"/>
        <v>0</v>
      </c>
      <c r="CP107" s="1">
        <f t="shared" si="28"/>
        <v>0</v>
      </c>
      <c r="CQ107" s="1">
        <f t="shared" si="28"/>
        <v>0</v>
      </c>
      <c r="CR107" s="1">
        <f t="shared" si="28"/>
        <v>0</v>
      </c>
      <c r="CS107" s="1">
        <f t="shared" si="28"/>
        <v>0</v>
      </c>
      <c r="CT107" s="1">
        <f t="shared" si="28"/>
        <v>0</v>
      </c>
      <c r="CU107" s="1">
        <f t="shared" si="36"/>
        <v>0</v>
      </c>
      <c r="CV107" s="1">
        <f t="shared" si="36"/>
        <v>0</v>
      </c>
      <c r="CW107" s="1">
        <f t="shared" si="36"/>
        <v>0</v>
      </c>
      <c r="CX107" s="1">
        <f t="shared" si="31"/>
        <v>65.462500000000006</v>
      </c>
      <c r="CY107" s="1">
        <f t="shared" si="31"/>
        <v>0</v>
      </c>
      <c r="CZ107" s="1">
        <f t="shared" si="31"/>
        <v>51.788541666666667</v>
      </c>
      <c r="DA107" s="1">
        <f t="shared" si="31"/>
        <v>1.8260416666666677</v>
      </c>
      <c r="DB107" s="1">
        <f t="shared" si="31"/>
        <v>39.357291666666661</v>
      </c>
      <c r="DC107" s="1">
        <f t="shared" si="31"/>
        <v>4.8947916666666691</v>
      </c>
      <c r="DD107" s="1">
        <f t="shared" si="29"/>
        <v>27.795833333333331</v>
      </c>
      <c r="DE107" s="1">
        <f t="shared" si="29"/>
        <v>8.8333333333333357</v>
      </c>
      <c r="DF107" s="1">
        <f t="shared" si="29"/>
        <v>17.118750000000002</v>
      </c>
      <c r="DG107" s="1">
        <f t="shared" si="29"/>
        <v>13.65625</v>
      </c>
      <c r="DH107" s="1">
        <f t="shared" si="29"/>
        <v>9.4447916666666671</v>
      </c>
      <c r="DI107" s="1">
        <f t="shared" si="37"/>
        <v>21.482291666666669</v>
      </c>
      <c r="DJ107" s="1">
        <f t="shared" si="37"/>
        <v>4.4458333333333337</v>
      </c>
      <c r="DK107" s="1">
        <f t="shared" si="37"/>
        <v>31.983333333333341</v>
      </c>
      <c r="DL107" s="25"/>
      <c r="DM107" s="25"/>
      <c r="DN107" s="24"/>
      <c r="DO107" s="25"/>
      <c r="DP107" s="25"/>
      <c r="DQ107" s="25"/>
      <c r="DR107" s="25"/>
      <c r="DS107" s="25"/>
      <c r="DT107" s="25"/>
      <c r="DU107" s="25"/>
      <c r="DV107" s="25"/>
    </row>
    <row r="108" spans="1:126" x14ac:dyDescent="0.25">
      <c r="A108" s="261">
        <v>45231</v>
      </c>
      <c r="B108" s="262">
        <f t="shared" si="18"/>
        <v>2023</v>
      </c>
      <c r="C108" s="262">
        <f t="shared" si="19"/>
        <v>11</v>
      </c>
      <c r="D108" s="263">
        <v>39313957.896769263</v>
      </c>
      <c r="E108" s="263">
        <f>IFERROR(VLOOKUP($B108-1,CDM!$L$7:$T$18,2,FALSE)/12,0)+IFERROR(VLOOKUP($B108,CDM!$L$36:$T$46,2,FALSE)/24,0)+IFERROR(VLOOKUP($B108,CDM!$L$36:$T$46,2,FALSE)/2*$C108/78,0)</f>
        <v>2528943.26581833</v>
      </c>
      <c r="F108" s="263">
        <f t="shared" si="20"/>
        <v>41842901.162587591</v>
      </c>
      <c r="G108" s="264">
        <v>57313</v>
      </c>
      <c r="H108" s="263">
        <v>10357796.1952377</v>
      </c>
      <c r="I108" s="263">
        <f>IFERROR(VLOOKUP($B108-1,CDM!$L$7:$T$18,3,FALSE)/12,0)+IFERROR(VLOOKUP($B108,CDM!$L$36:$T$46,3,FALSE)/24,0)+IFERROR(VLOOKUP($B108,CDM!$L$36:$T$46,3,FALSE)/2*$C108/78,0)</f>
        <v>774096.99166212953</v>
      </c>
      <c r="J108" s="263">
        <f t="shared" si="21"/>
        <v>11131893.18689983</v>
      </c>
      <c r="K108" s="265">
        <v>4460</v>
      </c>
      <c r="L108" s="4">
        <v>26551618.715326767</v>
      </c>
      <c r="M108" s="266">
        <f>IFERROR(VLOOKUP($B108-1,CDM!$L$7:$T$18,4,FALSE)/12,0)+IFERROR(VLOOKUP($B108,CDM!$L$36:$T$46,4,FALSE)/24,0)+IFERROR(VLOOKUP($B108,CDM!$L$36:$T$46,4,FALSE)/2*$C108/78,0)</f>
        <v>1094485.131619053</v>
      </c>
      <c r="N108" s="263">
        <f t="shared" si="22"/>
        <v>27646103.846945822</v>
      </c>
      <c r="O108" s="4">
        <v>69659.73</v>
      </c>
      <c r="P108" s="265">
        <v>507</v>
      </c>
      <c r="Q108" s="265">
        <v>6528080.753760987</v>
      </c>
      <c r="R108" s="265">
        <f>IFERROR(VLOOKUP($B108-1,CDM!$L$7:$T$18,5,FALSE)/12,0)+IFERROR(VLOOKUP($B108,CDM!$L$36:$T$46,5,FALSE)/24,0)+IFERROR(VLOOKUP($B108,CDM!$L$36:$T$46,5,FALSE)/2*$C108/78,0)</f>
        <v>1011394.0397592928</v>
      </c>
      <c r="S108" s="265">
        <f t="shared" si="32"/>
        <v>7539474.7935202802</v>
      </c>
      <c r="T108" s="265">
        <v>15609.00288</v>
      </c>
      <c r="U108" s="265">
        <v>18</v>
      </c>
      <c r="V108" s="265">
        <v>3365865.081233291</v>
      </c>
      <c r="W108" s="265">
        <f>IFERROR(VLOOKUP($B108-1,CDM!$L$7:$T$18,6,FALSE)/12,0)+IFERROR(VLOOKUP($B108,CDM!$L$36:$T$46,6,FALSE)/24,0)+IFERROR(VLOOKUP($B108,CDM!$L$36:$T$46,6,FALSE)/2*$C108/78,0)</f>
        <v>48756.455856232016</v>
      </c>
      <c r="X108" s="265">
        <f t="shared" si="33"/>
        <v>3414621.5370895229</v>
      </c>
      <c r="Y108" s="265">
        <v>6194.16</v>
      </c>
      <c r="Z108" s="265">
        <v>1</v>
      </c>
      <c r="AA108" s="4">
        <v>452134.30558555777</v>
      </c>
      <c r="AB108" s="4">
        <v>1067.3</v>
      </c>
      <c r="AC108" s="265">
        <v>14427</v>
      </c>
      <c r="AD108" s="265">
        <v>2285.94</v>
      </c>
      <c r="AE108" s="265">
        <v>0</v>
      </c>
      <c r="AF108" s="265">
        <v>19</v>
      </c>
      <c r="AG108" s="4">
        <v>235484</v>
      </c>
      <c r="AH108" s="4">
        <v>259</v>
      </c>
      <c r="AI108" s="28">
        <f>Economic!H110</f>
        <v>865859.6</v>
      </c>
      <c r="AJ108" s="28">
        <f>Economic!I110</f>
        <v>679067</v>
      </c>
      <c r="AK108" s="28">
        <f>Economic!J110</f>
        <v>74531.5</v>
      </c>
      <c r="AL108" s="28">
        <f>Economic!K110</f>
        <v>869576</v>
      </c>
      <c r="AM108" s="28">
        <f>Economic!L110</f>
        <v>686415</v>
      </c>
      <c r="AN108" s="28">
        <f>Economic!M110</f>
        <v>33497</v>
      </c>
      <c r="AO108" s="28">
        <f>Economic!D110</f>
        <v>7953.4</v>
      </c>
      <c r="AP108" s="28">
        <f>Economic!E110</f>
        <v>7939.3</v>
      </c>
      <c r="AQ108" s="28">
        <f>Economic!F110</f>
        <v>224.9</v>
      </c>
      <c r="AR108" s="28">
        <f>Economic!G110</f>
        <v>223.1</v>
      </c>
      <c r="AS108" s="28">
        <f>Economic!N110</f>
        <v>206.19999999999982</v>
      </c>
      <c r="AT108" s="28">
        <f>Economic!O110</f>
        <v>200.40000000000055</v>
      </c>
      <c r="AU108" s="28">
        <f>Economic!P110</f>
        <v>-1</v>
      </c>
      <c r="AV108" s="28">
        <f>Economic!Q110</f>
        <v>-0.70000000000001705</v>
      </c>
      <c r="AW108" s="28">
        <f>Economic!R110</f>
        <v>15397.699999999953</v>
      </c>
      <c r="AX108" s="28">
        <f>Economic!S110</f>
        <v>1875</v>
      </c>
      <c r="AY108" s="7">
        <f>Weather!D108</f>
        <v>2.9802294685990343</v>
      </c>
      <c r="AZ108" s="7">
        <f>Weather!E108</f>
        <v>510.59311594202899</v>
      </c>
      <c r="BA108" s="7">
        <f>Weather!F108</f>
        <v>0</v>
      </c>
      <c r="BB108" s="7">
        <f>Weather!G108</f>
        <v>450.59311594202899</v>
      </c>
      <c r="BC108" s="7">
        <f>Weather!H108</f>
        <v>0</v>
      </c>
      <c r="BD108" s="7">
        <f>Weather!I108</f>
        <v>390.59311594202899</v>
      </c>
      <c r="BE108" s="7">
        <f>Weather!J108</f>
        <v>0</v>
      </c>
      <c r="BF108" s="7">
        <f>Weather!K108</f>
        <v>330.59311594202904</v>
      </c>
      <c r="BG108" s="7">
        <f>Weather!L108</f>
        <v>0</v>
      </c>
      <c r="BH108" s="7">
        <f>Weather!M108</f>
        <v>270.59311594202899</v>
      </c>
      <c r="BI108" s="7">
        <f>Weather!N108</f>
        <v>0</v>
      </c>
      <c r="BJ108" s="7">
        <f>Weather!O108</f>
        <v>210.95561594202897</v>
      </c>
      <c r="BK108" s="7">
        <f>Weather!P108</f>
        <v>0.36249999999999893</v>
      </c>
      <c r="BL108" s="7">
        <f>Weather!Q108</f>
        <v>153.42644927536227</v>
      </c>
      <c r="BM108" s="7">
        <f>Weather!R108</f>
        <v>2.8333333333333304</v>
      </c>
      <c r="BN108" s="1">
        <f t="shared" si="35"/>
        <v>0</v>
      </c>
      <c r="BO108" s="1">
        <f t="shared" si="35"/>
        <v>0</v>
      </c>
      <c r="BP108" s="1">
        <f t="shared" si="35"/>
        <v>0</v>
      </c>
      <c r="BQ108" s="1">
        <f t="shared" si="35"/>
        <v>0</v>
      </c>
      <c r="BR108" s="1">
        <f t="shared" si="35"/>
        <v>0</v>
      </c>
      <c r="BS108" s="1">
        <f t="shared" si="35"/>
        <v>0</v>
      </c>
      <c r="BT108" s="1">
        <f t="shared" si="35"/>
        <v>0</v>
      </c>
      <c r="BU108" s="1">
        <f t="shared" si="35"/>
        <v>0</v>
      </c>
      <c r="BV108" s="1">
        <f t="shared" si="35"/>
        <v>0</v>
      </c>
      <c r="BW108" s="1">
        <f t="shared" si="35"/>
        <v>0</v>
      </c>
      <c r="BX108" s="1">
        <f t="shared" si="35"/>
        <v>1</v>
      </c>
      <c r="BY108" s="1">
        <f t="shared" si="35"/>
        <v>0</v>
      </c>
      <c r="BZ108" s="1">
        <f t="shared" si="35"/>
        <v>0</v>
      </c>
      <c r="CA108" s="1">
        <f t="shared" si="35"/>
        <v>1</v>
      </c>
      <c r="CB108" s="1">
        <f t="shared" si="35"/>
        <v>1</v>
      </c>
      <c r="CC108" s="1">
        <f t="shared" si="23"/>
        <v>107</v>
      </c>
      <c r="CD108" s="1">
        <f t="shared" si="17"/>
        <v>30</v>
      </c>
      <c r="CE108" s="1">
        <v>22</v>
      </c>
      <c r="CF108" s="1">
        <v>0</v>
      </c>
      <c r="CG108" s="1">
        <v>0</v>
      </c>
      <c r="CH108" s="1">
        <v>0.25</v>
      </c>
      <c r="CI108" s="1">
        <v>0</v>
      </c>
      <c r="CJ108" s="1">
        <f t="shared" si="30"/>
        <v>0</v>
      </c>
      <c r="CK108" s="1">
        <f t="shared" si="30"/>
        <v>0</v>
      </c>
      <c r="CL108" s="1">
        <f t="shared" si="30"/>
        <v>0</v>
      </c>
      <c r="CM108" s="1">
        <f t="shared" ref="CM108:CO115" si="38">$CG108*BC108</f>
        <v>0</v>
      </c>
      <c r="CN108" s="1">
        <f t="shared" si="38"/>
        <v>0</v>
      </c>
      <c r="CO108" s="1">
        <f t="shared" si="38"/>
        <v>0</v>
      </c>
      <c r="CP108" s="1">
        <f t="shared" si="28"/>
        <v>0</v>
      </c>
      <c r="CQ108" s="1">
        <f t="shared" si="28"/>
        <v>0</v>
      </c>
      <c r="CR108" s="1">
        <f t="shared" si="28"/>
        <v>0</v>
      </c>
      <c r="CS108" s="1">
        <f t="shared" si="28"/>
        <v>0</v>
      </c>
      <c r="CT108" s="1">
        <f t="shared" si="28"/>
        <v>0</v>
      </c>
      <c r="CU108" s="1">
        <f t="shared" si="36"/>
        <v>0</v>
      </c>
      <c r="CV108" s="1">
        <f t="shared" si="36"/>
        <v>0</v>
      </c>
      <c r="CW108" s="1">
        <f t="shared" si="36"/>
        <v>0</v>
      </c>
      <c r="CX108" s="1">
        <f t="shared" si="31"/>
        <v>127.64827898550725</v>
      </c>
      <c r="CY108" s="1">
        <f t="shared" si="31"/>
        <v>0</v>
      </c>
      <c r="CZ108" s="1">
        <f t="shared" si="31"/>
        <v>112.64827898550725</v>
      </c>
      <c r="DA108" s="1">
        <f t="shared" ref="DA108:DC115" si="39">$CH108*BC108</f>
        <v>0</v>
      </c>
      <c r="DB108" s="1">
        <f t="shared" si="39"/>
        <v>97.648278985507247</v>
      </c>
      <c r="DC108" s="1">
        <f t="shared" si="39"/>
        <v>0</v>
      </c>
      <c r="DD108" s="1">
        <f t="shared" si="29"/>
        <v>82.648278985507261</v>
      </c>
      <c r="DE108" s="1">
        <f t="shared" si="29"/>
        <v>0</v>
      </c>
      <c r="DF108" s="1">
        <f t="shared" si="29"/>
        <v>67.648278985507247</v>
      </c>
      <c r="DG108" s="1">
        <f t="shared" si="29"/>
        <v>0</v>
      </c>
      <c r="DH108" s="1">
        <f t="shared" si="29"/>
        <v>52.738903985507243</v>
      </c>
      <c r="DI108" s="1">
        <f t="shared" si="37"/>
        <v>9.0624999999999734E-2</v>
      </c>
      <c r="DJ108" s="1">
        <f t="shared" si="37"/>
        <v>38.356612318840568</v>
      </c>
      <c r="DK108" s="1">
        <f t="shared" si="37"/>
        <v>0.70833333333333259</v>
      </c>
      <c r="DL108" s="25"/>
      <c r="DM108" s="25"/>
      <c r="DN108" s="24"/>
      <c r="DO108" s="25"/>
      <c r="DP108" s="25"/>
      <c r="DQ108" s="25"/>
      <c r="DR108" s="25"/>
      <c r="DS108" s="25"/>
      <c r="DT108" s="25"/>
      <c r="DU108" s="25"/>
      <c r="DV108" s="25"/>
    </row>
    <row r="109" spans="1:126" x14ac:dyDescent="0.25">
      <c r="A109" s="261">
        <v>45261</v>
      </c>
      <c r="B109" s="262">
        <f t="shared" si="18"/>
        <v>2023</v>
      </c>
      <c r="C109" s="262">
        <f t="shared" si="19"/>
        <v>12</v>
      </c>
      <c r="D109" s="263">
        <v>43861123.988152489</v>
      </c>
      <c r="E109" s="263">
        <f>IFERROR(VLOOKUP($B109-1,CDM!$L$7:$T$18,2,FALSE)/12,0)+IFERROR(VLOOKUP($B109,CDM!$L$36:$T$46,2,FALSE)/24,0)+IFERROR(VLOOKUP($B109,CDM!$L$36:$T$46,2,FALSE)/2*$C109/78,0)</f>
        <v>2532897.1401430569</v>
      </c>
      <c r="F109" s="263">
        <f t="shared" si="20"/>
        <v>46394021.128295548</v>
      </c>
      <c r="G109" s="264">
        <v>57315</v>
      </c>
      <c r="H109" s="263">
        <v>11427533.564707631</v>
      </c>
      <c r="I109" s="263">
        <f>IFERROR(VLOOKUP($B109-1,CDM!$L$7:$T$18,3,FALSE)/12,0)+IFERROR(VLOOKUP($B109,CDM!$L$36:$T$46,3,FALSE)/24,0)+IFERROR(VLOOKUP($B109,CDM!$L$36:$T$46,3,FALSE)/2*$C109/78,0)</f>
        <v>781979.60592540202</v>
      </c>
      <c r="J109" s="263">
        <f t="shared" si="21"/>
        <v>12209513.170633033</v>
      </c>
      <c r="K109" s="265">
        <v>4474</v>
      </c>
      <c r="L109" s="265">
        <v>27834535.080934487</v>
      </c>
      <c r="M109" s="266">
        <f>IFERROR(VLOOKUP($B109-1,CDM!$L$7:$T$18,4,FALSE)/12,0)+IFERROR(VLOOKUP($B109,CDM!$L$36:$T$46,4,FALSE)/24,0)+IFERROR(VLOOKUP($B109,CDM!$L$36:$T$46,4,FALSE)/2*$C109/78,0)</f>
        <v>1108820.5499349176</v>
      </c>
      <c r="N109" s="263">
        <f t="shared" si="22"/>
        <v>28943355.630869403</v>
      </c>
      <c r="O109" s="265">
        <v>51478.274067530278</v>
      </c>
      <c r="P109" s="265">
        <v>508</v>
      </c>
      <c r="Q109" s="265">
        <v>5852445.8653241377</v>
      </c>
      <c r="R109" s="265">
        <f>IFERROR(VLOOKUP($B109-1,CDM!$L$7:$T$18,5,FALSE)/12,0)+IFERROR(VLOOKUP($B109,CDM!$L$36:$T$46,5,FALSE)/24,0)+IFERROR(VLOOKUP($B109,CDM!$L$36:$T$46,5,FALSE)/2*$C109/78,0)</f>
        <v>1018066.1007370298</v>
      </c>
      <c r="S109" s="265">
        <f t="shared" si="32"/>
        <v>6870511.9660611674</v>
      </c>
      <c r="T109" s="265">
        <v>14015.099999999999</v>
      </c>
      <c r="U109" s="265">
        <v>18</v>
      </c>
      <c r="V109" s="265">
        <v>3262989.9218887375</v>
      </c>
      <c r="W109" s="265">
        <f>IFERROR(VLOOKUP($B109-1,CDM!$L$7:$T$18,6,FALSE)/12,0)+IFERROR(VLOOKUP($B109,CDM!$L$36:$T$46,6,FALSE)/24,0)+IFERROR(VLOOKUP($B109,CDM!$L$36:$T$46,6,FALSE)/2*$C109/78,0)</f>
        <v>49681.049781371534</v>
      </c>
      <c r="X109" s="265">
        <f t="shared" si="33"/>
        <v>3312670.9716701088</v>
      </c>
      <c r="Y109" s="265">
        <v>6819.12</v>
      </c>
      <c r="Z109" s="265">
        <v>1</v>
      </c>
      <c r="AA109" s="4">
        <v>490490.95686031942</v>
      </c>
      <c r="AB109" s="4">
        <v>1068</v>
      </c>
      <c r="AC109" s="265">
        <v>14445</v>
      </c>
      <c r="AD109" s="265">
        <v>2285.94</v>
      </c>
      <c r="AE109" s="265">
        <v>77</v>
      </c>
      <c r="AF109" s="265">
        <v>19</v>
      </c>
      <c r="AG109" s="4">
        <v>235443</v>
      </c>
      <c r="AH109" s="4">
        <v>259</v>
      </c>
      <c r="AI109" s="28">
        <f>Economic!H111</f>
        <v>865859.6</v>
      </c>
      <c r="AJ109" s="28">
        <f>Economic!I111</f>
        <v>679067</v>
      </c>
      <c r="AK109" s="28">
        <f>Economic!J111</f>
        <v>74531.5</v>
      </c>
      <c r="AL109" s="28">
        <f>Economic!K111</f>
        <v>869576</v>
      </c>
      <c r="AM109" s="28">
        <f>Economic!L111</f>
        <v>686415</v>
      </c>
      <c r="AN109" s="28">
        <f>Economic!M111</f>
        <v>33497</v>
      </c>
      <c r="AO109" s="28">
        <f>Economic!D111</f>
        <v>7938</v>
      </c>
      <c r="AP109" s="28">
        <f>Economic!E111</f>
        <v>7938.2</v>
      </c>
      <c r="AQ109" s="28">
        <f>Economic!F111</f>
        <v>226.3</v>
      </c>
      <c r="AR109" s="28">
        <f>Economic!G111</f>
        <v>226.3</v>
      </c>
      <c r="AS109" s="28">
        <f>Economic!N111</f>
        <v>161.89999999999964</v>
      </c>
      <c r="AT109" s="28">
        <f>Economic!O111</f>
        <v>161</v>
      </c>
      <c r="AU109" s="28">
        <f>Economic!P111</f>
        <v>-1.2999999999999829</v>
      </c>
      <c r="AV109" s="28">
        <f>Economic!Q111</f>
        <v>-0.79999999999998295</v>
      </c>
      <c r="AW109" s="28">
        <f>Economic!R111</f>
        <v>15397.699999999953</v>
      </c>
      <c r="AX109" s="28">
        <f>Economic!S111</f>
        <v>1875</v>
      </c>
      <c r="AY109" s="7">
        <f>Weather!D109</f>
        <v>2.2038978494623653</v>
      </c>
      <c r="AZ109" s="7">
        <f>Weather!E109</f>
        <v>551.67916666666667</v>
      </c>
      <c r="BA109" s="7">
        <f>Weather!F109</f>
        <v>0</v>
      </c>
      <c r="BB109" s="7">
        <f>Weather!G109</f>
        <v>489.67916666666667</v>
      </c>
      <c r="BC109" s="7">
        <f>Weather!H109</f>
        <v>0</v>
      </c>
      <c r="BD109" s="7">
        <f>Weather!I109</f>
        <v>427.67916666666667</v>
      </c>
      <c r="BE109" s="7">
        <f>Weather!J109</f>
        <v>0</v>
      </c>
      <c r="BF109" s="7">
        <f>Weather!K109</f>
        <v>365.67916666666667</v>
      </c>
      <c r="BG109" s="7">
        <f>Weather!L109</f>
        <v>0</v>
      </c>
      <c r="BH109" s="7">
        <f>Weather!M109</f>
        <v>303.67916666666667</v>
      </c>
      <c r="BI109" s="7">
        <f>Weather!N109</f>
        <v>0</v>
      </c>
      <c r="BJ109" s="7">
        <f>Weather!O109</f>
        <v>241.67916666666659</v>
      </c>
      <c r="BK109" s="7">
        <f>Weather!P109</f>
        <v>0</v>
      </c>
      <c r="BL109" s="7">
        <f>Weather!Q109</f>
        <v>180.36666666666662</v>
      </c>
      <c r="BM109" s="7">
        <f>Weather!R109</f>
        <v>0.68750000000000178</v>
      </c>
      <c r="BN109" s="1">
        <f t="shared" si="35"/>
        <v>0</v>
      </c>
      <c r="BO109" s="1">
        <f t="shared" si="35"/>
        <v>0</v>
      </c>
      <c r="BP109" s="1">
        <f t="shared" si="35"/>
        <v>0</v>
      </c>
      <c r="BQ109" s="1">
        <f t="shared" si="35"/>
        <v>0</v>
      </c>
      <c r="BR109" s="1">
        <f t="shared" si="35"/>
        <v>0</v>
      </c>
      <c r="BS109" s="1">
        <f t="shared" si="35"/>
        <v>0</v>
      </c>
      <c r="BT109" s="1">
        <f t="shared" si="35"/>
        <v>0</v>
      </c>
      <c r="BU109" s="1">
        <f t="shared" si="35"/>
        <v>0</v>
      </c>
      <c r="BV109" s="1">
        <f t="shared" si="35"/>
        <v>0</v>
      </c>
      <c r="BW109" s="1">
        <f t="shared" si="35"/>
        <v>0</v>
      </c>
      <c r="BX109" s="1">
        <f t="shared" si="35"/>
        <v>0</v>
      </c>
      <c r="BY109" s="1">
        <f t="shared" si="35"/>
        <v>1</v>
      </c>
      <c r="BZ109" s="1">
        <f t="shared" si="35"/>
        <v>0</v>
      </c>
      <c r="CA109" s="1">
        <f t="shared" si="35"/>
        <v>0</v>
      </c>
      <c r="CB109" s="1">
        <f t="shared" si="35"/>
        <v>0</v>
      </c>
      <c r="CC109" s="1">
        <f t="shared" si="23"/>
        <v>108</v>
      </c>
      <c r="CD109" s="1">
        <f t="shared" si="17"/>
        <v>31</v>
      </c>
      <c r="CE109" s="1">
        <v>19</v>
      </c>
      <c r="CF109" s="1">
        <v>0</v>
      </c>
      <c r="CG109" s="1">
        <v>0</v>
      </c>
      <c r="CH109" s="1">
        <v>0.25</v>
      </c>
      <c r="CI109" s="1">
        <v>0</v>
      </c>
      <c r="CJ109" s="1">
        <f t="shared" ref="CJ109:CL115" si="40">$CG109*AZ109</f>
        <v>0</v>
      </c>
      <c r="CK109" s="1">
        <f t="shared" si="40"/>
        <v>0</v>
      </c>
      <c r="CL109" s="1">
        <f t="shared" si="40"/>
        <v>0</v>
      </c>
      <c r="CM109" s="1">
        <f t="shared" si="38"/>
        <v>0</v>
      </c>
      <c r="CN109" s="1">
        <f t="shared" si="38"/>
        <v>0</v>
      </c>
      <c r="CO109" s="1">
        <f t="shared" si="38"/>
        <v>0</v>
      </c>
      <c r="CP109" s="1">
        <f t="shared" si="28"/>
        <v>0</v>
      </c>
      <c r="CQ109" s="1">
        <f t="shared" si="28"/>
        <v>0</v>
      </c>
      <c r="CR109" s="1">
        <f t="shared" si="28"/>
        <v>0</v>
      </c>
      <c r="CS109" s="1">
        <f t="shared" si="28"/>
        <v>0</v>
      </c>
      <c r="CT109" s="1">
        <f t="shared" si="28"/>
        <v>0</v>
      </c>
      <c r="CU109" s="1">
        <f t="shared" si="36"/>
        <v>0</v>
      </c>
      <c r="CV109" s="1">
        <f t="shared" si="36"/>
        <v>0</v>
      </c>
      <c r="CW109" s="1">
        <f t="shared" si="36"/>
        <v>0</v>
      </c>
      <c r="CX109" s="1">
        <f t="shared" ref="CX109:CZ115" si="41">$CH109*AZ109</f>
        <v>137.91979166666667</v>
      </c>
      <c r="CY109" s="1">
        <f t="shared" si="41"/>
        <v>0</v>
      </c>
      <c r="CZ109" s="1">
        <f t="shared" si="41"/>
        <v>122.41979166666667</v>
      </c>
      <c r="DA109" s="1">
        <f t="shared" si="39"/>
        <v>0</v>
      </c>
      <c r="DB109" s="1">
        <f t="shared" si="39"/>
        <v>106.91979166666667</v>
      </c>
      <c r="DC109" s="1">
        <f t="shared" si="39"/>
        <v>0</v>
      </c>
      <c r="DD109" s="1">
        <f t="shared" si="29"/>
        <v>91.419791666666669</v>
      </c>
      <c r="DE109" s="1">
        <f t="shared" si="29"/>
        <v>0</v>
      </c>
      <c r="DF109" s="1">
        <f t="shared" si="29"/>
        <v>75.919791666666669</v>
      </c>
      <c r="DG109" s="1">
        <f t="shared" si="29"/>
        <v>0</v>
      </c>
      <c r="DH109" s="1">
        <f t="shared" si="29"/>
        <v>60.419791666666647</v>
      </c>
      <c r="DI109" s="1">
        <f t="shared" si="37"/>
        <v>0</v>
      </c>
      <c r="DJ109" s="1">
        <f t="shared" si="37"/>
        <v>45.091666666666654</v>
      </c>
      <c r="DK109" s="1">
        <f t="shared" si="37"/>
        <v>0.17187500000000044</v>
      </c>
      <c r="DL109" s="25"/>
      <c r="DM109" s="25"/>
      <c r="DN109" s="24"/>
      <c r="DO109" s="25"/>
      <c r="DP109" s="25"/>
      <c r="DQ109" s="25"/>
      <c r="DR109" s="25"/>
      <c r="DS109" s="25"/>
      <c r="DT109" s="25"/>
      <c r="DU109" s="25"/>
      <c r="DV109" s="25"/>
    </row>
    <row r="110" spans="1:126" x14ac:dyDescent="0.25">
      <c r="A110" s="261">
        <v>45292</v>
      </c>
      <c r="B110" s="262">
        <f t="shared" si="18"/>
        <v>2024</v>
      </c>
      <c r="C110" s="262">
        <f t="shared" si="19"/>
        <v>1</v>
      </c>
      <c r="D110" s="263">
        <v>46882677.086757384</v>
      </c>
      <c r="E110" s="263">
        <f>IFERROR(VLOOKUP($B110-1,CDM!$L$7:$T$18,2,FALSE)/12,0)+IFERROR(VLOOKUP($B110,CDM!$L$36:$T$46,2,FALSE)/24,0)+IFERROR(VLOOKUP($B110,CDM!$L$36:$T$46,2,FALSE)/2*$C110/78,0)</f>
        <v>2580066.9619691707</v>
      </c>
      <c r="F110" s="263">
        <f t="shared" si="20"/>
        <v>49462744.048726559</v>
      </c>
      <c r="G110" s="264">
        <v>57575</v>
      </c>
      <c r="H110" s="263">
        <v>12214766</v>
      </c>
      <c r="I110" s="263">
        <f>IFERROR(VLOOKUP($B110-1,CDM!$L$7:$T$18,3,FALSE)/12,0)+IFERROR(VLOOKUP($B110,CDM!$L$36:$T$46,3,FALSE)/24,0)+IFERROR(VLOOKUP($B110,CDM!$L$36:$T$46,3,FALSE)/2*$C110/78,0)</f>
        <v>806442.27986997296</v>
      </c>
      <c r="J110" s="263">
        <f t="shared" si="21"/>
        <v>13021208.279869974</v>
      </c>
      <c r="K110" s="265">
        <v>4429</v>
      </c>
      <c r="L110" s="265">
        <v>31012600.805206936</v>
      </c>
      <c r="M110" s="266">
        <f>IFERROR(VLOOKUP($B110-1,CDM!$L$7:$T$18,4,FALSE)/12,0)+IFERROR(VLOOKUP($B110,CDM!$L$36:$T$46,4,FALSE)/24,0)+IFERROR(VLOOKUP($B110,CDM!$L$36:$T$46,4,FALSE)/2*$C110/78,0)</f>
        <v>1139706.0871199325</v>
      </c>
      <c r="N110" s="263">
        <f t="shared" si="22"/>
        <v>32152306.892326869</v>
      </c>
      <c r="O110" s="265">
        <v>53942.895932469728</v>
      </c>
      <c r="P110" s="265">
        <v>512</v>
      </c>
      <c r="Q110" s="265">
        <v>6520661</v>
      </c>
      <c r="R110" s="265">
        <f>IFERROR(VLOOKUP($B110-1,CDM!$L$7:$T$18,5,FALSE)/12,0)+IFERROR(VLOOKUP($B110,CDM!$L$36:$T$46,5,FALSE)/24,0)+IFERROR(VLOOKUP($B110,CDM!$L$36:$T$46,5,FALSE)/2*$C110/78,0)</f>
        <v>1069667.9312978224</v>
      </c>
      <c r="S110" s="265">
        <f t="shared" si="32"/>
        <v>7590328.9312978219</v>
      </c>
      <c r="T110" s="265">
        <v>14686.099999999999</v>
      </c>
      <c r="U110" s="265">
        <v>17</v>
      </c>
      <c r="V110" s="265">
        <v>3490907</v>
      </c>
      <c r="W110" s="265">
        <f>IFERROR(VLOOKUP($B110-1,CDM!$L$7:$T$18,6,FALSE)/12,0)+IFERROR(VLOOKUP($B110,CDM!$L$36:$T$46,6,FALSE)/24,0)+IFERROR(VLOOKUP($B110,CDM!$L$36:$T$46,6,FALSE)/2*$C110/78,0)</f>
        <v>53811.830319657165</v>
      </c>
      <c r="X110" s="265">
        <f t="shared" si="33"/>
        <v>3544718.830319657</v>
      </c>
      <c r="Y110" s="265">
        <v>7268.52</v>
      </c>
      <c r="Z110" s="265">
        <v>1</v>
      </c>
      <c r="AA110" s="4">
        <v>504495</v>
      </c>
      <c r="AB110" s="4">
        <v>1068</v>
      </c>
      <c r="AC110" s="265">
        <v>14445</v>
      </c>
      <c r="AD110" s="265">
        <v>2138.46</v>
      </c>
      <c r="AE110" s="265">
        <v>0</v>
      </c>
      <c r="AF110" s="265">
        <v>19</v>
      </c>
      <c r="AG110" s="4">
        <v>236139</v>
      </c>
      <c r="AH110" s="4">
        <v>259</v>
      </c>
      <c r="AI110" s="28">
        <f>Economic!H112</f>
        <v>878414.56419999991</v>
      </c>
      <c r="AJ110" s="28">
        <f>Economic!I112</f>
        <v>688913.47149999999</v>
      </c>
      <c r="AK110" s="28">
        <f>Economic!J112</f>
        <v>75612.206749999998</v>
      </c>
      <c r="AL110" s="28">
        <f>Economic!K112</f>
        <v>874402</v>
      </c>
      <c r="AM110" s="28">
        <f>Economic!L112</f>
        <v>691697</v>
      </c>
      <c r="AN110" s="28">
        <f>Economic!M112</f>
        <v>33806</v>
      </c>
      <c r="AO110" s="28">
        <f>Economic!D112</f>
        <v>7934.2</v>
      </c>
      <c r="AP110" s="28">
        <f>Economic!E112</f>
        <v>7904.9</v>
      </c>
      <c r="AQ110" s="28">
        <f>Economic!F112</f>
        <v>228.3</v>
      </c>
      <c r="AR110" s="28">
        <f>Economic!G112</f>
        <v>229.2</v>
      </c>
      <c r="AS110" s="28">
        <f>Economic!N112</f>
        <v>127.19999999999982</v>
      </c>
      <c r="AT110" s="28">
        <f>Economic!O112</f>
        <v>128.29999999999927</v>
      </c>
      <c r="AU110" s="28">
        <f>Economic!P112</f>
        <v>-0.59999999999999432</v>
      </c>
      <c r="AV110" s="28">
        <f>Economic!Q112</f>
        <v>0</v>
      </c>
      <c r="AW110" s="28">
        <f>Economic!R112</f>
        <v>12554.964199999929</v>
      </c>
      <c r="AX110" s="28">
        <f>Economic!S112</f>
        <v>4826</v>
      </c>
      <c r="AY110" s="7">
        <f>Weather!D110</f>
        <v>-2.5482526881720431</v>
      </c>
      <c r="AZ110" s="7">
        <f>Weather!E110</f>
        <v>698.99583333333328</v>
      </c>
      <c r="BA110" s="7">
        <f>Weather!F110</f>
        <v>0</v>
      </c>
      <c r="BB110" s="7">
        <f>Weather!G110</f>
        <v>636.99583333333339</v>
      </c>
      <c r="BC110" s="7">
        <f>Weather!H110</f>
        <v>0</v>
      </c>
      <c r="BD110" s="7">
        <f>Weather!I110</f>
        <v>574.99583333333339</v>
      </c>
      <c r="BE110" s="7">
        <f>Weather!J110</f>
        <v>0</v>
      </c>
      <c r="BF110" s="7">
        <f>Weather!K110</f>
        <v>512.99583333333328</v>
      </c>
      <c r="BG110" s="7">
        <f>Weather!L110</f>
        <v>0</v>
      </c>
      <c r="BH110" s="7">
        <f>Weather!M110</f>
        <v>450.99583333333322</v>
      </c>
      <c r="BI110" s="7">
        <f>Weather!N110</f>
        <v>0</v>
      </c>
      <c r="BJ110" s="7">
        <f>Weather!O110</f>
        <v>388.99583333333317</v>
      </c>
      <c r="BK110" s="7">
        <f>Weather!P110</f>
        <v>0</v>
      </c>
      <c r="BL110" s="7">
        <f>Weather!Q110</f>
        <v>326.99583333333317</v>
      </c>
      <c r="BM110" s="7">
        <f>Weather!R110</f>
        <v>0</v>
      </c>
      <c r="BN110" s="1">
        <f t="shared" si="35"/>
        <v>1</v>
      </c>
      <c r="BO110" s="1">
        <f t="shared" si="35"/>
        <v>0</v>
      </c>
      <c r="BP110" s="1">
        <f t="shared" si="35"/>
        <v>0</v>
      </c>
      <c r="BQ110" s="1">
        <f t="shared" si="35"/>
        <v>0</v>
      </c>
      <c r="BR110" s="1">
        <f t="shared" si="35"/>
        <v>0</v>
      </c>
      <c r="BS110" s="1">
        <f t="shared" si="35"/>
        <v>0</v>
      </c>
      <c r="BT110" s="1">
        <f t="shared" si="35"/>
        <v>0</v>
      </c>
      <c r="BU110" s="1">
        <f t="shared" si="35"/>
        <v>0</v>
      </c>
      <c r="BV110" s="1">
        <f t="shared" si="35"/>
        <v>0</v>
      </c>
      <c r="BW110" s="1">
        <f t="shared" si="35"/>
        <v>0</v>
      </c>
      <c r="BX110" s="1">
        <f t="shared" si="35"/>
        <v>0</v>
      </c>
      <c r="BY110" s="1">
        <f t="shared" si="35"/>
        <v>0</v>
      </c>
      <c r="BZ110" s="1">
        <f t="shared" si="35"/>
        <v>0</v>
      </c>
      <c r="CA110" s="1">
        <f t="shared" si="35"/>
        <v>0</v>
      </c>
      <c r="CB110" s="1">
        <f t="shared" si="35"/>
        <v>0</v>
      </c>
      <c r="CC110" s="1">
        <f t="shared" si="23"/>
        <v>109</v>
      </c>
      <c r="CD110" s="1">
        <f t="shared" si="17"/>
        <v>31</v>
      </c>
      <c r="CE110" s="1">
        <v>22</v>
      </c>
      <c r="CF110" s="1">
        <v>0</v>
      </c>
      <c r="CG110" s="1">
        <v>0</v>
      </c>
      <c r="CH110" s="1">
        <v>0.25</v>
      </c>
      <c r="CI110" s="1">
        <v>0</v>
      </c>
      <c r="CJ110" s="1">
        <f t="shared" si="40"/>
        <v>0</v>
      </c>
      <c r="CK110" s="1">
        <f t="shared" si="40"/>
        <v>0</v>
      </c>
      <c r="CL110" s="1">
        <f t="shared" si="40"/>
        <v>0</v>
      </c>
      <c r="CM110" s="1">
        <f t="shared" si="38"/>
        <v>0</v>
      </c>
      <c r="CN110" s="1">
        <f t="shared" si="38"/>
        <v>0</v>
      </c>
      <c r="CO110" s="1">
        <f t="shared" si="38"/>
        <v>0</v>
      </c>
      <c r="CP110" s="1">
        <f t="shared" si="28"/>
        <v>0</v>
      </c>
      <c r="CQ110" s="1">
        <f t="shared" si="28"/>
        <v>0</v>
      </c>
      <c r="CR110" s="1">
        <f t="shared" si="28"/>
        <v>0</v>
      </c>
      <c r="CS110" s="1">
        <f t="shared" si="28"/>
        <v>0</v>
      </c>
      <c r="CT110" s="1">
        <f t="shared" si="28"/>
        <v>0</v>
      </c>
      <c r="CU110" s="1">
        <f t="shared" si="36"/>
        <v>0</v>
      </c>
      <c r="CV110" s="1">
        <f t="shared" si="36"/>
        <v>0</v>
      </c>
      <c r="CW110" s="1">
        <f t="shared" si="36"/>
        <v>0</v>
      </c>
      <c r="CX110" s="1">
        <f t="shared" si="41"/>
        <v>174.74895833333332</v>
      </c>
      <c r="CY110" s="1">
        <f t="shared" si="41"/>
        <v>0</v>
      </c>
      <c r="CZ110" s="1">
        <f t="shared" si="41"/>
        <v>159.24895833333335</v>
      </c>
      <c r="DA110" s="1">
        <f t="shared" si="39"/>
        <v>0</v>
      </c>
      <c r="DB110" s="1">
        <f t="shared" si="39"/>
        <v>143.74895833333335</v>
      </c>
      <c r="DC110" s="1">
        <f t="shared" si="39"/>
        <v>0</v>
      </c>
      <c r="DD110" s="1">
        <f t="shared" si="29"/>
        <v>128.24895833333332</v>
      </c>
      <c r="DE110" s="1">
        <f t="shared" si="29"/>
        <v>0</v>
      </c>
      <c r="DF110" s="1">
        <f t="shared" si="29"/>
        <v>112.74895833333331</v>
      </c>
      <c r="DG110" s="1">
        <f t="shared" si="29"/>
        <v>0</v>
      </c>
      <c r="DH110" s="1">
        <f t="shared" si="29"/>
        <v>97.248958333333292</v>
      </c>
      <c r="DI110" s="1">
        <f t="shared" si="37"/>
        <v>0</v>
      </c>
      <c r="DJ110" s="1">
        <f t="shared" si="37"/>
        <v>81.748958333333292</v>
      </c>
      <c r="DK110" s="1">
        <f t="shared" si="37"/>
        <v>0</v>
      </c>
      <c r="DL110" s="25"/>
      <c r="DM110" s="25"/>
      <c r="DN110" s="24"/>
      <c r="DO110" s="25"/>
      <c r="DP110" s="25"/>
      <c r="DQ110" s="25"/>
      <c r="DR110" s="25"/>
      <c r="DS110" s="25"/>
      <c r="DT110" s="25"/>
      <c r="DU110" s="25"/>
      <c r="DV110" s="25"/>
    </row>
    <row r="111" spans="1:126" x14ac:dyDescent="0.25">
      <c r="A111" s="261">
        <v>45323</v>
      </c>
      <c r="B111" s="262">
        <f t="shared" si="18"/>
        <v>2024</v>
      </c>
      <c r="C111" s="262">
        <f t="shared" si="19"/>
        <v>2</v>
      </c>
      <c r="D111" s="263">
        <v>40634750</v>
      </c>
      <c r="E111" s="263">
        <f>IFERROR(VLOOKUP($B111-1,CDM!$L$7:$T$18,2,FALSE)/12,0)+IFERROR(VLOOKUP($B111,CDM!$L$36:$T$46,2,FALSE)/24,0)+IFERROR(VLOOKUP($B111,CDM!$L$36:$T$46,2,FALSE)/2*$C111/78,0)</f>
        <v>2589255.7793841185</v>
      </c>
      <c r="F111" s="263">
        <f t="shared" si="20"/>
        <v>43224005.779384121</v>
      </c>
      <c r="G111" s="264">
        <v>57563</v>
      </c>
      <c r="H111" s="263">
        <v>11003037</v>
      </c>
      <c r="I111" s="263">
        <f>IFERROR(VLOOKUP($B111-1,CDM!$L$7:$T$18,3,FALSE)/12,0)+IFERROR(VLOOKUP($B111,CDM!$L$36:$T$46,3,FALSE)/24,0)+IFERROR(VLOOKUP($B111,CDM!$L$36:$T$46,3,FALSE)/2*$C111/78,0)</f>
        <v>815484.55352231569</v>
      </c>
      <c r="J111" s="263">
        <f t="shared" si="21"/>
        <v>11818521.553522315</v>
      </c>
      <c r="K111" s="265">
        <v>4427</v>
      </c>
      <c r="L111" s="4">
        <v>26636251</v>
      </c>
      <c r="M111" s="266">
        <f>IFERROR(VLOOKUP($B111-1,CDM!$L$7:$T$18,4,FALSE)/12,0)+IFERROR(VLOOKUP($B111,CDM!$L$36:$T$46,4,FALSE)/24,0)+IFERROR(VLOOKUP($B111,CDM!$L$36:$T$46,4,FALSE)/2*$C111/78,0)</f>
        <v>1154336.7988429021</v>
      </c>
      <c r="N111" s="263">
        <f t="shared" si="22"/>
        <v>27790587.798842903</v>
      </c>
      <c r="O111" s="4">
        <v>72933.48000000001</v>
      </c>
      <c r="P111" s="265">
        <v>513</v>
      </c>
      <c r="Q111" s="265">
        <v>5730314</v>
      </c>
      <c r="R111" s="265">
        <f>IFERROR(VLOOKUP($B111-1,CDM!$L$7:$T$18,5,FALSE)/12,0)+IFERROR(VLOOKUP($B111,CDM!$L$36:$T$46,5,FALSE)/24,0)+IFERROR(VLOOKUP($B111,CDM!$L$36:$T$46,5,FALSE)/2*$C111/78,0)</f>
        <v>1081441.0200896016</v>
      </c>
      <c r="S111" s="265">
        <f t="shared" si="32"/>
        <v>6811755.0200896021</v>
      </c>
      <c r="T111" s="265">
        <v>13725.4</v>
      </c>
      <c r="U111" s="265">
        <v>17</v>
      </c>
      <c r="V111" s="265">
        <v>3323335</v>
      </c>
      <c r="W111" s="265">
        <f>IFERROR(VLOOKUP($B111-1,CDM!$L$7:$T$18,6,FALSE)/12,0)+IFERROR(VLOOKUP($B111,CDM!$L$36:$T$46,6,FALSE)/24,0)+IFERROR(VLOOKUP($B111,CDM!$L$36:$T$46,6,FALSE)/2*$C111/78,0)</f>
        <v>55040.636603197563</v>
      </c>
      <c r="X111" s="265">
        <f t="shared" si="33"/>
        <v>3378375.6366031975</v>
      </c>
      <c r="Y111" s="265">
        <v>6788.88</v>
      </c>
      <c r="Z111" s="265">
        <v>1</v>
      </c>
      <c r="AA111" s="4">
        <v>424633</v>
      </c>
      <c r="AB111" s="4">
        <v>1067.9000000000001</v>
      </c>
      <c r="AC111" s="265">
        <v>14444</v>
      </c>
      <c r="AD111" s="265">
        <v>2285.94</v>
      </c>
      <c r="AE111" s="265">
        <v>0</v>
      </c>
      <c r="AF111" s="265">
        <v>19</v>
      </c>
      <c r="AG111" s="4">
        <v>236624</v>
      </c>
      <c r="AH111" s="4">
        <v>259</v>
      </c>
      <c r="AI111" s="28">
        <f>Economic!H113</f>
        <v>878414.56419999991</v>
      </c>
      <c r="AJ111" s="28">
        <f>Economic!I113</f>
        <v>688913.47149999999</v>
      </c>
      <c r="AK111" s="28">
        <f>Economic!J113</f>
        <v>75612.206749999998</v>
      </c>
      <c r="AL111" s="28">
        <f>Economic!K113</f>
        <v>874402</v>
      </c>
      <c r="AM111" s="28">
        <f>Economic!L113</f>
        <v>691697</v>
      </c>
      <c r="AN111" s="28">
        <f>Economic!M113</f>
        <v>33806</v>
      </c>
      <c r="AO111" s="28">
        <f>Economic!D113</f>
        <v>7932</v>
      </c>
      <c r="AP111" s="28">
        <f>Economic!E113</f>
        <v>7874.1</v>
      </c>
      <c r="AQ111" s="28">
        <f>Economic!F113</f>
        <v>229.4</v>
      </c>
      <c r="AR111" s="28">
        <f>Economic!G113</f>
        <v>230.1</v>
      </c>
      <c r="AS111" s="28">
        <f>Economic!N113</f>
        <v>91.300000000000182</v>
      </c>
      <c r="AT111" s="28">
        <f>Economic!O113</f>
        <v>93.600000000000364</v>
      </c>
      <c r="AU111" s="28">
        <f>Economic!P113</f>
        <v>-9.9999999999994316E-2</v>
      </c>
      <c r="AV111" s="28">
        <f>Economic!Q113</f>
        <v>0.5</v>
      </c>
      <c r="AW111" s="28">
        <f>Economic!R113</f>
        <v>12554.964199999929</v>
      </c>
      <c r="AX111" s="28">
        <f>Economic!S113</f>
        <v>4826</v>
      </c>
      <c r="AY111" s="7">
        <f>Weather!D111</f>
        <v>-0.72298850574712648</v>
      </c>
      <c r="AZ111" s="7">
        <f>Weather!E111</f>
        <v>600.96666666666647</v>
      </c>
      <c r="BA111" s="7">
        <f>Weather!F111</f>
        <v>0</v>
      </c>
      <c r="BB111" s="7">
        <f>Weather!G111</f>
        <v>542.96666666666658</v>
      </c>
      <c r="BC111" s="7">
        <f>Weather!H111</f>
        <v>0</v>
      </c>
      <c r="BD111" s="7">
        <f>Weather!I111</f>
        <v>484.96666666666658</v>
      </c>
      <c r="BE111" s="7">
        <f>Weather!J111</f>
        <v>0</v>
      </c>
      <c r="BF111" s="7">
        <f>Weather!K111</f>
        <v>426.96666666666664</v>
      </c>
      <c r="BG111" s="7">
        <f>Weather!L111</f>
        <v>0</v>
      </c>
      <c r="BH111" s="7">
        <f>Weather!M111</f>
        <v>368.96666666666664</v>
      </c>
      <c r="BI111" s="7">
        <f>Weather!N111</f>
        <v>0</v>
      </c>
      <c r="BJ111" s="7">
        <f>Weather!O111</f>
        <v>310.9666666666667</v>
      </c>
      <c r="BK111" s="7">
        <f>Weather!P111</f>
        <v>0</v>
      </c>
      <c r="BL111" s="7">
        <f>Weather!Q111</f>
        <v>252.9666666666667</v>
      </c>
      <c r="BM111" s="7">
        <f>Weather!R111</f>
        <v>0</v>
      </c>
      <c r="BN111" s="1">
        <f t="shared" ref="BN111:CB115" si="42">BN99</f>
        <v>0</v>
      </c>
      <c r="BO111" s="1">
        <f t="shared" si="42"/>
        <v>1</v>
      </c>
      <c r="BP111" s="1">
        <f t="shared" si="42"/>
        <v>0</v>
      </c>
      <c r="BQ111" s="1">
        <f t="shared" si="42"/>
        <v>0</v>
      </c>
      <c r="BR111" s="1">
        <f t="shared" si="42"/>
        <v>0</v>
      </c>
      <c r="BS111" s="1">
        <f t="shared" si="42"/>
        <v>0</v>
      </c>
      <c r="BT111" s="1">
        <f t="shared" si="42"/>
        <v>0</v>
      </c>
      <c r="BU111" s="1">
        <f t="shared" si="42"/>
        <v>0</v>
      </c>
      <c r="BV111" s="1">
        <f t="shared" si="42"/>
        <v>0</v>
      </c>
      <c r="BW111" s="1">
        <f t="shared" si="42"/>
        <v>0</v>
      </c>
      <c r="BX111" s="1">
        <f t="shared" si="42"/>
        <v>0</v>
      </c>
      <c r="BY111" s="1">
        <f t="shared" si="42"/>
        <v>0</v>
      </c>
      <c r="BZ111" s="1">
        <f t="shared" si="42"/>
        <v>0</v>
      </c>
      <c r="CA111" s="1">
        <f t="shared" si="42"/>
        <v>0</v>
      </c>
      <c r="CB111" s="1">
        <f t="shared" si="42"/>
        <v>0</v>
      </c>
      <c r="CC111" s="1">
        <f t="shared" si="23"/>
        <v>110</v>
      </c>
      <c r="CD111" s="1">
        <f t="shared" si="17"/>
        <v>29</v>
      </c>
      <c r="CE111" s="1">
        <v>20</v>
      </c>
      <c r="CF111" s="1">
        <v>0</v>
      </c>
      <c r="CG111" s="1">
        <v>0</v>
      </c>
      <c r="CH111" s="1">
        <v>0.25</v>
      </c>
      <c r="CI111" s="1">
        <v>0</v>
      </c>
      <c r="CJ111" s="1">
        <f t="shared" si="40"/>
        <v>0</v>
      </c>
      <c r="CK111" s="1">
        <f t="shared" si="40"/>
        <v>0</v>
      </c>
      <c r="CL111" s="1">
        <f t="shared" si="40"/>
        <v>0</v>
      </c>
      <c r="CM111" s="1">
        <f t="shared" si="38"/>
        <v>0</v>
      </c>
      <c r="CN111" s="1">
        <f t="shared" si="38"/>
        <v>0</v>
      </c>
      <c r="CO111" s="1">
        <f t="shared" si="38"/>
        <v>0</v>
      </c>
      <c r="CP111" s="1">
        <f t="shared" si="28"/>
        <v>0</v>
      </c>
      <c r="CQ111" s="1">
        <f t="shared" si="28"/>
        <v>0</v>
      </c>
      <c r="CR111" s="1">
        <f t="shared" si="28"/>
        <v>0</v>
      </c>
      <c r="CS111" s="1">
        <f t="shared" si="28"/>
        <v>0</v>
      </c>
      <c r="CT111" s="1">
        <f t="shared" si="28"/>
        <v>0</v>
      </c>
      <c r="CU111" s="1">
        <f t="shared" si="36"/>
        <v>0</v>
      </c>
      <c r="CV111" s="1">
        <f t="shared" si="36"/>
        <v>0</v>
      </c>
      <c r="CW111" s="1">
        <f t="shared" si="36"/>
        <v>0</v>
      </c>
      <c r="CX111" s="1">
        <f t="shared" si="41"/>
        <v>150.24166666666662</v>
      </c>
      <c r="CY111" s="1">
        <f t="shared" si="41"/>
        <v>0</v>
      </c>
      <c r="CZ111" s="1">
        <f t="shared" si="41"/>
        <v>135.74166666666665</v>
      </c>
      <c r="DA111" s="1">
        <f t="shared" si="39"/>
        <v>0</v>
      </c>
      <c r="DB111" s="1">
        <f t="shared" si="39"/>
        <v>121.24166666666665</v>
      </c>
      <c r="DC111" s="1">
        <f t="shared" si="39"/>
        <v>0</v>
      </c>
      <c r="DD111" s="1">
        <f t="shared" si="29"/>
        <v>106.74166666666666</v>
      </c>
      <c r="DE111" s="1">
        <f t="shared" si="29"/>
        <v>0</v>
      </c>
      <c r="DF111" s="1">
        <f t="shared" si="29"/>
        <v>92.24166666666666</v>
      </c>
      <c r="DG111" s="1">
        <f t="shared" si="29"/>
        <v>0</v>
      </c>
      <c r="DH111" s="1">
        <f t="shared" si="29"/>
        <v>77.741666666666674</v>
      </c>
      <c r="DI111" s="1">
        <f t="shared" si="37"/>
        <v>0</v>
      </c>
      <c r="DJ111" s="1">
        <f t="shared" si="37"/>
        <v>63.241666666666674</v>
      </c>
      <c r="DK111" s="1">
        <f t="shared" si="37"/>
        <v>0</v>
      </c>
      <c r="DL111" s="25"/>
      <c r="DM111" s="25"/>
      <c r="DN111" s="24"/>
      <c r="DO111" s="25"/>
      <c r="DP111" s="25"/>
      <c r="DQ111" s="25"/>
      <c r="DR111" s="25"/>
      <c r="DS111" s="25"/>
      <c r="DT111" s="25"/>
      <c r="DU111" s="25"/>
      <c r="DV111" s="25"/>
    </row>
    <row r="112" spans="1:126" x14ac:dyDescent="0.25">
      <c r="A112" s="261">
        <v>45352</v>
      </c>
      <c r="B112" s="262">
        <f t="shared" si="18"/>
        <v>2024</v>
      </c>
      <c r="C112" s="262">
        <f t="shared" si="19"/>
        <v>3</v>
      </c>
      <c r="D112" s="263">
        <v>42378461.183889054</v>
      </c>
      <c r="E112" s="263">
        <f>IFERROR(VLOOKUP($B112-1,CDM!$L$7:$T$18,2,FALSE)/12,0)+IFERROR(VLOOKUP($B112,CDM!$L$36:$T$46,2,FALSE)/24,0)+IFERROR(VLOOKUP($B112,CDM!$L$36:$T$46,2,FALSE)/2*$C112/78,0)</f>
        <v>2598444.5967990668</v>
      </c>
      <c r="F112" s="263">
        <f t="shared" si="20"/>
        <v>44976905.780688122</v>
      </c>
      <c r="G112" s="264">
        <v>57679</v>
      </c>
      <c r="H112" s="263">
        <v>11034000</v>
      </c>
      <c r="I112" s="263">
        <f>IFERROR(VLOOKUP($B112-1,CDM!$L$7:$T$18,3,FALSE)/12,0)+IFERROR(VLOOKUP($B112,CDM!$L$36:$T$46,3,FALSE)/24,0)+IFERROR(VLOOKUP($B112,CDM!$L$36:$T$46,3,FALSE)/2*$C112/78,0)</f>
        <v>824526.82717465831</v>
      </c>
      <c r="J112" s="263">
        <f t="shared" si="21"/>
        <v>11858526.827174658</v>
      </c>
      <c r="K112" s="265">
        <v>4431</v>
      </c>
      <c r="L112" s="4">
        <v>26298333</v>
      </c>
      <c r="M112" s="266">
        <f>IFERROR(VLOOKUP($B112-1,CDM!$L$7:$T$18,4,FALSE)/12,0)+IFERROR(VLOOKUP($B112,CDM!$L$36:$T$46,4,FALSE)/24,0)+IFERROR(VLOOKUP($B112,CDM!$L$36:$T$46,4,FALSE)/2*$C112/78,0)</f>
        <v>1168967.5105658714</v>
      </c>
      <c r="N112" s="263">
        <f t="shared" si="22"/>
        <v>27467300.51056587</v>
      </c>
      <c r="O112" s="4">
        <v>69979.38</v>
      </c>
      <c r="P112" s="265">
        <v>513</v>
      </c>
      <c r="Q112" s="265">
        <v>6020959</v>
      </c>
      <c r="R112" s="265">
        <f>IFERROR(VLOOKUP($B112-1,CDM!$L$7:$T$18,5,FALSE)/12,0)+IFERROR(VLOOKUP($B112,CDM!$L$36:$T$46,5,FALSE)/24,0)+IFERROR(VLOOKUP($B112,CDM!$L$36:$T$46,5,FALSE)/2*$C112/78,0)</f>
        <v>1093214.1088813811</v>
      </c>
      <c r="S112" s="265">
        <f t="shared" si="32"/>
        <v>7114173.1088813813</v>
      </c>
      <c r="T112" s="265">
        <v>13483.900000000001</v>
      </c>
      <c r="U112" s="265">
        <v>17</v>
      </c>
      <c r="V112" s="265">
        <v>3467587</v>
      </c>
      <c r="W112" s="265">
        <f>IFERROR(VLOOKUP($B112-1,CDM!$L$7:$T$18,6,FALSE)/12,0)+IFERROR(VLOOKUP($B112,CDM!$L$36:$T$46,6,FALSE)/24,0)+IFERROR(VLOOKUP($B112,CDM!$L$36:$T$46,6,FALSE)/2*$C112/78,0)</f>
        <v>56269.442886737961</v>
      </c>
      <c r="X112" s="265">
        <f t="shared" si="33"/>
        <v>3523856.4428867381</v>
      </c>
      <c r="Y112" s="265">
        <v>6205.92</v>
      </c>
      <c r="Z112" s="265">
        <v>1</v>
      </c>
      <c r="AA112" s="4">
        <v>405980</v>
      </c>
      <c r="AB112" s="4">
        <v>1067.9000000000001</v>
      </c>
      <c r="AC112" s="265">
        <v>14444</v>
      </c>
      <c r="AD112" s="265">
        <v>2212.1999999999998</v>
      </c>
      <c r="AE112" s="265">
        <v>0</v>
      </c>
      <c r="AF112" s="265">
        <v>19</v>
      </c>
      <c r="AG112" s="4">
        <v>232655.40983606558</v>
      </c>
      <c r="AH112" s="4">
        <v>259</v>
      </c>
      <c r="AI112" s="28">
        <f>Economic!H114</f>
        <v>878414.56419999991</v>
      </c>
      <c r="AJ112" s="28">
        <f>Economic!I114</f>
        <v>688913.47149999999</v>
      </c>
      <c r="AK112" s="28">
        <f>Economic!J114</f>
        <v>75612.206749999998</v>
      </c>
      <c r="AL112" s="28">
        <f>Economic!K114</f>
        <v>874402</v>
      </c>
      <c r="AM112" s="28">
        <f>Economic!L114</f>
        <v>691697</v>
      </c>
      <c r="AN112" s="28">
        <f>Economic!M114</f>
        <v>33806</v>
      </c>
      <c r="AO112" s="28">
        <f>Economic!D114</f>
        <v>7950.9</v>
      </c>
      <c r="AP112" s="28">
        <f>Economic!E114</f>
        <v>7870.9</v>
      </c>
      <c r="AQ112" s="28">
        <f>Economic!F114</f>
        <v>230.9</v>
      </c>
      <c r="AR112" s="28">
        <f>Economic!G114</f>
        <v>230.3</v>
      </c>
      <c r="AS112" s="28">
        <f>Economic!N114</f>
        <v>84.299999999999272</v>
      </c>
      <c r="AT112" s="28">
        <f>Economic!O114</f>
        <v>89.599999999999454</v>
      </c>
      <c r="AU112" s="28">
        <f>Economic!P114</f>
        <v>4.2000000000000171</v>
      </c>
      <c r="AV112" s="28">
        <f>Economic!Q114</f>
        <v>4.5</v>
      </c>
      <c r="AW112" s="28">
        <f>Economic!R114</f>
        <v>12554.964199999929</v>
      </c>
      <c r="AX112" s="28">
        <f>Economic!S114</f>
        <v>4826</v>
      </c>
      <c r="AY112" s="7">
        <f>Weather!D112</f>
        <v>3.1576612903225802</v>
      </c>
      <c r="AZ112" s="7">
        <f>Weather!E112</f>
        <v>522.11249999999995</v>
      </c>
      <c r="BA112" s="7">
        <f>Weather!F112</f>
        <v>0</v>
      </c>
      <c r="BB112" s="7">
        <f>Weather!G112</f>
        <v>460.11250000000001</v>
      </c>
      <c r="BC112" s="7">
        <f>Weather!H112</f>
        <v>0</v>
      </c>
      <c r="BD112" s="7">
        <f>Weather!I112</f>
        <v>398.11250000000001</v>
      </c>
      <c r="BE112" s="7">
        <f>Weather!J112</f>
        <v>0</v>
      </c>
      <c r="BF112" s="7">
        <f>Weather!K112</f>
        <v>336.11249999999995</v>
      </c>
      <c r="BG112" s="7">
        <f>Weather!L112</f>
        <v>0</v>
      </c>
      <c r="BH112" s="7">
        <f>Weather!M112</f>
        <v>274.11250000000001</v>
      </c>
      <c r="BI112" s="7">
        <f>Weather!N112</f>
        <v>0</v>
      </c>
      <c r="BJ112" s="7">
        <f>Weather!O112</f>
        <v>212.11250000000004</v>
      </c>
      <c r="BK112" s="7">
        <f>Weather!P112</f>
        <v>0</v>
      </c>
      <c r="BL112" s="7">
        <f>Weather!Q112</f>
        <v>154.69166666666669</v>
      </c>
      <c r="BM112" s="7">
        <f>Weather!R112</f>
        <v>4.5791666666666657</v>
      </c>
      <c r="BN112" s="1">
        <f t="shared" si="42"/>
        <v>0</v>
      </c>
      <c r="BO112" s="1">
        <f t="shared" si="42"/>
        <v>0</v>
      </c>
      <c r="BP112" s="1">
        <f t="shared" si="42"/>
        <v>1</v>
      </c>
      <c r="BQ112" s="1">
        <f t="shared" si="42"/>
        <v>0</v>
      </c>
      <c r="BR112" s="1">
        <f t="shared" si="42"/>
        <v>0</v>
      </c>
      <c r="BS112" s="1">
        <f t="shared" si="42"/>
        <v>0</v>
      </c>
      <c r="BT112" s="1">
        <f t="shared" si="42"/>
        <v>0</v>
      </c>
      <c r="BU112" s="1">
        <f t="shared" si="42"/>
        <v>0</v>
      </c>
      <c r="BV112" s="1">
        <f t="shared" si="42"/>
        <v>0</v>
      </c>
      <c r="BW112" s="1">
        <f t="shared" si="42"/>
        <v>0</v>
      </c>
      <c r="BX112" s="1">
        <f t="shared" si="42"/>
        <v>0</v>
      </c>
      <c r="BY112" s="1">
        <f t="shared" si="42"/>
        <v>0</v>
      </c>
      <c r="BZ112" s="1">
        <f t="shared" si="42"/>
        <v>1</v>
      </c>
      <c r="CA112" s="1">
        <f t="shared" si="42"/>
        <v>0</v>
      </c>
      <c r="CB112" s="1">
        <f t="shared" si="42"/>
        <v>1</v>
      </c>
      <c r="CC112" s="1">
        <f t="shared" si="23"/>
        <v>111</v>
      </c>
      <c r="CD112" s="1">
        <f t="shared" si="17"/>
        <v>31</v>
      </c>
      <c r="CE112" s="1">
        <v>20</v>
      </c>
      <c r="CF112" s="1">
        <v>0</v>
      </c>
      <c r="CG112" s="1">
        <v>0</v>
      </c>
      <c r="CH112" s="1">
        <v>0.25</v>
      </c>
      <c r="CI112" s="1">
        <v>0</v>
      </c>
      <c r="CJ112" s="1">
        <f t="shared" si="40"/>
        <v>0</v>
      </c>
      <c r="CK112" s="1">
        <f t="shared" si="40"/>
        <v>0</v>
      </c>
      <c r="CL112" s="1">
        <f t="shared" si="40"/>
        <v>0</v>
      </c>
      <c r="CM112" s="1">
        <f t="shared" si="38"/>
        <v>0</v>
      </c>
      <c r="CN112" s="1">
        <f t="shared" si="38"/>
        <v>0</v>
      </c>
      <c r="CO112" s="1">
        <f t="shared" si="38"/>
        <v>0</v>
      </c>
      <c r="CP112" s="1">
        <f t="shared" si="28"/>
        <v>0</v>
      </c>
      <c r="CQ112" s="1">
        <f t="shared" si="28"/>
        <v>0</v>
      </c>
      <c r="CR112" s="1">
        <f t="shared" si="28"/>
        <v>0</v>
      </c>
      <c r="CS112" s="1">
        <f t="shared" si="28"/>
        <v>0</v>
      </c>
      <c r="CT112" s="1">
        <f t="shared" si="28"/>
        <v>0</v>
      </c>
      <c r="CU112" s="1">
        <f t="shared" si="36"/>
        <v>0</v>
      </c>
      <c r="CV112" s="1">
        <f t="shared" si="36"/>
        <v>0</v>
      </c>
      <c r="CW112" s="1">
        <f t="shared" si="36"/>
        <v>0</v>
      </c>
      <c r="CX112" s="1">
        <f t="shared" si="41"/>
        <v>130.52812499999999</v>
      </c>
      <c r="CY112" s="1">
        <f t="shared" si="41"/>
        <v>0</v>
      </c>
      <c r="CZ112" s="1">
        <f t="shared" si="41"/>
        <v>115.028125</v>
      </c>
      <c r="DA112" s="1">
        <f t="shared" si="39"/>
        <v>0</v>
      </c>
      <c r="DB112" s="1">
        <f t="shared" si="39"/>
        <v>99.528125000000003</v>
      </c>
      <c r="DC112" s="1">
        <f t="shared" si="39"/>
        <v>0</v>
      </c>
      <c r="DD112" s="1">
        <f t="shared" si="29"/>
        <v>84.028124999999989</v>
      </c>
      <c r="DE112" s="1">
        <f t="shared" si="29"/>
        <v>0</v>
      </c>
      <c r="DF112" s="1">
        <f t="shared" si="29"/>
        <v>68.528125000000003</v>
      </c>
      <c r="DG112" s="1">
        <f t="shared" si="29"/>
        <v>0</v>
      </c>
      <c r="DH112" s="1">
        <f t="shared" si="29"/>
        <v>53.02812500000001</v>
      </c>
      <c r="DI112" s="1">
        <f t="shared" si="37"/>
        <v>0</v>
      </c>
      <c r="DJ112" s="1">
        <f t="shared" si="37"/>
        <v>38.672916666666673</v>
      </c>
      <c r="DK112" s="1">
        <f t="shared" si="37"/>
        <v>1.1447916666666664</v>
      </c>
      <c r="DL112" s="25"/>
      <c r="DM112" s="25"/>
      <c r="DN112" s="24"/>
      <c r="DO112" s="25"/>
      <c r="DP112" s="25"/>
      <c r="DQ112" s="25"/>
      <c r="DR112" s="25"/>
      <c r="DS112" s="25"/>
      <c r="DT112" s="25"/>
      <c r="DU112" s="25"/>
      <c r="DV112" s="25"/>
    </row>
    <row r="113" spans="1:126" x14ac:dyDescent="0.25">
      <c r="A113" s="261">
        <v>45383</v>
      </c>
      <c r="B113" s="262">
        <f t="shared" si="18"/>
        <v>2024</v>
      </c>
      <c r="C113" s="262">
        <f t="shared" si="19"/>
        <v>4</v>
      </c>
      <c r="D113" s="263">
        <v>38373811.823493823</v>
      </c>
      <c r="E113" s="263">
        <f>IFERROR(VLOOKUP($B113-1,CDM!$L$7:$T$18,2,FALSE)/12,0)+IFERROR(VLOOKUP($B113,CDM!$L$36:$T$46,2,FALSE)/24,0)+IFERROR(VLOOKUP($B113,CDM!$L$36:$T$46,2,FALSE)/2*$C113/78,0)</f>
        <v>2607633.4142140145</v>
      </c>
      <c r="F113" s="263">
        <f t="shared" si="20"/>
        <v>40981445.237707838</v>
      </c>
      <c r="G113" s="264">
        <v>57801</v>
      </c>
      <c r="H113" s="263">
        <v>9991317</v>
      </c>
      <c r="I113" s="263">
        <f>IFERROR(VLOOKUP($B113-1,CDM!$L$7:$T$18,3,FALSE)/12,0)+IFERROR(VLOOKUP($B113,CDM!$L$36:$T$46,3,FALSE)/24,0)+IFERROR(VLOOKUP($B113,CDM!$L$36:$T$46,3,FALSE)/2*$C113/78,0)</f>
        <v>833569.10082700104</v>
      </c>
      <c r="J113" s="263">
        <f t="shared" si="21"/>
        <v>10824886.100827001</v>
      </c>
      <c r="K113" s="265">
        <v>4433</v>
      </c>
      <c r="L113" s="265">
        <v>22275069.514454421</v>
      </c>
      <c r="M113" s="266">
        <f>IFERROR(VLOOKUP($B113-1,CDM!$L$7:$T$18,4,FALSE)/12,0)+IFERROR(VLOOKUP($B113,CDM!$L$36:$T$46,4,FALSE)/24,0)+IFERROR(VLOOKUP($B113,CDM!$L$36:$T$46,4,FALSE)/2*$C113/78,0)</f>
        <v>1183598.2222888407</v>
      </c>
      <c r="N113" s="263">
        <f t="shared" si="22"/>
        <v>23458667.73674326</v>
      </c>
      <c r="O113" s="265">
        <v>48346.564418025046</v>
      </c>
      <c r="P113" s="265">
        <v>514</v>
      </c>
      <c r="Q113" s="265">
        <v>6368764</v>
      </c>
      <c r="R113" s="265">
        <f>IFERROR(VLOOKUP($B113-1,CDM!$L$7:$T$18,5,FALSE)/12,0)+IFERROR(VLOOKUP($B113,CDM!$L$36:$T$46,5,FALSE)/24,0)+IFERROR(VLOOKUP($B113,CDM!$L$36:$T$46,5,FALSE)/2*$C113/78,0)</f>
        <v>1104987.1976731606</v>
      </c>
      <c r="S113" s="265">
        <f t="shared" si="32"/>
        <v>7473751.1976731606</v>
      </c>
      <c r="T113" s="265">
        <v>14420.2</v>
      </c>
      <c r="U113" s="265">
        <v>17</v>
      </c>
      <c r="V113" s="265">
        <v>3191123</v>
      </c>
      <c r="W113" s="265">
        <f>IFERROR(VLOOKUP($B113-1,CDM!$L$7:$T$18,6,FALSE)/12,0)+IFERROR(VLOOKUP($B113,CDM!$L$36:$T$46,6,FALSE)/24,0)+IFERROR(VLOOKUP($B113,CDM!$L$36:$T$46,6,FALSE)/2*$C113/78,0)</f>
        <v>57498.249170278359</v>
      </c>
      <c r="X113" s="265">
        <f t="shared" si="33"/>
        <v>3248621.2491702782</v>
      </c>
      <c r="Y113" s="265">
        <v>6704.88</v>
      </c>
      <c r="Z113" s="265">
        <v>1</v>
      </c>
      <c r="AA113" s="4">
        <v>338609.33210611285</v>
      </c>
      <c r="AB113" s="4">
        <v>1068</v>
      </c>
      <c r="AC113" s="265">
        <v>14444</v>
      </c>
      <c r="AD113" s="265">
        <v>2285.94</v>
      </c>
      <c r="AE113" s="265">
        <v>0</v>
      </c>
      <c r="AF113" s="265">
        <v>19</v>
      </c>
      <c r="AG113" s="4">
        <v>240410.59016393442</v>
      </c>
      <c r="AH113" s="4">
        <v>259</v>
      </c>
      <c r="AI113" s="28">
        <f>Economic!H115</f>
        <v>878414.56419999991</v>
      </c>
      <c r="AJ113" s="28">
        <f>Economic!I115</f>
        <v>688913.47149999999</v>
      </c>
      <c r="AK113" s="28">
        <f>Economic!J115</f>
        <v>75612.206749999998</v>
      </c>
      <c r="AL113" s="28">
        <f>Economic!K115</f>
        <v>877135</v>
      </c>
      <c r="AM113" s="28">
        <f>Economic!L115</f>
        <v>695499</v>
      </c>
      <c r="AN113" s="28">
        <f>Economic!M115</f>
        <v>34058</v>
      </c>
      <c r="AO113" s="28">
        <f>Economic!D115</f>
        <v>7970.1</v>
      </c>
      <c r="AP113" s="28">
        <f>Economic!E115</f>
        <v>7915</v>
      </c>
      <c r="AQ113" s="28">
        <f>Economic!F115</f>
        <v>233.1</v>
      </c>
      <c r="AR113" s="28">
        <f>Economic!G115</f>
        <v>232.6</v>
      </c>
      <c r="AS113" s="28">
        <f>Economic!N115</f>
        <v>85.800000000000182</v>
      </c>
      <c r="AT113" s="28">
        <f>Economic!O115</f>
        <v>95.399999999999636</v>
      </c>
      <c r="AU113" s="28">
        <f>Economic!P115</f>
        <v>9.1999999999999886</v>
      </c>
      <c r="AV113" s="28">
        <f>Economic!Q115</f>
        <v>8.6999999999999886</v>
      </c>
      <c r="AW113" s="28">
        <f>Economic!R115</f>
        <v>12554.964199999929</v>
      </c>
      <c r="AX113" s="28">
        <f>Economic!S115</f>
        <v>2733</v>
      </c>
      <c r="AY113" s="7">
        <f>Weather!D113</f>
        <v>7.7234027777777765</v>
      </c>
      <c r="AZ113" s="7">
        <f>Weather!E113</f>
        <v>368.29791666666671</v>
      </c>
      <c r="BA113" s="7">
        <f>Weather!F113</f>
        <v>0</v>
      </c>
      <c r="BB113" s="7">
        <f>Weather!G113</f>
        <v>308.29791666666665</v>
      </c>
      <c r="BC113" s="7">
        <f>Weather!H113</f>
        <v>0</v>
      </c>
      <c r="BD113" s="7">
        <f>Weather!I113</f>
        <v>248.29791666666665</v>
      </c>
      <c r="BE113" s="7">
        <f>Weather!J113</f>
        <v>0</v>
      </c>
      <c r="BF113" s="7">
        <f>Weather!K113</f>
        <v>188.29791666666671</v>
      </c>
      <c r="BG113" s="7">
        <f>Weather!L113</f>
        <v>0</v>
      </c>
      <c r="BH113" s="7">
        <f>Weather!M113</f>
        <v>130.68125000000001</v>
      </c>
      <c r="BI113" s="7">
        <f>Weather!N113</f>
        <v>2.3833333333333346</v>
      </c>
      <c r="BJ113" s="7">
        <f>Weather!O113</f>
        <v>78.922916666666652</v>
      </c>
      <c r="BK113" s="7">
        <f>Weather!P113</f>
        <v>10.625</v>
      </c>
      <c r="BL113" s="7">
        <f>Weather!Q113</f>
        <v>41.093749999999993</v>
      </c>
      <c r="BM113" s="7">
        <f>Weather!R113</f>
        <v>32.795833333333334</v>
      </c>
      <c r="BN113" s="1">
        <f t="shared" si="42"/>
        <v>0</v>
      </c>
      <c r="BO113" s="1">
        <f t="shared" si="42"/>
        <v>0</v>
      </c>
      <c r="BP113" s="1">
        <f t="shared" si="42"/>
        <v>0</v>
      </c>
      <c r="BQ113" s="1">
        <f t="shared" si="42"/>
        <v>1</v>
      </c>
      <c r="BR113" s="1">
        <f t="shared" si="42"/>
        <v>0</v>
      </c>
      <c r="BS113" s="1">
        <f t="shared" si="42"/>
        <v>0</v>
      </c>
      <c r="BT113" s="1">
        <f t="shared" si="42"/>
        <v>0</v>
      </c>
      <c r="BU113" s="1">
        <f t="shared" si="42"/>
        <v>0</v>
      </c>
      <c r="BV113" s="1">
        <f t="shared" si="42"/>
        <v>0</v>
      </c>
      <c r="BW113" s="1">
        <f t="shared" si="42"/>
        <v>0</v>
      </c>
      <c r="BX113" s="1">
        <f t="shared" si="42"/>
        <v>0</v>
      </c>
      <c r="BY113" s="1">
        <f t="shared" si="42"/>
        <v>0</v>
      </c>
      <c r="BZ113" s="1">
        <f t="shared" si="42"/>
        <v>1</v>
      </c>
      <c r="CA113" s="1">
        <f t="shared" si="42"/>
        <v>0</v>
      </c>
      <c r="CB113" s="1">
        <f t="shared" si="42"/>
        <v>1</v>
      </c>
      <c r="CC113" s="1">
        <f t="shared" si="23"/>
        <v>112</v>
      </c>
      <c r="CD113" s="1">
        <f t="shared" si="17"/>
        <v>30</v>
      </c>
      <c r="CE113" s="1">
        <v>22</v>
      </c>
      <c r="CF113" s="1">
        <v>0</v>
      </c>
      <c r="CG113" s="1">
        <v>0</v>
      </c>
      <c r="CH113" s="1">
        <v>0.25</v>
      </c>
      <c r="CI113" s="1">
        <v>0</v>
      </c>
      <c r="CJ113" s="1">
        <f t="shared" si="40"/>
        <v>0</v>
      </c>
      <c r="CK113" s="1">
        <f t="shared" si="40"/>
        <v>0</v>
      </c>
      <c r="CL113" s="1">
        <f t="shared" si="40"/>
        <v>0</v>
      </c>
      <c r="CM113" s="1">
        <f t="shared" si="38"/>
        <v>0</v>
      </c>
      <c r="CN113" s="1">
        <f t="shared" si="38"/>
        <v>0</v>
      </c>
      <c r="CO113" s="1">
        <f t="shared" si="38"/>
        <v>0</v>
      </c>
      <c r="CP113" s="1">
        <f t="shared" si="28"/>
        <v>0</v>
      </c>
      <c r="CQ113" s="1">
        <f t="shared" si="28"/>
        <v>0</v>
      </c>
      <c r="CR113" s="1">
        <f t="shared" si="28"/>
        <v>0</v>
      </c>
      <c r="CS113" s="1">
        <f t="shared" si="28"/>
        <v>0</v>
      </c>
      <c r="CT113" s="1">
        <f t="shared" si="28"/>
        <v>0</v>
      </c>
      <c r="CU113" s="1">
        <f t="shared" si="36"/>
        <v>0</v>
      </c>
      <c r="CV113" s="1">
        <f t="shared" si="36"/>
        <v>0</v>
      </c>
      <c r="CW113" s="1">
        <f t="shared" si="36"/>
        <v>0</v>
      </c>
      <c r="CX113" s="1">
        <f t="shared" si="41"/>
        <v>92.074479166666677</v>
      </c>
      <c r="CY113" s="1">
        <f t="shared" si="41"/>
        <v>0</v>
      </c>
      <c r="CZ113" s="1">
        <f t="shared" si="41"/>
        <v>77.074479166666663</v>
      </c>
      <c r="DA113" s="1">
        <f t="shared" si="39"/>
        <v>0</v>
      </c>
      <c r="DB113" s="1">
        <f t="shared" si="39"/>
        <v>62.074479166666663</v>
      </c>
      <c r="DC113" s="1">
        <f t="shared" si="39"/>
        <v>0</v>
      </c>
      <c r="DD113" s="1">
        <f t="shared" si="29"/>
        <v>47.074479166666677</v>
      </c>
      <c r="DE113" s="1">
        <f t="shared" si="29"/>
        <v>0</v>
      </c>
      <c r="DF113" s="1">
        <f t="shared" si="29"/>
        <v>32.670312500000001</v>
      </c>
      <c r="DG113" s="1">
        <f t="shared" si="29"/>
        <v>0.59583333333333366</v>
      </c>
      <c r="DH113" s="1">
        <f t="shared" si="29"/>
        <v>19.730729166666663</v>
      </c>
      <c r="DI113" s="1">
        <f t="shared" si="37"/>
        <v>2.65625</v>
      </c>
      <c r="DJ113" s="1">
        <f t="shared" si="37"/>
        <v>10.273437499999998</v>
      </c>
      <c r="DK113" s="1">
        <f t="shared" si="37"/>
        <v>8.1989583333333336</v>
      </c>
      <c r="DL113" s="25"/>
      <c r="DM113" s="25"/>
      <c r="DN113" s="24"/>
      <c r="DO113" s="25"/>
      <c r="DP113" s="25"/>
      <c r="DQ113" s="25"/>
      <c r="DR113" s="25"/>
      <c r="DS113" s="25"/>
      <c r="DT113" s="25"/>
      <c r="DU113" s="25"/>
      <c r="DV113" s="25"/>
    </row>
    <row r="114" spans="1:126" x14ac:dyDescent="0.25">
      <c r="A114" s="261">
        <v>45413</v>
      </c>
      <c r="B114" s="262">
        <f t="shared" si="18"/>
        <v>2024</v>
      </c>
      <c r="C114" s="262">
        <f t="shared" si="19"/>
        <v>5</v>
      </c>
      <c r="D114" s="263">
        <v>38382656.992617123</v>
      </c>
      <c r="E114" s="263">
        <f>IFERROR(VLOOKUP($B114-1,CDM!$L$7:$T$18,2,FALSE)/12,0)+IFERROR(VLOOKUP($B114,CDM!$L$36:$T$46,2,FALSE)/24,0)+IFERROR(VLOOKUP($B114,CDM!$L$36:$T$46,2,FALSE)/2*$C114/78,0)</f>
        <v>2616822.2316289628</v>
      </c>
      <c r="F114" s="263">
        <f t="shared" si="20"/>
        <v>40999479.224246085</v>
      </c>
      <c r="G114" s="264">
        <v>57905</v>
      </c>
      <c r="H114" s="263">
        <v>9993620</v>
      </c>
      <c r="I114" s="263">
        <f>IFERROR(VLOOKUP($B114-1,CDM!$L$7:$T$18,3,FALSE)/12,0)+IFERROR(VLOOKUP($B114,CDM!$L$36:$T$46,3,FALSE)/24,0)+IFERROR(VLOOKUP($B114,CDM!$L$36:$T$46,3,FALSE)/2*$C114/78,0)</f>
        <v>842611.37447934365</v>
      </c>
      <c r="J114" s="263">
        <f t="shared" si="21"/>
        <v>10836231.374479344</v>
      </c>
      <c r="K114" s="265">
        <v>4438</v>
      </c>
      <c r="L114" s="265">
        <v>24030909.485545579</v>
      </c>
      <c r="M114" s="266">
        <f>IFERROR(VLOOKUP($B114-1,CDM!$L$7:$T$18,4,FALSE)/12,0)+IFERROR(VLOOKUP($B114,CDM!$L$36:$T$46,4,FALSE)/24,0)+IFERROR(VLOOKUP($B114,CDM!$L$36:$T$46,4,FALSE)/2*$C114/78,0)</f>
        <v>1198228.93401181</v>
      </c>
      <c r="N114" s="263">
        <f t="shared" si="22"/>
        <v>25229138.419557389</v>
      </c>
      <c r="O114" s="265">
        <v>55234.345581974958</v>
      </c>
      <c r="P114" s="265">
        <v>515</v>
      </c>
      <c r="Q114" s="265">
        <v>6870784</v>
      </c>
      <c r="R114" s="265">
        <f>IFERROR(VLOOKUP($B114-1,CDM!$L$7:$T$18,5,FALSE)/12,0)+IFERROR(VLOOKUP($B114,CDM!$L$36:$T$46,5,FALSE)/24,0)+IFERROR(VLOOKUP($B114,CDM!$L$36:$T$46,5,FALSE)/2*$C114/78,0)</f>
        <v>1116760.2864649401</v>
      </c>
      <c r="S114" s="265">
        <f t="shared" si="32"/>
        <v>7987544.2864649398</v>
      </c>
      <c r="T114" s="265">
        <v>16474.599999999999</v>
      </c>
      <c r="U114" s="265">
        <v>17</v>
      </c>
      <c r="V114" s="265">
        <v>3367177</v>
      </c>
      <c r="W114" s="265">
        <f>IFERROR(VLOOKUP($B114-1,CDM!$L$7:$T$18,6,FALSE)/12,0)+IFERROR(VLOOKUP($B114,CDM!$L$36:$T$46,6,FALSE)/24,0)+IFERROR(VLOOKUP($B114,CDM!$L$36:$T$46,6,FALSE)/2*$C114/78,0)</f>
        <v>58727.055453818757</v>
      </c>
      <c r="X114" s="265">
        <f t="shared" si="33"/>
        <v>3425904.0554538188</v>
      </c>
      <c r="Y114" s="265">
        <v>7044.24</v>
      </c>
      <c r="Z114" s="265">
        <v>1</v>
      </c>
      <c r="AA114" s="4">
        <v>310049.5754367644</v>
      </c>
      <c r="AB114" s="4">
        <v>1067.8000000000002</v>
      </c>
      <c r="AC114" s="265">
        <v>14444</v>
      </c>
      <c r="AD114" s="265">
        <v>2212.1999999999998</v>
      </c>
      <c r="AE114" s="265">
        <v>0</v>
      </c>
      <c r="AF114" s="265">
        <v>19</v>
      </c>
      <c r="AG114" s="4">
        <v>236533</v>
      </c>
      <c r="AH114" s="4">
        <v>259</v>
      </c>
      <c r="AI114" s="28">
        <f>Economic!H116</f>
        <v>878414.56419999991</v>
      </c>
      <c r="AJ114" s="28">
        <f>Economic!I116</f>
        <v>688913.47149999999</v>
      </c>
      <c r="AK114" s="28">
        <f>Economic!J116</f>
        <v>75612.206749999998</v>
      </c>
      <c r="AL114" s="28">
        <f>Economic!K116</f>
        <v>877135</v>
      </c>
      <c r="AM114" s="28">
        <f>Economic!L116</f>
        <v>695499</v>
      </c>
      <c r="AN114" s="28">
        <f>Economic!M116</f>
        <v>34058</v>
      </c>
      <c r="AO114" s="28">
        <f>Economic!D116</f>
        <v>8003.7</v>
      </c>
      <c r="AP114" s="28">
        <f>Economic!E116</f>
        <v>7999.8</v>
      </c>
      <c r="AQ114" s="28">
        <f>Economic!F116</f>
        <v>232.8</v>
      </c>
      <c r="AR114" s="28">
        <f>Economic!G116</f>
        <v>233.1</v>
      </c>
      <c r="AS114" s="28">
        <f>Economic!N116</f>
        <v>108.39999999999964</v>
      </c>
      <c r="AT114" s="28">
        <f>Economic!O116</f>
        <v>117.19999999999982</v>
      </c>
      <c r="AU114" s="28">
        <f>Economic!P116</f>
        <v>12.800000000000011</v>
      </c>
      <c r="AV114" s="28">
        <f>Economic!Q116</f>
        <v>11.900000000000006</v>
      </c>
      <c r="AW114" s="28">
        <f>Economic!R116</f>
        <v>12554.964199999929</v>
      </c>
      <c r="AX114" s="28">
        <f>Economic!S116</f>
        <v>2733</v>
      </c>
      <c r="AY114" s="7">
        <f>Weather!D114</f>
        <v>15.455779569892472</v>
      </c>
      <c r="AZ114" s="7">
        <f>Weather!E114</f>
        <v>143.5708333333333</v>
      </c>
      <c r="BA114" s="7">
        <f>Weather!F114</f>
        <v>2.6999999999999957</v>
      </c>
      <c r="BB114" s="7">
        <f>Weather!G114</f>
        <v>89.52916666666664</v>
      </c>
      <c r="BC114" s="7">
        <f>Weather!H114</f>
        <v>10.658333333333328</v>
      </c>
      <c r="BD114" s="7">
        <f>Weather!I114</f>
        <v>44.158333333333317</v>
      </c>
      <c r="BE114" s="7">
        <f>Weather!J114</f>
        <v>27.287500000000005</v>
      </c>
      <c r="BF114" s="7">
        <f>Weather!K114</f>
        <v>15.562499999999984</v>
      </c>
      <c r="BG114" s="7">
        <f>Weather!L114</f>
        <v>60.691666666666663</v>
      </c>
      <c r="BH114" s="7">
        <f>Weather!M114</f>
        <v>2.9208333333333272</v>
      </c>
      <c r="BI114" s="7">
        <f>Weather!N114</f>
        <v>110.05000000000001</v>
      </c>
      <c r="BJ114" s="7">
        <f>Weather!O114</f>
        <v>0</v>
      </c>
      <c r="BK114" s="7">
        <f>Weather!P114</f>
        <v>169.12916666666669</v>
      </c>
      <c r="BL114" s="7">
        <f>Weather!Q114</f>
        <v>0</v>
      </c>
      <c r="BM114" s="7">
        <f>Weather!R114</f>
        <v>231.12916666666669</v>
      </c>
      <c r="BN114" s="1">
        <f t="shared" si="42"/>
        <v>0</v>
      </c>
      <c r="BO114" s="1">
        <f t="shared" si="42"/>
        <v>0</v>
      </c>
      <c r="BP114" s="1">
        <f t="shared" si="42"/>
        <v>0</v>
      </c>
      <c r="BQ114" s="1">
        <f t="shared" si="42"/>
        <v>0</v>
      </c>
      <c r="BR114" s="1">
        <f t="shared" si="42"/>
        <v>1</v>
      </c>
      <c r="BS114" s="1">
        <f t="shared" si="42"/>
        <v>0</v>
      </c>
      <c r="BT114" s="1">
        <f t="shared" si="42"/>
        <v>0</v>
      </c>
      <c r="BU114" s="1">
        <f t="shared" si="42"/>
        <v>0</v>
      </c>
      <c r="BV114" s="1">
        <f t="shared" si="42"/>
        <v>0</v>
      </c>
      <c r="BW114" s="1">
        <f t="shared" si="42"/>
        <v>0</v>
      </c>
      <c r="BX114" s="1">
        <f t="shared" si="42"/>
        <v>0</v>
      </c>
      <c r="BY114" s="1">
        <f t="shared" si="42"/>
        <v>0</v>
      </c>
      <c r="BZ114" s="1">
        <f t="shared" si="42"/>
        <v>1</v>
      </c>
      <c r="CA114" s="1">
        <f t="shared" si="42"/>
        <v>0</v>
      </c>
      <c r="CB114" s="1">
        <f t="shared" si="42"/>
        <v>1</v>
      </c>
      <c r="CC114" s="1">
        <f t="shared" si="23"/>
        <v>113</v>
      </c>
      <c r="CD114" s="1">
        <f t="shared" si="17"/>
        <v>31</v>
      </c>
      <c r="CE114" s="1">
        <v>22</v>
      </c>
      <c r="CF114" s="1">
        <v>0</v>
      </c>
      <c r="CG114" s="1">
        <v>0</v>
      </c>
      <c r="CH114" s="1">
        <v>0.25</v>
      </c>
      <c r="CI114" s="1">
        <v>0</v>
      </c>
      <c r="CJ114" s="1">
        <f t="shared" si="40"/>
        <v>0</v>
      </c>
      <c r="CK114" s="1">
        <f t="shared" si="40"/>
        <v>0</v>
      </c>
      <c r="CL114" s="1">
        <f t="shared" si="40"/>
        <v>0</v>
      </c>
      <c r="CM114" s="1">
        <f t="shared" si="38"/>
        <v>0</v>
      </c>
      <c r="CN114" s="1">
        <f t="shared" si="38"/>
        <v>0</v>
      </c>
      <c r="CO114" s="1">
        <f t="shared" si="38"/>
        <v>0</v>
      </c>
      <c r="CP114" s="1">
        <f t="shared" si="28"/>
        <v>0</v>
      </c>
      <c r="CQ114" s="1">
        <f t="shared" si="28"/>
        <v>0</v>
      </c>
      <c r="CR114" s="1">
        <f t="shared" si="28"/>
        <v>0</v>
      </c>
      <c r="CS114" s="1">
        <f t="shared" si="28"/>
        <v>0</v>
      </c>
      <c r="CT114" s="1">
        <f t="shared" si="28"/>
        <v>0</v>
      </c>
      <c r="CU114" s="1">
        <f t="shared" si="36"/>
        <v>0</v>
      </c>
      <c r="CV114" s="1">
        <f t="shared" si="36"/>
        <v>0</v>
      </c>
      <c r="CW114" s="1">
        <f t="shared" si="36"/>
        <v>0</v>
      </c>
      <c r="CX114" s="1">
        <f t="shared" si="41"/>
        <v>35.892708333333324</v>
      </c>
      <c r="CY114" s="1">
        <f t="shared" si="41"/>
        <v>0.67499999999999893</v>
      </c>
      <c r="CZ114" s="1">
        <f t="shared" si="41"/>
        <v>22.38229166666666</v>
      </c>
      <c r="DA114" s="1">
        <f t="shared" si="39"/>
        <v>2.664583333333332</v>
      </c>
      <c r="DB114" s="1">
        <f t="shared" si="39"/>
        <v>11.039583333333329</v>
      </c>
      <c r="DC114" s="1">
        <f t="shared" si="39"/>
        <v>6.8218750000000012</v>
      </c>
      <c r="DD114" s="1">
        <f t="shared" si="29"/>
        <v>3.890624999999996</v>
      </c>
      <c r="DE114" s="1">
        <f t="shared" si="29"/>
        <v>15.172916666666666</v>
      </c>
      <c r="DF114" s="1">
        <f t="shared" si="29"/>
        <v>0.73020833333333179</v>
      </c>
      <c r="DG114" s="1">
        <f t="shared" si="29"/>
        <v>27.512500000000003</v>
      </c>
      <c r="DH114" s="1">
        <f t="shared" si="29"/>
        <v>0</v>
      </c>
      <c r="DI114" s="1">
        <f t="shared" si="37"/>
        <v>42.282291666666673</v>
      </c>
      <c r="DJ114" s="1">
        <f t="shared" si="37"/>
        <v>0</v>
      </c>
      <c r="DK114" s="1">
        <f t="shared" si="37"/>
        <v>57.782291666666673</v>
      </c>
      <c r="DL114" s="25"/>
      <c r="DM114" s="25"/>
      <c r="DN114" s="24"/>
      <c r="DO114" s="25"/>
      <c r="DP114" s="25"/>
      <c r="DQ114" s="25"/>
      <c r="DR114" s="25"/>
      <c r="DS114" s="25"/>
      <c r="DT114" s="25"/>
      <c r="DU114" s="25"/>
      <c r="DV114" s="25"/>
    </row>
    <row r="115" spans="1:126" x14ac:dyDescent="0.25">
      <c r="A115" s="261">
        <v>45444</v>
      </c>
      <c r="B115" s="262">
        <f t="shared" si="18"/>
        <v>2024</v>
      </c>
      <c r="C115" s="262">
        <f t="shared" si="19"/>
        <v>6</v>
      </c>
      <c r="D115" s="263">
        <v>43320433</v>
      </c>
      <c r="E115" s="263">
        <f>IFERROR(VLOOKUP($B115-1,CDM!$L$7:$T$18,2,FALSE)/12,0)+IFERROR(VLOOKUP($B115,CDM!$L$36:$T$46,2,FALSE)/24,0)+IFERROR(VLOOKUP($B115,CDM!$L$36:$T$46,2,FALSE)/2*$C115/78,0)</f>
        <v>2626011.049043911</v>
      </c>
      <c r="F115" s="263">
        <f t="shared" si="20"/>
        <v>45946444.049043909</v>
      </c>
      <c r="G115" s="264">
        <v>57937</v>
      </c>
      <c r="H115" s="263">
        <v>10716590</v>
      </c>
      <c r="I115" s="263">
        <f>IFERROR(VLOOKUP($B115-1,CDM!$L$7:$T$18,3,FALSE)/12,0)+IFERROR(VLOOKUP($B115,CDM!$L$36:$T$46,3,FALSE)/24,0)+IFERROR(VLOOKUP($B115,CDM!$L$36:$T$46,3,FALSE)/2*$C115/78,0)</f>
        <v>851653.64813168626</v>
      </c>
      <c r="J115" s="263">
        <f t="shared" si="21"/>
        <v>11568243.648131687</v>
      </c>
      <c r="K115" s="265">
        <v>4437</v>
      </c>
      <c r="L115" s="4">
        <v>25537881</v>
      </c>
      <c r="M115" s="266">
        <f>IFERROR(VLOOKUP($B115-1,CDM!$L$7:$T$18,4,FALSE)/12,0)+IFERROR(VLOOKUP($B115,CDM!$L$36:$T$46,4,FALSE)/24,0)+IFERROR(VLOOKUP($B115,CDM!$L$36:$T$46,4,FALSE)/2*$C115/78,0)</f>
        <v>1212859.6457347795</v>
      </c>
      <c r="N115" s="263">
        <f t="shared" si="22"/>
        <v>26750740.64573478</v>
      </c>
      <c r="O115" s="4">
        <v>75123.829999999987</v>
      </c>
      <c r="P115" s="265">
        <v>517</v>
      </c>
      <c r="Q115" s="265">
        <v>7639460</v>
      </c>
      <c r="R115" s="265">
        <f>IFERROR(VLOOKUP($B115-1,CDM!$L$7:$T$18,5,FALSE)/12,0)+IFERROR(VLOOKUP($B115,CDM!$L$36:$T$46,5,FALSE)/24,0)+IFERROR(VLOOKUP($B115,CDM!$L$36:$T$46,5,FALSE)/2*$C115/78,0)</f>
        <v>1128533.3752567193</v>
      </c>
      <c r="S115" s="265">
        <f t="shared" si="32"/>
        <v>8767993.3752567191</v>
      </c>
      <c r="T115" s="265">
        <v>17687.7</v>
      </c>
      <c r="U115" s="265">
        <v>17</v>
      </c>
      <c r="V115" s="265">
        <v>3275188</v>
      </c>
      <c r="W115" s="265">
        <f>IFERROR(VLOOKUP($B115-1,CDM!$L$7:$T$18,6,FALSE)/12,0)+IFERROR(VLOOKUP($B115,CDM!$L$36:$T$46,6,FALSE)/24,0)+IFERROR(VLOOKUP($B115,CDM!$L$36:$T$46,6,FALSE)/2*$C115/78,0)</f>
        <v>59955.861737359155</v>
      </c>
      <c r="X115" s="265">
        <f t="shared" si="33"/>
        <v>3335143.8617373593</v>
      </c>
      <c r="Y115" s="265">
        <v>8183.28</v>
      </c>
      <c r="Z115" s="265">
        <v>1</v>
      </c>
      <c r="AA115" s="4">
        <v>277766.09245712281</v>
      </c>
      <c r="AB115" s="4">
        <v>1068.2</v>
      </c>
      <c r="AC115" s="265">
        <v>14444</v>
      </c>
      <c r="AD115" s="265">
        <v>2285.94</v>
      </c>
      <c r="AE115" s="265">
        <v>0</v>
      </c>
      <c r="AF115" s="265">
        <v>19</v>
      </c>
      <c r="AG115" s="4">
        <v>236533</v>
      </c>
      <c r="AH115" s="4">
        <v>259</v>
      </c>
      <c r="AI115" s="28">
        <f>Economic!H117</f>
        <v>878414.56419999991</v>
      </c>
      <c r="AJ115" s="28">
        <f>Economic!I117</f>
        <v>688913.47149999999</v>
      </c>
      <c r="AK115" s="28">
        <f>Economic!J117</f>
        <v>75612.206749999998</v>
      </c>
      <c r="AL115" s="28">
        <f>Economic!K117</f>
        <v>877135</v>
      </c>
      <c r="AM115" s="28">
        <f>Economic!L117</f>
        <v>695499</v>
      </c>
      <c r="AN115" s="28">
        <f>Economic!M117</f>
        <v>34058</v>
      </c>
      <c r="AO115" s="28">
        <f>Economic!D117</f>
        <v>8031.8</v>
      </c>
      <c r="AP115" s="28">
        <f>Economic!E117</f>
        <v>8092.5</v>
      </c>
      <c r="AQ115" s="28">
        <f>Economic!F117</f>
        <v>230.6</v>
      </c>
      <c r="AR115" s="28">
        <f>Economic!G117</f>
        <v>232</v>
      </c>
      <c r="AS115" s="28">
        <f>Economic!N117</f>
        <v>115.69999999999982</v>
      </c>
      <c r="AT115" s="28">
        <f>Economic!O117</f>
        <v>121.30000000000018</v>
      </c>
      <c r="AU115" s="28">
        <f>Economic!P117</f>
        <v>10.199999999999989</v>
      </c>
      <c r="AV115" s="28">
        <f>Economic!Q117</f>
        <v>9</v>
      </c>
      <c r="AW115" s="28">
        <f>Economic!R117</f>
        <v>12554.964199999929</v>
      </c>
      <c r="AX115" s="28">
        <f>Economic!S117</f>
        <v>2733</v>
      </c>
      <c r="AY115" s="7">
        <f>Weather!D115</f>
        <v>18.805138888888891</v>
      </c>
      <c r="AZ115" s="7">
        <f>Weather!E115</f>
        <v>60.86249999999999</v>
      </c>
      <c r="BA115" s="7">
        <f>Weather!F115</f>
        <v>25.01666666666668</v>
      </c>
      <c r="BB115" s="7">
        <f>Weather!G115</f>
        <v>31.570833333333319</v>
      </c>
      <c r="BC115" s="7">
        <f>Weather!H115</f>
        <v>55.725000000000009</v>
      </c>
      <c r="BD115" s="7">
        <f>Weather!I115</f>
        <v>10.312499999999995</v>
      </c>
      <c r="BE115" s="7">
        <f>Weather!J115</f>
        <v>94.466666666666669</v>
      </c>
      <c r="BF115" s="7">
        <f>Weather!K115</f>
        <v>2.4583333333333321</v>
      </c>
      <c r="BG115" s="7">
        <f>Weather!L115</f>
        <v>146.61250000000007</v>
      </c>
      <c r="BH115" s="7">
        <f>Weather!M115</f>
        <v>0</v>
      </c>
      <c r="BI115" s="7">
        <f>Weather!N115</f>
        <v>204.15416666666667</v>
      </c>
      <c r="BJ115" s="7">
        <f>Weather!O115</f>
        <v>0</v>
      </c>
      <c r="BK115" s="7">
        <f>Weather!P115</f>
        <v>264.15416666666664</v>
      </c>
      <c r="BL115" s="7">
        <f>Weather!Q115</f>
        <v>0</v>
      </c>
      <c r="BM115" s="7">
        <f>Weather!R115</f>
        <v>324.1541666666667</v>
      </c>
      <c r="BN115" s="1">
        <f t="shared" si="42"/>
        <v>0</v>
      </c>
      <c r="BO115" s="1">
        <f t="shared" si="42"/>
        <v>0</v>
      </c>
      <c r="BP115" s="1">
        <f t="shared" si="42"/>
        <v>0</v>
      </c>
      <c r="BQ115" s="1">
        <f t="shared" si="42"/>
        <v>0</v>
      </c>
      <c r="BR115" s="1">
        <f t="shared" si="42"/>
        <v>0</v>
      </c>
      <c r="BS115" s="1">
        <f t="shared" si="42"/>
        <v>1</v>
      </c>
      <c r="BT115" s="1">
        <f t="shared" si="42"/>
        <v>0</v>
      </c>
      <c r="BU115" s="1">
        <f t="shared" si="42"/>
        <v>0</v>
      </c>
      <c r="BV115" s="1">
        <f t="shared" si="42"/>
        <v>0</v>
      </c>
      <c r="BW115" s="1">
        <f t="shared" si="42"/>
        <v>0</v>
      </c>
      <c r="BX115" s="1">
        <f t="shared" si="42"/>
        <v>0</v>
      </c>
      <c r="BY115" s="1">
        <f t="shared" si="42"/>
        <v>0</v>
      </c>
      <c r="BZ115" s="1">
        <f t="shared" si="42"/>
        <v>0</v>
      </c>
      <c r="CA115" s="1">
        <f t="shared" si="42"/>
        <v>0</v>
      </c>
      <c r="CB115" s="1">
        <f t="shared" si="42"/>
        <v>0</v>
      </c>
      <c r="CC115" s="1">
        <f t="shared" si="23"/>
        <v>114</v>
      </c>
      <c r="CD115" s="1">
        <f t="shared" ref="CD115:CD121" si="43">CD67</f>
        <v>30</v>
      </c>
      <c r="CE115" s="1">
        <v>20</v>
      </c>
      <c r="CF115" s="1">
        <v>0</v>
      </c>
      <c r="CG115" s="1">
        <v>0</v>
      </c>
      <c r="CH115" s="1">
        <v>0.25</v>
      </c>
      <c r="CI115" s="1">
        <v>0</v>
      </c>
      <c r="CJ115" s="1">
        <f t="shared" si="40"/>
        <v>0</v>
      </c>
      <c r="CK115" s="1">
        <f t="shared" si="40"/>
        <v>0</v>
      </c>
      <c r="CL115" s="1">
        <f t="shared" si="40"/>
        <v>0</v>
      </c>
      <c r="CM115" s="1">
        <f t="shared" si="38"/>
        <v>0</v>
      </c>
      <c r="CN115" s="1">
        <f t="shared" si="38"/>
        <v>0</v>
      </c>
      <c r="CO115" s="1">
        <f t="shared" si="38"/>
        <v>0</v>
      </c>
      <c r="CP115" s="1">
        <f t="shared" si="28"/>
        <v>0</v>
      </c>
      <c r="CQ115" s="1">
        <f t="shared" si="28"/>
        <v>0</v>
      </c>
      <c r="CR115" s="1">
        <f t="shared" si="28"/>
        <v>0</v>
      </c>
      <c r="CS115" s="1">
        <f t="shared" si="28"/>
        <v>0</v>
      </c>
      <c r="CT115" s="1">
        <f t="shared" si="28"/>
        <v>0</v>
      </c>
      <c r="CU115" s="1">
        <f t="shared" si="36"/>
        <v>0</v>
      </c>
      <c r="CV115" s="1">
        <f t="shared" si="36"/>
        <v>0</v>
      </c>
      <c r="CW115" s="1">
        <f t="shared" si="36"/>
        <v>0</v>
      </c>
      <c r="CX115" s="1">
        <f t="shared" si="41"/>
        <v>15.215624999999998</v>
      </c>
      <c r="CY115" s="1">
        <f t="shared" si="41"/>
        <v>6.25416666666667</v>
      </c>
      <c r="CZ115" s="1">
        <f t="shared" si="41"/>
        <v>7.8927083333333297</v>
      </c>
      <c r="DA115" s="1">
        <f t="shared" si="39"/>
        <v>13.931250000000002</v>
      </c>
      <c r="DB115" s="1">
        <f t="shared" si="39"/>
        <v>2.5781249999999987</v>
      </c>
      <c r="DC115" s="1">
        <f t="shared" si="39"/>
        <v>23.616666666666667</v>
      </c>
      <c r="DD115" s="1">
        <f t="shared" si="29"/>
        <v>0.61458333333333304</v>
      </c>
      <c r="DE115" s="1">
        <f t="shared" si="29"/>
        <v>36.653125000000017</v>
      </c>
      <c r="DF115" s="1">
        <f t="shared" si="29"/>
        <v>0</v>
      </c>
      <c r="DG115" s="1">
        <f t="shared" si="29"/>
        <v>51.038541666666667</v>
      </c>
      <c r="DH115" s="1">
        <f t="shared" si="29"/>
        <v>0</v>
      </c>
      <c r="DI115" s="1">
        <f t="shared" si="37"/>
        <v>66.03854166666666</v>
      </c>
      <c r="DJ115" s="1">
        <f t="shared" si="37"/>
        <v>0</v>
      </c>
      <c r="DK115" s="1">
        <f t="shared" si="37"/>
        <v>81.038541666666674</v>
      </c>
      <c r="DL115" s="25"/>
      <c r="DM115" s="25"/>
      <c r="DN115" s="24"/>
      <c r="DO115" s="25"/>
      <c r="DP115" s="25"/>
      <c r="DQ115" s="25"/>
      <c r="DR115" s="25"/>
      <c r="DS115" s="25"/>
      <c r="DT115" s="25"/>
      <c r="DU115" s="25"/>
      <c r="DV115" s="25"/>
    </row>
    <row r="116" spans="1:126" x14ac:dyDescent="0.25">
      <c r="A116" s="261">
        <v>45474</v>
      </c>
      <c r="B116" s="262">
        <f t="shared" ref="B116:B121" si="44">YEAR(A116)</f>
        <v>2024</v>
      </c>
      <c r="C116" s="262">
        <f t="shared" ref="C116:C121" si="45">MONTH(A116)</f>
        <v>7</v>
      </c>
      <c r="D116" s="263">
        <v>52997788</v>
      </c>
      <c r="E116" s="263">
        <f>IFERROR(VLOOKUP($B116-1,CDM!$L$7:$T$18,2,FALSE)/12,0)+IFERROR(VLOOKUP($B116,CDM!$L$36:$T$46,2,FALSE)/24,0)+IFERROR(VLOOKUP($B116,CDM!$L$36:$T$46,2,FALSE)/2*$C116/78,0)</f>
        <v>2635199.8664588588</v>
      </c>
      <c r="F116" s="263">
        <f t="shared" ref="F116:F121" si="46">D116+E116</f>
        <v>55632987.866458856</v>
      </c>
      <c r="G116" s="264">
        <v>58077</v>
      </c>
      <c r="H116" s="263">
        <v>12347381</v>
      </c>
      <c r="I116" s="263">
        <f>IFERROR(VLOOKUP($B116-1,CDM!$L$7:$T$18,3,FALSE)/12,0)+IFERROR(VLOOKUP($B116,CDM!$L$36:$T$46,3,FALSE)/24,0)+IFERROR(VLOOKUP($B116,CDM!$L$36:$T$46,3,FALSE)/2*$C116/78,0)</f>
        <v>860695.92178402899</v>
      </c>
      <c r="J116" s="263">
        <f t="shared" ref="J116:J121" si="47">H116+I116</f>
        <v>13208076.921784028</v>
      </c>
      <c r="K116" s="265">
        <v>4438</v>
      </c>
      <c r="L116" s="4">
        <v>27840260</v>
      </c>
      <c r="M116" s="266">
        <f>IFERROR(VLOOKUP($B116-1,CDM!$L$7:$T$18,4,FALSE)/12,0)+IFERROR(VLOOKUP($B116,CDM!$L$36:$T$46,4,FALSE)/24,0)+IFERROR(VLOOKUP($B116,CDM!$L$36:$T$46,4,FALSE)/2*$C116/78,0)</f>
        <v>1227490.3574577488</v>
      </c>
      <c r="N116" s="263">
        <f t="shared" ref="N116:N121" si="48">L116+M116</f>
        <v>29067750.35745775</v>
      </c>
      <c r="O116" s="4">
        <v>72642.33</v>
      </c>
      <c r="P116" s="265">
        <v>518</v>
      </c>
      <c r="Q116" s="265">
        <v>8473528</v>
      </c>
      <c r="R116" s="265">
        <f>IFERROR(VLOOKUP($B116-1,CDM!$L$7:$T$18,5,FALSE)/12,0)+IFERROR(VLOOKUP($B116,CDM!$L$36:$T$46,5,FALSE)/24,0)+IFERROR(VLOOKUP($B116,CDM!$L$36:$T$46,5,FALSE)/2*$C116/78,0)</f>
        <v>1140306.4640484988</v>
      </c>
      <c r="S116" s="265">
        <f t="shared" si="32"/>
        <v>9613834.4640484992</v>
      </c>
      <c r="T116" s="265">
        <v>17863.699999999997</v>
      </c>
      <c r="U116" s="265">
        <v>17</v>
      </c>
      <c r="V116" s="265">
        <v>3353405</v>
      </c>
      <c r="W116" s="265">
        <f>IFERROR(VLOOKUP($B116-1,CDM!$L$7:$T$18,6,FALSE)/12,0)+IFERROR(VLOOKUP($B116,CDM!$L$36:$T$46,6,FALSE)/24,0)+IFERROR(VLOOKUP($B116,CDM!$L$36:$T$46,6,FALSE)/2*$C116/78,0)</f>
        <v>61184.668020899553</v>
      </c>
      <c r="X116" s="265">
        <f t="shared" si="33"/>
        <v>3414589.6680208994</v>
      </c>
      <c r="Y116" s="265">
        <v>6903.96</v>
      </c>
      <c r="Z116" s="265">
        <v>1</v>
      </c>
      <c r="AA116" s="4">
        <v>303818</v>
      </c>
      <c r="AB116" s="4">
        <v>1068.2</v>
      </c>
      <c r="AC116" s="265">
        <v>14448</v>
      </c>
      <c r="AD116" s="265">
        <v>2285.94</v>
      </c>
      <c r="AE116" s="265">
        <v>0</v>
      </c>
      <c r="AF116" s="265">
        <v>19</v>
      </c>
      <c r="AG116" s="4">
        <v>236533</v>
      </c>
      <c r="AH116" s="4">
        <v>259</v>
      </c>
      <c r="AI116" s="28">
        <f>Economic!H118</f>
        <v>878414.56419999991</v>
      </c>
      <c r="AJ116" s="28">
        <f>Economic!I118</f>
        <v>688913.47149999999</v>
      </c>
      <c r="AK116" s="28">
        <f>Economic!J118</f>
        <v>75612.206749999998</v>
      </c>
      <c r="AL116" s="28">
        <f>Economic!K118</f>
        <v>877865</v>
      </c>
      <c r="AM116" s="28">
        <f>Economic!L118</f>
        <v>698343</v>
      </c>
      <c r="AN116" s="28">
        <f>Economic!M118</f>
        <v>33895</v>
      </c>
      <c r="AO116" s="28">
        <f>Economic!D118</f>
        <v>8059</v>
      </c>
      <c r="AP116" s="28">
        <f>Economic!E118</f>
        <v>8149.4</v>
      </c>
      <c r="AQ116" s="28">
        <f>Economic!F118</f>
        <v>227.5</v>
      </c>
      <c r="AR116" s="28">
        <f>Economic!G118</f>
        <v>229.4</v>
      </c>
      <c r="AS116" s="28">
        <f>Economic!N118</f>
        <v>132.89999999999964</v>
      </c>
      <c r="AT116" s="28">
        <f>Economic!O118</f>
        <v>132.5</v>
      </c>
      <c r="AU116" s="28">
        <f>Economic!P118</f>
        <v>6.6999999999999886</v>
      </c>
      <c r="AV116" s="28">
        <f>Economic!Q118</f>
        <v>6.9000000000000057</v>
      </c>
      <c r="AW116" s="28">
        <f>Economic!R118</f>
        <v>12554.964199999929</v>
      </c>
      <c r="AX116" s="28">
        <f>Economic!S118</f>
        <v>730</v>
      </c>
      <c r="AY116" s="7">
        <f>Weather!D116</f>
        <v>21.778763440860214</v>
      </c>
      <c r="AZ116" s="7">
        <f>Weather!E116</f>
        <v>5.5666666666666629</v>
      </c>
      <c r="BA116" s="7">
        <f>Weather!F116</f>
        <v>60.708333333333343</v>
      </c>
      <c r="BB116" s="7">
        <f>Weather!G116</f>
        <v>0.32916666666666927</v>
      </c>
      <c r="BC116" s="7">
        <f>Weather!H116</f>
        <v>117.47083333333335</v>
      </c>
      <c r="BD116" s="7">
        <f>Weather!I116</f>
        <v>0</v>
      </c>
      <c r="BE116" s="7">
        <f>Weather!J116</f>
        <v>179.14166666666668</v>
      </c>
      <c r="BF116" s="7">
        <f>Weather!K116</f>
        <v>0</v>
      </c>
      <c r="BG116" s="7">
        <f>Weather!L116</f>
        <v>241.14166666666668</v>
      </c>
      <c r="BH116" s="7">
        <f>Weather!M116</f>
        <v>0</v>
      </c>
      <c r="BI116" s="7">
        <f>Weather!N116</f>
        <v>303.14166666666665</v>
      </c>
      <c r="BJ116" s="7">
        <f>Weather!O116</f>
        <v>0</v>
      </c>
      <c r="BK116" s="7">
        <f>Weather!P116</f>
        <v>365.14166666666671</v>
      </c>
      <c r="BL116" s="7">
        <f>Weather!Q116</f>
        <v>0</v>
      </c>
      <c r="BM116" s="7">
        <f>Weather!R116</f>
        <v>427.14166666666677</v>
      </c>
      <c r="BN116" s="1">
        <f t="shared" ref="BN116:CB116" si="49">BN104</f>
        <v>0</v>
      </c>
      <c r="BO116" s="1">
        <f t="shared" si="49"/>
        <v>0</v>
      </c>
      <c r="BP116" s="1">
        <f t="shared" si="49"/>
        <v>0</v>
      </c>
      <c r="BQ116" s="1">
        <f t="shared" si="49"/>
        <v>0</v>
      </c>
      <c r="BR116" s="1">
        <f t="shared" si="49"/>
        <v>0</v>
      </c>
      <c r="BS116" s="1">
        <f t="shared" si="49"/>
        <v>0</v>
      </c>
      <c r="BT116" s="1">
        <f t="shared" si="49"/>
        <v>1</v>
      </c>
      <c r="BU116" s="1">
        <f t="shared" si="49"/>
        <v>0</v>
      </c>
      <c r="BV116" s="1">
        <f t="shared" si="49"/>
        <v>0</v>
      </c>
      <c r="BW116" s="1">
        <f t="shared" si="49"/>
        <v>0</v>
      </c>
      <c r="BX116" s="1">
        <f t="shared" si="49"/>
        <v>0</v>
      </c>
      <c r="BY116" s="1">
        <f t="shared" si="49"/>
        <v>0</v>
      </c>
      <c r="BZ116" s="1">
        <f t="shared" si="49"/>
        <v>0</v>
      </c>
      <c r="CA116" s="1">
        <f t="shared" si="49"/>
        <v>0</v>
      </c>
      <c r="CB116" s="1">
        <f t="shared" si="49"/>
        <v>0</v>
      </c>
      <c r="CC116" s="1">
        <f t="shared" si="23"/>
        <v>115</v>
      </c>
      <c r="CD116" s="1">
        <f t="shared" si="43"/>
        <v>31</v>
      </c>
      <c r="CE116" s="1">
        <v>22</v>
      </c>
      <c r="CF116" s="1">
        <v>0</v>
      </c>
      <c r="CG116" s="1">
        <v>0</v>
      </c>
      <c r="CH116" s="1">
        <v>0.25</v>
      </c>
      <c r="CI116" s="1">
        <v>0</v>
      </c>
      <c r="CJ116" s="1">
        <f t="shared" ref="CJ116:CJ121" si="50">$CG116*AZ116</f>
        <v>0</v>
      </c>
      <c r="CK116" s="1">
        <f t="shared" ref="CK116:CK121" si="51">$CG116*BA116</f>
        <v>0</v>
      </c>
      <c r="CL116" s="1">
        <f t="shared" ref="CL116:CL121" si="52">$CG116*BB116</f>
        <v>0</v>
      </c>
      <c r="CM116" s="1">
        <f t="shared" ref="CM116:CM121" si="53">$CG116*BC116</f>
        <v>0</v>
      </c>
      <c r="CN116" s="1">
        <f t="shared" ref="CN116:CN121" si="54">$CG116*BD116</f>
        <v>0</v>
      </c>
      <c r="CO116" s="1">
        <f t="shared" ref="CO116:CO121" si="55">$CG116*BE116</f>
        <v>0</v>
      </c>
      <c r="CP116" s="1">
        <f t="shared" ref="CP116:CP121" si="56">$CG116*BF116</f>
        <v>0</v>
      </c>
      <c r="CQ116" s="1">
        <f t="shared" ref="CQ116:CQ121" si="57">$CG116*BG116</f>
        <v>0</v>
      </c>
      <c r="CR116" s="1">
        <f t="shared" ref="CR116:CR121" si="58">$CG116*BH116</f>
        <v>0</v>
      </c>
      <c r="CS116" s="1">
        <f t="shared" ref="CS116:CS121" si="59">$CG116*BI116</f>
        <v>0</v>
      </c>
      <c r="CT116" s="1">
        <f t="shared" ref="CT116:CT121" si="60">$CG116*BJ116</f>
        <v>0</v>
      </c>
      <c r="CU116" s="1">
        <f t="shared" ref="CU116:CU121" si="61">$CG116*BK116</f>
        <v>0</v>
      </c>
      <c r="CV116" s="1">
        <f t="shared" ref="CV116:CV121" si="62">$CG116*BL116</f>
        <v>0</v>
      </c>
      <c r="CW116" s="1">
        <f t="shared" ref="CW116:CW121" si="63">$CG116*BM116</f>
        <v>0</v>
      </c>
      <c r="CX116" s="1">
        <f t="shared" ref="CX116:CX121" si="64">$CH116*AZ116</f>
        <v>1.3916666666666657</v>
      </c>
      <c r="CY116" s="1">
        <f t="shared" ref="CY116:CY121" si="65">$CH116*BA116</f>
        <v>15.177083333333336</v>
      </c>
      <c r="CZ116" s="1">
        <f t="shared" ref="CZ116:CZ121" si="66">$CH116*BB116</f>
        <v>8.2291666666667318E-2</v>
      </c>
      <c r="DA116" s="1">
        <f t="shared" ref="DA116:DA121" si="67">$CH116*BC116</f>
        <v>29.367708333333336</v>
      </c>
      <c r="DB116" s="1">
        <f t="shared" ref="DB116:DB121" si="68">$CH116*BD116</f>
        <v>0</v>
      </c>
      <c r="DC116" s="1">
        <f t="shared" ref="DC116:DC121" si="69">$CH116*BE116</f>
        <v>44.78541666666667</v>
      </c>
      <c r="DD116" s="1">
        <f t="shared" ref="DD116:DD121" si="70">$CH116*BF116</f>
        <v>0</v>
      </c>
      <c r="DE116" s="1">
        <f t="shared" ref="DE116:DE121" si="71">$CH116*BG116</f>
        <v>60.28541666666667</v>
      </c>
      <c r="DF116" s="1">
        <f t="shared" ref="DF116:DF121" si="72">$CH116*BH116</f>
        <v>0</v>
      </c>
      <c r="DG116" s="1">
        <f t="shared" ref="DG116:DG121" si="73">$CH116*BI116</f>
        <v>75.785416666666663</v>
      </c>
      <c r="DH116" s="1">
        <f t="shared" ref="DH116:DH121" si="74">$CH116*BJ116</f>
        <v>0</v>
      </c>
      <c r="DI116" s="1">
        <f t="shared" ref="DI116:DI121" si="75">$CH116*BK116</f>
        <v>91.285416666666677</v>
      </c>
      <c r="DJ116" s="1">
        <f t="shared" ref="DJ116:DJ121" si="76">$CH116*BL116</f>
        <v>0</v>
      </c>
      <c r="DK116" s="1">
        <f t="shared" ref="DK116:DK121" si="77">$CH116*BM116</f>
        <v>106.78541666666669</v>
      </c>
      <c r="DL116" s="25"/>
      <c r="DM116" s="25"/>
      <c r="DN116" s="24"/>
      <c r="DO116" s="25"/>
      <c r="DP116" s="25"/>
      <c r="DQ116" s="25"/>
      <c r="DR116" s="25"/>
      <c r="DS116" s="25"/>
      <c r="DT116" s="25"/>
      <c r="DU116" s="25"/>
      <c r="DV116" s="25"/>
    </row>
    <row r="117" spans="1:126" x14ac:dyDescent="0.25">
      <c r="A117" s="261">
        <v>45505</v>
      </c>
      <c r="B117" s="262">
        <f t="shared" si="44"/>
        <v>2024</v>
      </c>
      <c r="C117" s="262">
        <f t="shared" si="45"/>
        <v>8</v>
      </c>
      <c r="D117" s="263">
        <v>52762639</v>
      </c>
      <c r="E117" s="263">
        <f>IFERROR(VLOOKUP($B117-1,CDM!$L$7:$T$18,2,FALSE)/12,0)+IFERROR(VLOOKUP($B117,CDM!$L$36:$T$46,2,FALSE)/24,0)+IFERROR(VLOOKUP($B117,CDM!$L$36:$T$46,2,FALSE)/2*$C117/78,0)</f>
        <v>2644388.6838738071</v>
      </c>
      <c r="F117" s="263">
        <f t="shared" si="46"/>
        <v>55407027.68387381</v>
      </c>
      <c r="G117" s="264">
        <v>58228</v>
      </c>
      <c r="H117" s="263">
        <v>11674923</v>
      </c>
      <c r="I117" s="263">
        <f>IFERROR(VLOOKUP($B117-1,CDM!$L$7:$T$18,3,FALSE)/12,0)+IFERROR(VLOOKUP($B117,CDM!$L$36:$T$46,3,FALSE)/24,0)+IFERROR(VLOOKUP($B117,CDM!$L$36:$T$46,3,FALSE)/2*$C117/78,0)</f>
        <v>869738.19543637161</v>
      </c>
      <c r="J117" s="263">
        <f t="shared" si="47"/>
        <v>12544661.195436371</v>
      </c>
      <c r="K117" s="265">
        <v>4440</v>
      </c>
      <c r="L117" s="4">
        <v>22847715</v>
      </c>
      <c r="M117" s="266">
        <f>IFERROR(VLOOKUP($B117-1,CDM!$L$7:$T$18,4,FALSE)/12,0)+IFERROR(VLOOKUP($B117,CDM!$L$36:$T$46,4,FALSE)/24,0)+IFERROR(VLOOKUP($B117,CDM!$L$36:$T$46,4,FALSE)/2*$C117/78,0)</f>
        <v>1242121.0691807182</v>
      </c>
      <c r="N117" s="263">
        <f t="shared" si="48"/>
        <v>24089836.06918072</v>
      </c>
      <c r="O117" s="4">
        <v>65218.9</v>
      </c>
      <c r="P117" s="265">
        <v>519</v>
      </c>
      <c r="Q117" s="265">
        <v>8209188</v>
      </c>
      <c r="R117" s="265">
        <f>IFERROR(VLOOKUP($B117-1,CDM!$L$7:$T$18,5,FALSE)/12,0)+IFERROR(VLOOKUP($B117,CDM!$L$36:$T$46,5,FALSE)/24,0)+IFERROR(VLOOKUP($B117,CDM!$L$36:$T$46,5,FALSE)/2*$C117/78,0)</f>
        <v>1152079.5528402783</v>
      </c>
      <c r="S117" s="265">
        <f t="shared" si="32"/>
        <v>9361267.5528402776</v>
      </c>
      <c r="T117" s="265">
        <v>17713.7</v>
      </c>
      <c r="U117" s="265">
        <v>17</v>
      </c>
      <c r="V117" s="265">
        <v>3316007</v>
      </c>
      <c r="W117" s="265">
        <f>IFERROR(VLOOKUP($B117-1,CDM!$L$7:$T$18,6,FALSE)/12,0)+IFERROR(VLOOKUP($B117,CDM!$L$36:$T$46,6,FALSE)/24,0)+IFERROR(VLOOKUP($B117,CDM!$L$36:$T$46,6,FALSE)/2*$C117/78,0)</f>
        <v>62413.474304439951</v>
      </c>
      <c r="X117" s="265">
        <f t="shared" si="33"/>
        <v>3378420.47430444</v>
      </c>
      <c r="Y117" s="265">
        <v>6574.68</v>
      </c>
      <c r="Z117" s="265">
        <v>1</v>
      </c>
      <c r="AA117" s="4">
        <v>312048</v>
      </c>
      <c r="AB117" s="4">
        <v>1068.2</v>
      </c>
      <c r="AC117" s="265">
        <v>14448</v>
      </c>
      <c r="AD117" s="265">
        <v>2212.1999999999998</v>
      </c>
      <c r="AE117" s="265">
        <v>0</v>
      </c>
      <c r="AF117" s="265">
        <v>19</v>
      </c>
      <c r="AG117" s="4">
        <v>236533</v>
      </c>
      <c r="AH117" s="4">
        <v>258</v>
      </c>
      <c r="AI117" s="28">
        <f>Economic!H119</f>
        <v>878414.56419999991</v>
      </c>
      <c r="AJ117" s="28">
        <f>Economic!I119</f>
        <v>688913.47149999999</v>
      </c>
      <c r="AK117" s="28">
        <f>Economic!J119</f>
        <v>75612.206749999998</v>
      </c>
      <c r="AL117" s="28">
        <f>Economic!K119</f>
        <v>877865</v>
      </c>
      <c r="AM117" s="28">
        <f>Economic!L119</f>
        <v>698343</v>
      </c>
      <c r="AN117" s="28">
        <f>Economic!M119</f>
        <v>33895</v>
      </c>
      <c r="AO117" s="28">
        <f>Economic!D119</f>
        <v>8066.9</v>
      </c>
      <c r="AP117" s="28">
        <f>Economic!E119</f>
        <v>8147.2</v>
      </c>
      <c r="AQ117" s="28">
        <f>Economic!F119</f>
        <v>225.1</v>
      </c>
      <c r="AR117" s="28">
        <f>Economic!G119</f>
        <v>225.5</v>
      </c>
      <c r="AS117" s="28">
        <f>Economic!N119</f>
        <v>126.39999999999964</v>
      </c>
      <c r="AT117" s="28">
        <f>Economic!O119</f>
        <v>126.89999999999964</v>
      </c>
      <c r="AU117" s="28">
        <f>Economic!P119</f>
        <v>1.5999999999999943</v>
      </c>
      <c r="AV117" s="28">
        <f>Economic!Q119</f>
        <v>1.6999999999999886</v>
      </c>
      <c r="AW117" s="28">
        <f>Economic!R119</f>
        <v>12554.964199999929</v>
      </c>
      <c r="AX117" s="28">
        <f>Economic!S119</f>
        <v>730</v>
      </c>
      <c r="AY117" s="7">
        <f>Weather!D117</f>
        <v>20.479569892473116</v>
      </c>
      <c r="AZ117" s="7">
        <f>Weather!E117</f>
        <v>26.975000000000016</v>
      </c>
      <c r="BA117" s="7">
        <f>Weather!F117</f>
        <v>41.841666666666654</v>
      </c>
      <c r="BB117" s="7">
        <f>Weather!G117</f>
        <v>8.2333333333333432</v>
      </c>
      <c r="BC117" s="7">
        <f>Weather!H117</f>
        <v>85.09999999999998</v>
      </c>
      <c r="BD117" s="7">
        <f>Weather!I117</f>
        <v>1.7583333333333346</v>
      </c>
      <c r="BE117" s="7">
        <f>Weather!J117</f>
        <v>140.625</v>
      </c>
      <c r="BF117" s="7">
        <f>Weather!K117</f>
        <v>0</v>
      </c>
      <c r="BG117" s="7">
        <f>Weather!L117</f>
        <v>200.86666666666665</v>
      </c>
      <c r="BH117" s="7">
        <f>Weather!M117</f>
        <v>0</v>
      </c>
      <c r="BI117" s="7">
        <f>Weather!N117</f>
        <v>262.86666666666667</v>
      </c>
      <c r="BJ117" s="7">
        <f>Weather!O117</f>
        <v>0</v>
      </c>
      <c r="BK117" s="7">
        <f>Weather!P117</f>
        <v>324.86666666666667</v>
      </c>
      <c r="BL117" s="7">
        <f>Weather!Q117</f>
        <v>0</v>
      </c>
      <c r="BM117" s="7">
        <f>Weather!R117</f>
        <v>386.86666666666656</v>
      </c>
      <c r="BN117" s="1">
        <f t="shared" ref="BN117:CB117" si="78">BN105</f>
        <v>0</v>
      </c>
      <c r="BO117" s="1">
        <f t="shared" si="78"/>
        <v>0</v>
      </c>
      <c r="BP117" s="1">
        <f t="shared" si="78"/>
        <v>0</v>
      </c>
      <c r="BQ117" s="1">
        <f t="shared" si="78"/>
        <v>0</v>
      </c>
      <c r="BR117" s="1">
        <f t="shared" si="78"/>
        <v>0</v>
      </c>
      <c r="BS117" s="1">
        <f t="shared" si="78"/>
        <v>0</v>
      </c>
      <c r="BT117" s="1">
        <f t="shared" si="78"/>
        <v>0</v>
      </c>
      <c r="BU117" s="1">
        <f t="shared" si="78"/>
        <v>1</v>
      </c>
      <c r="BV117" s="1">
        <f t="shared" si="78"/>
        <v>0</v>
      </c>
      <c r="BW117" s="1">
        <f t="shared" si="78"/>
        <v>0</v>
      </c>
      <c r="BX117" s="1">
        <f t="shared" si="78"/>
        <v>0</v>
      </c>
      <c r="BY117" s="1">
        <f t="shared" si="78"/>
        <v>0</v>
      </c>
      <c r="BZ117" s="1">
        <f t="shared" si="78"/>
        <v>0</v>
      </c>
      <c r="CA117" s="1">
        <f t="shared" si="78"/>
        <v>0</v>
      </c>
      <c r="CB117" s="1">
        <f t="shared" si="78"/>
        <v>0</v>
      </c>
      <c r="CC117" s="1">
        <f t="shared" si="23"/>
        <v>116</v>
      </c>
      <c r="CD117" s="1">
        <f t="shared" si="43"/>
        <v>31</v>
      </c>
      <c r="CE117" s="1">
        <v>22</v>
      </c>
      <c r="CF117" s="1">
        <v>0</v>
      </c>
      <c r="CG117" s="1">
        <v>0</v>
      </c>
      <c r="CH117" s="1">
        <v>0.25</v>
      </c>
      <c r="CI117" s="1">
        <v>0</v>
      </c>
      <c r="CJ117" s="1">
        <f t="shared" si="50"/>
        <v>0</v>
      </c>
      <c r="CK117" s="1">
        <f t="shared" si="51"/>
        <v>0</v>
      </c>
      <c r="CL117" s="1">
        <f t="shared" si="52"/>
        <v>0</v>
      </c>
      <c r="CM117" s="1">
        <f t="shared" si="53"/>
        <v>0</v>
      </c>
      <c r="CN117" s="1">
        <f t="shared" si="54"/>
        <v>0</v>
      </c>
      <c r="CO117" s="1">
        <f t="shared" si="55"/>
        <v>0</v>
      </c>
      <c r="CP117" s="1">
        <f t="shared" si="56"/>
        <v>0</v>
      </c>
      <c r="CQ117" s="1">
        <f t="shared" si="57"/>
        <v>0</v>
      </c>
      <c r="CR117" s="1">
        <f t="shared" si="58"/>
        <v>0</v>
      </c>
      <c r="CS117" s="1">
        <f t="shared" si="59"/>
        <v>0</v>
      </c>
      <c r="CT117" s="1">
        <f t="shared" si="60"/>
        <v>0</v>
      </c>
      <c r="CU117" s="1">
        <f t="shared" si="61"/>
        <v>0</v>
      </c>
      <c r="CV117" s="1">
        <f t="shared" si="62"/>
        <v>0</v>
      </c>
      <c r="CW117" s="1">
        <f t="shared" si="63"/>
        <v>0</v>
      </c>
      <c r="CX117" s="1">
        <f t="shared" si="64"/>
        <v>6.7437500000000039</v>
      </c>
      <c r="CY117" s="1">
        <f t="shared" si="65"/>
        <v>10.460416666666664</v>
      </c>
      <c r="CZ117" s="1">
        <f t="shared" si="66"/>
        <v>2.0583333333333358</v>
      </c>
      <c r="DA117" s="1">
        <f t="shared" si="67"/>
        <v>21.274999999999995</v>
      </c>
      <c r="DB117" s="1">
        <f t="shared" si="68"/>
        <v>0.43958333333333366</v>
      </c>
      <c r="DC117" s="1">
        <f t="shared" si="69"/>
        <v>35.15625</v>
      </c>
      <c r="DD117" s="1">
        <f t="shared" si="70"/>
        <v>0</v>
      </c>
      <c r="DE117" s="1">
        <f t="shared" si="71"/>
        <v>50.216666666666661</v>
      </c>
      <c r="DF117" s="1">
        <f t="shared" si="72"/>
        <v>0</v>
      </c>
      <c r="DG117" s="1">
        <f t="shared" si="73"/>
        <v>65.716666666666669</v>
      </c>
      <c r="DH117" s="1">
        <f t="shared" si="74"/>
        <v>0</v>
      </c>
      <c r="DI117" s="1">
        <f t="shared" si="75"/>
        <v>81.216666666666669</v>
      </c>
      <c r="DJ117" s="1">
        <f t="shared" si="76"/>
        <v>0</v>
      </c>
      <c r="DK117" s="1">
        <f t="shared" si="77"/>
        <v>96.71666666666664</v>
      </c>
      <c r="DL117" s="25"/>
      <c r="DM117" s="25"/>
      <c r="DN117" s="24"/>
      <c r="DO117" s="25"/>
      <c r="DP117" s="25"/>
      <c r="DQ117" s="25"/>
      <c r="DR117" s="25"/>
      <c r="DS117" s="25"/>
      <c r="DT117" s="25"/>
      <c r="DU117" s="25"/>
      <c r="DV117" s="25"/>
    </row>
    <row r="118" spans="1:126" x14ac:dyDescent="0.25">
      <c r="A118" s="261">
        <v>45536</v>
      </c>
      <c r="B118" s="262">
        <f t="shared" si="44"/>
        <v>2024</v>
      </c>
      <c r="C118" s="262">
        <f t="shared" si="45"/>
        <v>9</v>
      </c>
      <c r="D118" s="263">
        <v>44670905</v>
      </c>
      <c r="E118" s="263">
        <f>IFERROR(VLOOKUP($B118-1,CDM!$L$7:$T$18,2,FALSE)/12,0)+IFERROR(VLOOKUP($B118,CDM!$L$36:$T$46,2,FALSE)/24,0)+IFERROR(VLOOKUP($B118,CDM!$L$36:$T$46,2,FALSE)/2*$C118/78,0)</f>
        <v>2653577.5012887553</v>
      </c>
      <c r="F118" s="263">
        <f t="shared" si="46"/>
        <v>47324482.501288757</v>
      </c>
      <c r="G118" s="264">
        <v>58188</v>
      </c>
      <c r="H118" s="263">
        <v>10303021</v>
      </c>
      <c r="I118" s="263">
        <f>IFERROR(VLOOKUP($B118-1,CDM!$L$7:$T$18,3,FALSE)/12,0)+IFERROR(VLOOKUP($B118,CDM!$L$36:$T$46,3,FALSE)/24,0)+IFERROR(VLOOKUP($B118,CDM!$L$36:$T$46,3,FALSE)/2*$C118/78,0)</f>
        <v>878780.46908871434</v>
      </c>
      <c r="J118" s="263">
        <f t="shared" si="47"/>
        <v>11181801.469088715</v>
      </c>
      <c r="K118" s="265">
        <v>4445</v>
      </c>
      <c r="L118" s="4">
        <v>22245261</v>
      </c>
      <c r="M118" s="266">
        <f>IFERROR(VLOOKUP($B118-1,CDM!$L$7:$T$18,4,FALSE)/12,0)+IFERROR(VLOOKUP($B118,CDM!$L$36:$T$46,4,FALSE)/24,0)+IFERROR(VLOOKUP($B118,CDM!$L$36:$T$46,4,FALSE)/2*$C118/78,0)</f>
        <v>1256751.7809036877</v>
      </c>
      <c r="N118" s="263">
        <f t="shared" si="48"/>
        <v>23502012.78090369</v>
      </c>
      <c r="O118" s="4">
        <v>64553.86</v>
      </c>
      <c r="P118" s="265">
        <v>520</v>
      </c>
      <c r="Q118" s="265">
        <v>7024729</v>
      </c>
      <c r="R118" s="265">
        <f>IFERROR(VLOOKUP($B118-1,CDM!$L$7:$T$18,5,FALSE)/12,0)+IFERROR(VLOOKUP($B118,CDM!$L$36:$T$46,5,FALSE)/24,0)+IFERROR(VLOOKUP($B118,CDM!$L$36:$T$46,5,FALSE)/2*$C118/78,0)</f>
        <v>1163852.6416320575</v>
      </c>
      <c r="S118" s="265">
        <f t="shared" si="32"/>
        <v>8188581.6416320577</v>
      </c>
      <c r="T118" s="265">
        <v>15746.9</v>
      </c>
      <c r="U118" s="265">
        <v>17</v>
      </c>
      <c r="V118" s="265">
        <v>3312867</v>
      </c>
      <c r="W118" s="265">
        <f>IFERROR(VLOOKUP($B118-1,CDM!$L$7:$T$18,6,FALSE)/12,0)+IFERROR(VLOOKUP($B118,CDM!$L$36:$T$46,6,FALSE)/24,0)+IFERROR(VLOOKUP($B118,CDM!$L$36:$T$46,6,FALSE)/2*$C118/78,0)</f>
        <v>63642.280587980349</v>
      </c>
      <c r="X118" s="265">
        <f t="shared" si="33"/>
        <v>3376509.2805879805</v>
      </c>
      <c r="Y118" s="265">
        <v>6461.28</v>
      </c>
      <c r="Z118" s="265">
        <v>1</v>
      </c>
      <c r="AA118" s="4">
        <v>316753</v>
      </c>
      <c r="AB118" s="4">
        <v>1068.2</v>
      </c>
      <c r="AC118" s="265">
        <v>14448</v>
      </c>
      <c r="AD118" s="265">
        <v>2285.94</v>
      </c>
      <c r="AE118" s="265">
        <v>0</v>
      </c>
      <c r="AF118" s="265">
        <v>19</v>
      </c>
      <c r="AG118" s="4">
        <v>239251</v>
      </c>
      <c r="AH118" s="4">
        <v>260</v>
      </c>
      <c r="AI118" s="28">
        <f>Economic!H120</f>
        <v>878414.56419999991</v>
      </c>
      <c r="AJ118" s="28">
        <f>Economic!I120</f>
        <v>688913.47149999999</v>
      </c>
      <c r="AK118" s="28">
        <f>Economic!J120</f>
        <v>75612.206749999998</v>
      </c>
      <c r="AL118" s="28">
        <f>Economic!K120</f>
        <v>877865</v>
      </c>
      <c r="AM118" s="28">
        <f>Economic!L120</f>
        <v>698343</v>
      </c>
      <c r="AN118" s="28">
        <f>Economic!M120</f>
        <v>33895</v>
      </c>
      <c r="AO118" s="28">
        <f>Economic!D120</f>
        <v>8086</v>
      </c>
      <c r="AP118" s="28">
        <f>Economic!E120</f>
        <v>8123.6</v>
      </c>
      <c r="AQ118" s="28">
        <f>Economic!F120</f>
        <v>226.9</v>
      </c>
      <c r="AR118" s="28">
        <f>Economic!G120</f>
        <v>225.9</v>
      </c>
      <c r="AS118" s="28">
        <f>Economic!N120</f>
        <v>141</v>
      </c>
      <c r="AT118" s="28">
        <f>Economic!O120</f>
        <v>155.20000000000073</v>
      </c>
      <c r="AU118" s="28">
        <f>Economic!P120</f>
        <v>3</v>
      </c>
      <c r="AV118" s="28">
        <f>Economic!Q120</f>
        <v>3.8000000000000114</v>
      </c>
      <c r="AW118" s="28">
        <f>Economic!R120</f>
        <v>12554.964199999929</v>
      </c>
      <c r="AX118" s="28">
        <f>Economic!S120</f>
        <v>730</v>
      </c>
      <c r="AY118" s="7">
        <f>Weather!D118</f>
        <v>17.709999999999997</v>
      </c>
      <c r="AZ118" s="7">
        <f>Weather!E118</f>
        <v>69.33750000000002</v>
      </c>
      <c r="BA118" s="7">
        <f>Weather!F118</f>
        <v>0.63750000000000284</v>
      </c>
      <c r="BB118" s="7">
        <f>Weather!G118</f>
        <v>29.36666666666666</v>
      </c>
      <c r="BC118" s="7">
        <f>Weather!H118</f>
        <v>20.666666666666679</v>
      </c>
      <c r="BD118" s="7">
        <f>Weather!I118</f>
        <v>10.920833333333333</v>
      </c>
      <c r="BE118" s="7">
        <f>Weather!J118</f>
        <v>62.220833333333331</v>
      </c>
      <c r="BF118" s="7">
        <f>Weather!K118</f>
        <v>2.5625000000000036</v>
      </c>
      <c r="BG118" s="7">
        <f>Weather!L118</f>
        <v>113.86250000000001</v>
      </c>
      <c r="BH118" s="7">
        <f>Weather!M118</f>
        <v>0</v>
      </c>
      <c r="BI118" s="7">
        <f>Weather!N118</f>
        <v>171.29999999999998</v>
      </c>
      <c r="BJ118" s="7">
        <f>Weather!O118</f>
        <v>0</v>
      </c>
      <c r="BK118" s="7">
        <f>Weather!P118</f>
        <v>231.3</v>
      </c>
      <c r="BL118" s="7">
        <f>Weather!Q118</f>
        <v>0</v>
      </c>
      <c r="BM118" s="7">
        <f>Weather!R118</f>
        <v>291.30000000000007</v>
      </c>
      <c r="BN118" s="1">
        <f t="shared" ref="BN118:CB118" si="79">BN106</f>
        <v>0</v>
      </c>
      <c r="BO118" s="1">
        <f t="shared" si="79"/>
        <v>0</v>
      </c>
      <c r="BP118" s="1">
        <f t="shared" si="79"/>
        <v>0</v>
      </c>
      <c r="BQ118" s="1">
        <f t="shared" si="79"/>
        <v>0</v>
      </c>
      <c r="BR118" s="1">
        <f t="shared" si="79"/>
        <v>0</v>
      </c>
      <c r="BS118" s="1">
        <f t="shared" si="79"/>
        <v>0</v>
      </c>
      <c r="BT118" s="1">
        <f t="shared" si="79"/>
        <v>0</v>
      </c>
      <c r="BU118" s="1">
        <f t="shared" si="79"/>
        <v>0</v>
      </c>
      <c r="BV118" s="1">
        <f t="shared" si="79"/>
        <v>1</v>
      </c>
      <c r="BW118" s="1">
        <f t="shared" si="79"/>
        <v>0</v>
      </c>
      <c r="BX118" s="1">
        <f t="shared" si="79"/>
        <v>0</v>
      </c>
      <c r="BY118" s="1">
        <f t="shared" si="79"/>
        <v>0</v>
      </c>
      <c r="BZ118" s="1">
        <f t="shared" si="79"/>
        <v>0</v>
      </c>
      <c r="CA118" s="1">
        <f t="shared" si="79"/>
        <v>1</v>
      </c>
      <c r="CB118" s="1">
        <f t="shared" si="79"/>
        <v>1</v>
      </c>
      <c r="CC118" s="1">
        <f>1+CC117</f>
        <v>117</v>
      </c>
      <c r="CD118" s="1">
        <f t="shared" si="43"/>
        <v>30</v>
      </c>
      <c r="CE118" s="1">
        <v>20</v>
      </c>
      <c r="CF118" s="1">
        <v>0</v>
      </c>
      <c r="CG118" s="1">
        <v>0</v>
      </c>
      <c r="CH118" s="1">
        <v>0.25</v>
      </c>
      <c r="CI118" s="1">
        <v>0</v>
      </c>
      <c r="CJ118" s="1">
        <f t="shared" si="50"/>
        <v>0</v>
      </c>
      <c r="CK118" s="1">
        <f t="shared" si="51"/>
        <v>0</v>
      </c>
      <c r="CL118" s="1">
        <f t="shared" si="52"/>
        <v>0</v>
      </c>
      <c r="CM118" s="1">
        <f t="shared" si="53"/>
        <v>0</v>
      </c>
      <c r="CN118" s="1">
        <f t="shared" si="54"/>
        <v>0</v>
      </c>
      <c r="CO118" s="1">
        <f t="shared" si="55"/>
        <v>0</v>
      </c>
      <c r="CP118" s="1">
        <f t="shared" si="56"/>
        <v>0</v>
      </c>
      <c r="CQ118" s="1">
        <f t="shared" si="57"/>
        <v>0</v>
      </c>
      <c r="CR118" s="1">
        <f t="shared" si="58"/>
        <v>0</v>
      </c>
      <c r="CS118" s="1">
        <f t="shared" si="59"/>
        <v>0</v>
      </c>
      <c r="CT118" s="1">
        <f t="shared" si="60"/>
        <v>0</v>
      </c>
      <c r="CU118" s="1">
        <f t="shared" si="61"/>
        <v>0</v>
      </c>
      <c r="CV118" s="1">
        <f t="shared" si="62"/>
        <v>0</v>
      </c>
      <c r="CW118" s="1">
        <f t="shared" si="63"/>
        <v>0</v>
      </c>
      <c r="CX118" s="1">
        <f t="shared" si="64"/>
        <v>17.334375000000005</v>
      </c>
      <c r="CY118" s="1">
        <f t="shared" si="65"/>
        <v>0.15937500000000071</v>
      </c>
      <c r="CZ118" s="1">
        <f t="shared" si="66"/>
        <v>7.341666666666665</v>
      </c>
      <c r="DA118" s="1">
        <f t="shared" si="67"/>
        <v>5.1666666666666696</v>
      </c>
      <c r="DB118" s="1">
        <f t="shared" si="68"/>
        <v>2.7302083333333331</v>
      </c>
      <c r="DC118" s="1">
        <f t="shared" si="69"/>
        <v>15.555208333333333</v>
      </c>
      <c r="DD118" s="1">
        <f t="shared" si="70"/>
        <v>0.64062500000000089</v>
      </c>
      <c r="DE118" s="1">
        <f t="shared" si="71"/>
        <v>28.465625000000003</v>
      </c>
      <c r="DF118" s="1">
        <f t="shared" si="72"/>
        <v>0</v>
      </c>
      <c r="DG118" s="1">
        <f t="shared" si="73"/>
        <v>42.824999999999996</v>
      </c>
      <c r="DH118" s="1">
        <f t="shared" si="74"/>
        <v>0</v>
      </c>
      <c r="DI118" s="1">
        <f t="shared" si="75"/>
        <v>57.825000000000003</v>
      </c>
      <c r="DJ118" s="1">
        <f t="shared" si="76"/>
        <v>0</v>
      </c>
      <c r="DK118" s="1">
        <f t="shared" si="77"/>
        <v>72.825000000000017</v>
      </c>
      <c r="DL118" s="25"/>
      <c r="DM118" s="25"/>
      <c r="DN118" s="24"/>
      <c r="DO118" s="25"/>
      <c r="DP118" s="25"/>
      <c r="DQ118" s="25"/>
      <c r="DR118" s="25"/>
      <c r="DS118" s="25"/>
      <c r="DT118" s="25"/>
      <c r="DU118" s="25"/>
      <c r="DV118" s="25"/>
    </row>
    <row r="119" spans="1:126" x14ac:dyDescent="0.25">
      <c r="A119" s="261">
        <v>45566</v>
      </c>
      <c r="B119" s="262">
        <f t="shared" si="44"/>
        <v>2024</v>
      </c>
      <c r="C119" s="262">
        <f t="shared" si="45"/>
        <v>10</v>
      </c>
      <c r="D119" s="263">
        <v>37233538</v>
      </c>
      <c r="E119" s="263">
        <f>IFERROR(VLOOKUP($B119-1,CDM!$L$7:$T$18,2,FALSE)/12,0)+IFERROR(VLOOKUP($B119,CDM!$L$36:$T$46,2,FALSE)/24,0)+IFERROR(VLOOKUP($B119,CDM!$L$36:$T$46,2,FALSE)/2*$C119/78,0)</f>
        <v>2662766.3187037031</v>
      </c>
      <c r="F119" s="263">
        <f t="shared" si="46"/>
        <v>39896304.318703704</v>
      </c>
      <c r="G119" s="264">
        <v>58092</v>
      </c>
      <c r="H119" s="263">
        <v>9663582</v>
      </c>
      <c r="I119" s="263">
        <f>IFERROR(VLOOKUP($B119-1,CDM!$L$7:$T$18,3,FALSE)/12,0)+IFERROR(VLOOKUP($B119,CDM!$L$36:$T$46,3,FALSE)/24,0)+IFERROR(VLOOKUP($B119,CDM!$L$36:$T$46,3,FALSE)/2*$C119/78,0)</f>
        <v>887822.74274105695</v>
      </c>
      <c r="J119" s="263">
        <f t="shared" si="47"/>
        <v>10551404.742741058</v>
      </c>
      <c r="K119" s="265">
        <v>4447</v>
      </c>
      <c r="L119" s="4">
        <v>23437903</v>
      </c>
      <c r="M119" s="266">
        <f>IFERROR(VLOOKUP($B119-1,CDM!$L$7:$T$18,4,FALSE)/12,0)+IFERROR(VLOOKUP($B119,CDM!$L$36:$T$46,4,FALSE)/24,0)+IFERROR(VLOOKUP($B119,CDM!$L$36:$T$46,4,FALSE)/2*$C119/78,0)</f>
        <v>1271382.492626657</v>
      </c>
      <c r="N119" s="263">
        <f t="shared" si="48"/>
        <v>24709285.492626656</v>
      </c>
      <c r="O119" s="4">
        <v>66150.739999999991</v>
      </c>
      <c r="P119" s="265">
        <v>520</v>
      </c>
      <c r="Q119" s="265">
        <v>6364849</v>
      </c>
      <c r="R119" s="265">
        <f>IFERROR(VLOOKUP($B119-1,CDM!$L$7:$T$18,5,FALSE)/12,0)+IFERROR(VLOOKUP($B119,CDM!$L$36:$T$46,5,FALSE)/24,0)+IFERROR(VLOOKUP($B119,CDM!$L$36:$T$46,5,FALSE)/2*$C119/78,0)</f>
        <v>1175625.730423837</v>
      </c>
      <c r="S119" s="265">
        <f t="shared" si="32"/>
        <v>7540474.730423837</v>
      </c>
      <c r="T119" s="265">
        <v>15328.2</v>
      </c>
      <c r="U119" s="265">
        <v>17</v>
      </c>
      <c r="V119" s="265">
        <v>3279056</v>
      </c>
      <c r="W119" s="265">
        <f>IFERROR(VLOOKUP($B119-1,CDM!$L$7:$T$18,6,FALSE)/12,0)+IFERROR(VLOOKUP($B119,CDM!$L$36:$T$46,6,FALSE)/24,0)+IFERROR(VLOOKUP($B119,CDM!$L$36:$T$46,6,FALSE)/2*$C119/78,0)</f>
        <v>64871.086871520747</v>
      </c>
      <c r="X119" s="265">
        <f t="shared" si="33"/>
        <v>3343927.0868715206</v>
      </c>
      <c r="Y119" s="265">
        <v>7414.68</v>
      </c>
      <c r="Z119" s="265">
        <v>1</v>
      </c>
      <c r="AA119" s="4">
        <v>438478</v>
      </c>
      <c r="AB119" s="4">
        <v>1068.2</v>
      </c>
      <c r="AC119" s="265">
        <v>14448</v>
      </c>
      <c r="AD119" s="265">
        <v>2212.1999999999998</v>
      </c>
      <c r="AE119" s="265">
        <v>0</v>
      </c>
      <c r="AF119" s="265">
        <v>19</v>
      </c>
      <c r="AG119" s="4">
        <v>239028</v>
      </c>
      <c r="AH119" s="4">
        <v>260</v>
      </c>
      <c r="AI119" s="28">
        <f>Economic!H121</f>
        <v>878414.56419999991</v>
      </c>
      <c r="AJ119" s="28">
        <f>Economic!I121</f>
        <v>688913.47149999999</v>
      </c>
      <c r="AK119" s="28">
        <f>Economic!J121</f>
        <v>75612.206749999998</v>
      </c>
      <c r="AL119" s="28">
        <f>Economic!K121</f>
        <v>882184.85199999996</v>
      </c>
      <c r="AM119" s="28">
        <f>Economic!L121</f>
        <v>696368.01749999996</v>
      </c>
      <c r="AN119" s="28">
        <f>Economic!M121</f>
        <v>33982.7065</v>
      </c>
      <c r="AO119" s="28">
        <f>Economic!D121</f>
        <v>8094</v>
      </c>
      <c r="AP119" s="28">
        <f>Economic!E121</f>
        <v>8109.5</v>
      </c>
      <c r="AQ119" s="28">
        <f>Economic!F121</f>
        <v>228.7</v>
      </c>
      <c r="AR119" s="28">
        <f>Economic!G121</f>
        <v>225.9</v>
      </c>
      <c r="AS119" s="28">
        <f>Economic!N121</f>
        <v>144.19999999999982</v>
      </c>
      <c r="AT119" s="28">
        <f>Economic!O121</f>
        <v>162.30000000000018</v>
      </c>
      <c r="AU119" s="28">
        <f>Economic!P121</f>
        <v>5.5999999999999943</v>
      </c>
      <c r="AV119" s="28">
        <f>Economic!Q121</f>
        <v>5.2000000000000171</v>
      </c>
      <c r="AW119" s="28">
        <f>Economic!R121</f>
        <v>12554.964199999929</v>
      </c>
      <c r="AX119" s="28">
        <f>Economic!S121</f>
        <v>4319.8519999999553</v>
      </c>
      <c r="AY119" s="7">
        <f>Weather!D119</f>
        <v>10.453494623655915</v>
      </c>
      <c r="AZ119" s="7">
        <f>Weather!E119</f>
        <v>295.94166666666661</v>
      </c>
      <c r="BA119" s="7">
        <f>Weather!F119</f>
        <v>0</v>
      </c>
      <c r="BB119" s="7">
        <f>Weather!G119</f>
        <v>233.94166666666658</v>
      </c>
      <c r="BC119" s="7">
        <f>Weather!H119</f>
        <v>0</v>
      </c>
      <c r="BD119" s="7">
        <f>Weather!I119</f>
        <v>174.98749999999998</v>
      </c>
      <c r="BE119" s="7">
        <f>Weather!J119</f>
        <v>3.0458333333333378</v>
      </c>
      <c r="BF119" s="7">
        <f>Weather!K119</f>
        <v>122.06250000000001</v>
      </c>
      <c r="BG119" s="7">
        <f>Weather!L119</f>
        <v>12.120833333333337</v>
      </c>
      <c r="BH119" s="7">
        <f>Weather!M119</f>
        <v>79.04583333333332</v>
      </c>
      <c r="BI119" s="7">
        <f>Weather!N119</f>
        <v>31.104166666666679</v>
      </c>
      <c r="BJ119" s="7">
        <f>Weather!O119</f>
        <v>46.029166666666669</v>
      </c>
      <c r="BK119" s="7">
        <f>Weather!P119</f>
        <v>60.087500000000006</v>
      </c>
      <c r="BL119" s="7">
        <f>Weather!Q119</f>
        <v>18.616666666666671</v>
      </c>
      <c r="BM119" s="7">
        <f>Weather!R119</f>
        <v>94.675000000000011</v>
      </c>
      <c r="BN119" s="1">
        <f t="shared" ref="BN119:CB119" si="80">BN107</f>
        <v>0</v>
      </c>
      <c r="BO119" s="1">
        <f t="shared" si="80"/>
        <v>0</v>
      </c>
      <c r="BP119" s="1">
        <f t="shared" si="80"/>
        <v>0</v>
      </c>
      <c r="BQ119" s="1">
        <f t="shared" si="80"/>
        <v>0</v>
      </c>
      <c r="BR119" s="1">
        <f t="shared" si="80"/>
        <v>0</v>
      </c>
      <c r="BS119" s="1">
        <f t="shared" si="80"/>
        <v>0</v>
      </c>
      <c r="BT119" s="1">
        <f t="shared" si="80"/>
        <v>0</v>
      </c>
      <c r="BU119" s="1">
        <f t="shared" si="80"/>
        <v>0</v>
      </c>
      <c r="BV119" s="1">
        <f t="shared" si="80"/>
        <v>0</v>
      </c>
      <c r="BW119" s="1">
        <f t="shared" si="80"/>
        <v>1</v>
      </c>
      <c r="BX119" s="1">
        <f t="shared" si="80"/>
        <v>0</v>
      </c>
      <c r="BY119" s="1">
        <f t="shared" si="80"/>
        <v>0</v>
      </c>
      <c r="BZ119" s="1">
        <f t="shared" si="80"/>
        <v>0</v>
      </c>
      <c r="CA119" s="1">
        <f t="shared" si="80"/>
        <v>1</v>
      </c>
      <c r="CB119" s="1">
        <f t="shared" si="80"/>
        <v>1</v>
      </c>
      <c r="CC119" s="1">
        <f>1+CC118</f>
        <v>118</v>
      </c>
      <c r="CD119" s="1">
        <f t="shared" si="43"/>
        <v>31</v>
      </c>
      <c r="CE119" s="1">
        <v>22</v>
      </c>
      <c r="CF119" s="1">
        <v>0</v>
      </c>
      <c r="CG119" s="1">
        <v>0</v>
      </c>
      <c r="CH119" s="1">
        <v>0.25</v>
      </c>
      <c r="CI119" s="1">
        <v>0</v>
      </c>
      <c r="CJ119" s="1">
        <f t="shared" si="50"/>
        <v>0</v>
      </c>
      <c r="CK119" s="1">
        <f t="shared" si="51"/>
        <v>0</v>
      </c>
      <c r="CL119" s="1">
        <f t="shared" si="52"/>
        <v>0</v>
      </c>
      <c r="CM119" s="1">
        <f t="shared" si="53"/>
        <v>0</v>
      </c>
      <c r="CN119" s="1">
        <f t="shared" si="54"/>
        <v>0</v>
      </c>
      <c r="CO119" s="1">
        <f t="shared" si="55"/>
        <v>0</v>
      </c>
      <c r="CP119" s="1">
        <f t="shared" si="56"/>
        <v>0</v>
      </c>
      <c r="CQ119" s="1">
        <f t="shared" si="57"/>
        <v>0</v>
      </c>
      <c r="CR119" s="1">
        <f t="shared" si="58"/>
        <v>0</v>
      </c>
      <c r="CS119" s="1">
        <f t="shared" si="59"/>
        <v>0</v>
      </c>
      <c r="CT119" s="1">
        <f t="shared" si="60"/>
        <v>0</v>
      </c>
      <c r="CU119" s="1">
        <f t="shared" si="61"/>
        <v>0</v>
      </c>
      <c r="CV119" s="1">
        <f t="shared" si="62"/>
        <v>0</v>
      </c>
      <c r="CW119" s="1">
        <f t="shared" si="63"/>
        <v>0</v>
      </c>
      <c r="CX119" s="1">
        <f t="shared" si="64"/>
        <v>73.985416666666652</v>
      </c>
      <c r="CY119" s="1">
        <f t="shared" si="65"/>
        <v>0</v>
      </c>
      <c r="CZ119" s="1">
        <f t="shared" si="66"/>
        <v>58.485416666666644</v>
      </c>
      <c r="DA119" s="1">
        <f t="shared" si="67"/>
        <v>0</v>
      </c>
      <c r="DB119" s="1">
        <f t="shared" si="68"/>
        <v>43.746874999999996</v>
      </c>
      <c r="DC119" s="1">
        <f t="shared" si="69"/>
        <v>0.76145833333333446</v>
      </c>
      <c r="DD119" s="1">
        <f t="shared" si="70"/>
        <v>30.515625000000004</v>
      </c>
      <c r="DE119" s="1">
        <f t="shared" si="71"/>
        <v>3.0302083333333343</v>
      </c>
      <c r="DF119" s="1">
        <f t="shared" si="72"/>
        <v>19.76145833333333</v>
      </c>
      <c r="DG119" s="1">
        <f t="shared" si="73"/>
        <v>7.7760416666666696</v>
      </c>
      <c r="DH119" s="1">
        <f t="shared" si="74"/>
        <v>11.507291666666667</v>
      </c>
      <c r="DI119" s="1">
        <f t="shared" si="75"/>
        <v>15.021875000000001</v>
      </c>
      <c r="DJ119" s="1">
        <f t="shared" si="76"/>
        <v>4.6541666666666677</v>
      </c>
      <c r="DK119" s="1">
        <f t="shared" si="77"/>
        <v>23.668750000000003</v>
      </c>
      <c r="DL119" s="25"/>
      <c r="DM119" s="25"/>
      <c r="DN119" s="24"/>
      <c r="DO119" s="25"/>
      <c r="DP119" s="25"/>
      <c r="DQ119" s="25"/>
      <c r="DR119" s="25"/>
      <c r="DS119" s="25"/>
      <c r="DT119" s="25"/>
      <c r="DU119" s="25"/>
      <c r="DV119" s="25"/>
    </row>
    <row r="120" spans="1:126" x14ac:dyDescent="0.25">
      <c r="A120" s="261">
        <v>45597</v>
      </c>
      <c r="B120" s="262">
        <f t="shared" si="44"/>
        <v>2024</v>
      </c>
      <c r="C120" s="262">
        <f t="shared" si="45"/>
        <v>11</v>
      </c>
      <c r="D120" s="263">
        <v>38274365</v>
      </c>
      <c r="E120" s="263">
        <f>IFERROR(VLOOKUP($B120-1,CDM!$L$7:$T$18,2,FALSE)/12,0)+IFERROR(VLOOKUP($B120,CDM!$L$36:$T$46,2,FALSE)/24,0)+IFERROR(VLOOKUP($B120,CDM!$L$36:$T$46,2,FALSE)/2*$C120/78,0)</f>
        <v>2671955.1361186514</v>
      </c>
      <c r="F120" s="263">
        <f t="shared" si="46"/>
        <v>40946320.13611865</v>
      </c>
      <c r="G120" s="264">
        <v>58153</v>
      </c>
      <c r="H120" s="263">
        <v>10253580</v>
      </c>
      <c r="I120" s="263">
        <f>IFERROR(VLOOKUP($B120-1,CDM!$L$7:$T$18,3,FALSE)/12,0)+IFERROR(VLOOKUP($B120,CDM!$L$36:$T$46,3,FALSE)/24,0)+IFERROR(VLOOKUP($B120,CDM!$L$36:$T$46,3,FALSE)/2*$C120/78,0)</f>
        <v>896865.01639339956</v>
      </c>
      <c r="J120" s="263">
        <f t="shared" si="47"/>
        <v>11150445.016393399</v>
      </c>
      <c r="K120" s="265">
        <v>4465</v>
      </c>
      <c r="L120" s="4">
        <v>26339570</v>
      </c>
      <c r="M120" s="266">
        <f>IFERROR(VLOOKUP($B120-1,CDM!$L$7:$T$18,4,FALSE)/12,0)+IFERROR(VLOOKUP($B120,CDM!$L$36:$T$46,4,FALSE)/24,0)+IFERROR(VLOOKUP($B120,CDM!$L$36:$T$46,4,FALSE)/2*$C120/78,0)</f>
        <v>1286013.2043496263</v>
      </c>
      <c r="N120" s="263">
        <f t="shared" si="48"/>
        <v>27625583.204349626</v>
      </c>
      <c r="O120" s="4">
        <v>73923.484480000014</v>
      </c>
      <c r="P120" s="265">
        <v>520</v>
      </c>
      <c r="Q120" s="265">
        <v>5936890</v>
      </c>
      <c r="R120" s="265">
        <f>IFERROR(VLOOKUP($B120-1,CDM!$L$7:$T$18,5,FALSE)/12,0)+IFERROR(VLOOKUP($B120,CDM!$L$36:$T$46,5,FALSE)/24,0)+IFERROR(VLOOKUP($B120,CDM!$L$36:$T$46,5,FALSE)/2*$C120/78,0)</f>
        <v>1187398.8192156164</v>
      </c>
      <c r="S120" s="265">
        <f t="shared" si="32"/>
        <v>7124288.8192156162</v>
      </c>
      <c r="T120" s="265">
        <v>13957.5</v>
      </c>
      <c r="U120" s="265">
        <v>17</v>
      </c>
      <c r="V120" s="265">
        <v>3208594</v>
      </c>
      <c r="W120" s="265">
        <f>IFERROR(VLOOKUP($B120-1,CDM!$L$7:$T$18,6,FALSE)/12,0)+IFERROR(VLOOKUP($B120,CDM!$L$36:$T$46,6,FALSE)/24,0)+IFERROR(VLOOKUP($B120,CDM!$L$36:$T$46,6,FALSE)/2*$C120/78,0)</f>
        <v>66099.893155061145</v>
      </c>
      <c r="X120" s="265">
        <f t="shared" si="33"/>
        <v>3274693.8931550612</v>
      </c>
      <c r="Y120" s="265">
        <v>6381.1292159999994</v>
      </c>
      <c r="Z120" s="265">
        <v>1</v>
      </c>
      <c r="AA120" s="4">
        <v>462324.19261614507</v>
      </c>
      <c r="AB120" s="4">
        <v>1068.2</v>
      </c>
      <c r="AC120" s="265">
        <v>14448</v>
      </c>
      <c r="AD120" s="265">
        <v>1953.3</v>
      </c>
      <c r="AE120" s="265">
        <v>0</v>
      </c>
      <c r="AF120" s="265">
        <v>19</v>
      </c>
      <c r="AG120" s="4">
        <v>239618</v>
      </c>
      <c r="AH120" s="4">
        <v>261</v>
      </c>
      <c r="AI120" s="28">
        <f>Economic!H122</f>
        <v>878414.56419999991</v>
      </c>
      <c r="AJ120" s="28">
        <f>Economic!I122</f>
        <v>688913.47149999999</v>
      </c>
      <c r="AK120" s="28">
        <f>Economic!J122</f>
        <v>75612.206749999998</v>
      </c>
      <c r="AL120" s="28">
        <f>Economic!K122</f>
        <v>882184.85199999996</v>
      </c>
      <c r="AM120" s="28">
        <f>Economic!L122</f>
        <v>696368.01749999996</v>
      </c>
      <c r="AN120" s="28">
        <f>Economic!M122</f>
        <v>33982.7065</v>
      </c>
      <c r="AO120" s="28">
        <f>Economic!D122</f>
        <v>8102.8</v>
      </c>
      <c r="AP120" s="28">
        <f>Economic!E122</f>
        <v>8101.2</v>
      </c>
      <c r="AQ120" s="28">
        <f>Economic!F122</f>
        <v>228.7</v>
      </c>
      <c r="AR120" s="28">
        <f>Economic!G122</f>
        <v>225.9</v>
      </c>
      <c r="AS120" s="28">
        <f>Economic!N122</f>
        <v>149.40000000000055</v>
      </c>
      <c r="AT120" s="28">
        <f>Economic!O122</f>
        <v>161.89999999999964</v>
      </c>
      <c r="AU120" s="28">
        <f>Economic!P122</f>
        <v>3.7999999999999829</v>
      </c>
      <c r="AV120" s="28">
        <f>Economic!Q122</f>
        <v>2.8000000000000114</v>
      </c>
      <c r="AW120" s="28">
        <f>Economic!R122</f>
        <v>12554.964199999929</v>
      </c>
      <c r="AX120" s="28">
        <f>Economic!S122</f>
        <v>4319.8519999999553</v>
      </c>
      <c r="AY120" s="7">
        <f>Weather!D120</f>
        <v>5.790277777777777</v>
      </c>
      <c r="AZ120" s="7">
        <f>Weather!E120</f>
        <v>426.29166666666663</v>
      </c>
      <c r="BA120" s="7">
        <f>Weather!F120</f>
        <v>0</v>
      </c>
      <c r="BB120" s="7">
        <f>Weather!G120</f>
        <v>366.29166666666663</v>
      </c>
      <c r="BC120" s="7">
        <f>Weather!H120</f>
        <v>0</v>
      </c>
      <c r="BD120" s="7">
        <f>Weather!I120</f>
        <v>307.79583333333329</v>
      </c>
      <c r="BE120" s="7">
        <f>Weather!J120</f>
        <v>1.5041666666666629</v>
      </c>
      <c r="BF120" s="7">
        <f>Weather!K120</f>
        <v>251.79583333333335</v>
      </c>
      <c r="BG120" s="7">
        <f>Weather!L120</f>
        <v>5.5041666666666629</v>
      </c>
      <c r="BH120" s="7">
        <f>Weather!M120</f>
        <v>195.79583333333335</v>
      </c>
      <c r="BI120" s="7">
        <f>Weather!N120</f>
        <v>9.5041666666666629</v>
      </c>
      <c r="BJ120" s="7">
        <f>Weather!O120</f>
        <v>141.32083333333335</v>
      </c>
      <c r="BK120" s="7">
        <f>Weather!P120</f>
        <v>15.029166666666661</v>
      </c>
      <c r="BL120" s="7">
        <f>Weather!Q120</f>
        <v>93.433333333333351</v>
      </c>
      <c r="BM120" s="7">
        <f>Weather!R120</f>
        <v>27.141666666666666</v>
      </c>
      <c r="BN120" s="1">
        <f t="shared" ref="BN120:CB120" si="81">BN108</f>
        <v>0</v>
      </c>
      <c r="BO120" s="1">
        <f t="shared" si="81"/>
        <v>0</v>
      </c>
      <c r="BP120" s="1">
        <f t="shared" si="81"/>
        <v>0</v>
      </c>
      <c r="BQ120" s="1">
        <f t="shared" si="81"/>
        <v>0</v>
      </c>
      <c r="BR120" s="1">
        <f t="shared" si="81"/>
        <v>0</v>
      </c>
      <c r="BS120" s="1">
        <f t="shared" si="81"/>
        <v>0</v>
      </c>
      <c r="BT120" s="1">
        <f t="shared" si="81"/>
        <v>0</v>
      </c>
      <c r="BU120" s="1">
        <f t="shared" si="81"/>
        <v>0</v>
      </c>
      <c r="BV120" s="1">
        <f t="shared" si="81"/>
        <v>0</v>
      </c>
      <c r="BW120" s="1">
        <f t="shared" si="81"/>
        <v>0</v>
      </c>
      <c r="BX120" s="1">
        <f t="shared" si="81"/>
        <v>1</v>
      </c>
      <c r="BY120" s="1">
        <f t="shared" si="81"/>
        <v>0</v>
      </c>
      <c r="BZ120" s="1">
        <f t="shared" si="81"/>
        <v>0</v>
      </c>
      <c r="CA120" s="1">
        <f t="shared" si="81"/>
        <v>1</v>
      </c>
      <c r="CB120" s="1">
        <f t="shared" si="81"/>
        <v>1</v>
      </c>
      <c r="CC120" s="1">
        <f>1+CC119</f>
        <v>119</v>
      </c>
      <c r="CD120" s="1">
        <f t="shared" si="43"/>
        <v>30</v>
      </c>
      <c r="CE120" s="1">
        <v>21</v>
      </c>
      <c r="CF120" s="1">
        <v>0</v>
      </c>
      <c r="CG120" s="1">
        <v>0</v>
      </c>
      <c r="CH120" s="1">
        <v>0.25</v>
      </c>
      <c r="CI120" s="1">
        <v>0</v>
      </c>
      <c r="CJ120" s="1">
        <f t="shared" si="50"/>
        <v>0</v>
      </c>
      <c r="CK120" s="1">
        <f t="shared" si="51"/>
        <v>0</v>
      </c>
      <c r="CL120" s="1">
        <f t="shared" si="52"/>
        <v>0</v>
      </c>
      <c r="CM120" s="1">
        <f t="shared" si="53"/>
        <v>0</v>
      </c>
      <c r="CN120" s="1">
        <f t="shared" si="54"/>
        <v>0</v>
      </c>
      <c r="CO120" s="1">
        <f t="shared" si="55"/>
        <v>0</v>
      </c>
      <c r="CP120" s="1">
        <f t="shared" si="56"/>
        <v>0</v>
      </c>
      <c r="CQ120" s="1">
        <f t="shared" si="57"/>
        <v>0</v>
      </c>
      <c r="CR120" s="1">
        <f t="shared" si="58"/>
        <v>0</v>
      </c>
      <c r="CS120" s="1">
        <f t="shared" si="59"/>
        <v>0</v>
      </c>
      <c r="CT120" s="1">
        <f t="shared" si="60"/>
        <v>0</v>
      </c>
      <c r="CU120" s="1">
        <f t="shared" si="61"/>
        <v>0</v>
      </c>
      <c r="CV120" s="1">
        <f t="shared" si="62"/>
        <v>0</v>
      </c>
      <c r="CW120" s="1">
        <f t="shared" si="63"/>
        <v>0</v>
      </c>
      <c r="CX120" s="1">
        <f t="shared" si="64"/>
        <v>106.57291666666666</v>
      </c>
      <c r="CY120" s="1">
        <f t="shared" si="65"/>
        <v>0</v>
      </c>
      <c r="CZ120" s="1">
        <f t="shared" si="66"/>
        <v>91.572916666666657</v>
      </c>
      <c r="DA120" s="1">
        <f t="shared" si="67"/>
        <v>0</v>
      </c>
      <c r="DB120" s="1">
        <f t="shared" si="68"/>
        <v>76.948958333333323</v>
      </c>
      <c r="DC120" s="1">
        <f t="shared" si="69"/>
        <v>0.37604166666666572</v>
      </c>
      <c r="DD120" s="1">
        <f t="shared" si="70"/>
        <v>62.948958333333337</v>
      </c>
      <c r="DE120" s="1">
        <f t="shared" si="71"/>
        <v>1.3760416666666657</v>
      </c>
      <c r="DF120" s="1">
        <f t="shared" si="72"/>
        <v>48.948958333333337</v>
      </c>
      <c r="DG120" s="1">
        <f t="shared" si="73"/>
        <v>2.3760416666666657</v>
      </c>
      <c r="DH120" s="1">
        <f t="shared" si="74"/>
        <v>35.330208333333339</v>
      </c>
      <c r="DI120" s="1">
        <f t="shared" si="75"/>
        <v>3.7572916666666654</v>
      </c>
      <c r="DJ120" s="1">
        <f t="shared" si="76"/>
        <v>23.358333333333338</v>
      </c>
      <c r="DK120" s="1">
        <f t="shared" si="77"/>
        <v>6.7854166666666664</v>
      </c>
      <c r="DL120" s="25"/>
      <c r="DM120" s="25"/>
      <c r="DN120" s="24"/>
      <c r="DO120" s="25"/>
      <c r="DP120" s="25"/>
      <c r="DQ120" s="25"/>
      <c r="DR120" s="25"/>
      <c r="DS120" s="25"/>
      <c r="DT120" s="25"/>
      <c r="DU120" s="25"/>
      <c r="DV120" s="25"/>
    </row>
    <row r="121" spans="1:126" x14ac:dyDescent="0.25">
      <c r="A121" s="261">
        <v>45627</v>
      </c>
      <c r="B121" s="262">
        <f t="shared" si="44"/>
        <v>2024</v>
      </c>
      <c r="C121" s="262">
        <f t="shared" si="45"/>
        <v>12</v>
      </c>
      <c r="D121" s="263">
        <v>45303077</v>
      </c>
      <c r="E121" s="263">
        <f>IFERROR(VLOOKUP($B121-1,CDM!$L$7:$T$18,2,FALSE)/12,0)+IFERROR(VLOOKUP($B121,CDM!$L$36:$T$46,2,FALSE)/24,0)+IFERROR(VLOOKUP($B121,CDM!$L$36:$T$46,2,FALSE)/2*$C121/78,0)</f>
        <v>2681143.9535335992</v>
      </c>
      <c r="F121" s="263">
        <f t="shared" si="46"/>
        <v>47984220.953533597</v>
      </c>
      <c r="G121" s="264">
        <v>58046</v>
      </c>
      <c r="H121" s="263">
        <v>12100762</v>
      </c>
      <c r="I121" s="263">
        <f>IFERROR(VLOOKUP($B121-1,CDM!$L$7:$T$18,3,FALSE)/12,0)+IFERROR(VLOOKUP($B121,CDM!$L$36:$T$46,3,FALSE)/24,0)+IFERROR(VLOOKUP($B121,CDM!$L$36:$T$46,3,FALSE)/2*$C121/78,0)</f>
        <v>905907.29004574229</v>
      </c>
      <c r="J121" s="263">
        <f t="shared" si="47"/>
        <v>13006669.290045742</v>
      </c>
      <c r="K121" s="265">
        <v>4297</v>
      </c>
      <c r="L121" s="4">
        <v>31883969</v>
      </c>
      <c r="M121" s="266">
        <f>IFERROR(VLOOKUP($B121-1,CDM!$L$7:$T$18,4,FALSE)/12,0)+IFERROR(VLOOKUP($B121,CDM!$L$36:$T$46,4,FALSE)/24,0)+IFERROR(VLOOKUP($B121,CDM!$L$36:$T$46,4,FALSE)/2*$C121/78,0)</f>
        <v>1300643.9160725956</v>
      </c>
      <c r="N121" s="263">
        <f t="shared" si="48"/>
        <v>33184612.916072596</v>
      </c>
      <c r="O121" s="4">
        <v>90979.849103999994</v>
      </c>
      <c r="P121" s="265">
        <v>519</v>
      </c>
      <c r="Q121" s="265">
        <v>6347631</v>
      </c>
      <c r="R121" s="265">
        <f>IFERROR(VLOOKUP($B121-1,CDM!$L$7:$T$18,5,FALSE)/12,0)+IFERROR(VLOOKUP($B121,CDM!$L$36:$T$46,5,FALSE)/24,0)+IFERROR(VLOOKUP($B121,CDM!$L$36:$T$46,5,FALSE)/2*$C121/78,0)</f>
        <v>1199171.9080073959</v>
      </c>
      <c r="S121" s="265">
        <f t="shared" si="32"/>
        <v>7546802.9080073964</v>
      </c>
      <c r="T121" s="265">
        <v>13898.96</v>
      </c>
      <c r="U121" s="265">
        <v>17</v>
      </c>
      <c r="V121" s="265">
        <v>3132940</v>
      </c>
      <c r="W121" s="265">
        <f>IFERROR(VLOOKUP($B121-1,CDM!$L$7:$T$18,6,FALSE)/12,0)+IFERROR(VLOOKUP($B121,CDM!$L$36:$T$46,6,FALSE)/24,0)+IFERROR(VLOOKUP($B121,CDM!$L$36:$T$46,6,FALSE)/2*$C121/78,0)</f>
        <v>67328.699438601543</v>
      </c>
      <c r="X121" s="265">
        <f t="shared" si="33"/>
        <v>3200268.6994386017</v>
      </c>
      <c r="Y121" s="265">
        <v>6809.04</v>
      </c>
      <c r="Z121" s="265">
        <v>1</v>
      </c>
      <c r="AA121" s="4">
        <v>501545.29929394292</v>
      </c>
      <c r="AB121" s="4">
        <v>1068</v>
      </c>
      <c r="AC121" s="265">
        <v>14448</v>
      </c>
      <c r="AD121" s="265">
        <v>1953.3</v>
      </c>
      <c r="AE121" s="265">
        <v>75</v>
      </c>
      <c r="AF121" s="265">
        <v>19</v>
      </c>
      <c r="AG121" s="4">
        <v>240012</v>
      </c>
      <c r="AH121" s="4">
        <v>262</v>
      </c>
      <c r="AI121" s="28">
        <f>Economic!H123</f>
        <v>878414.56419999991</v>
      </c>
      <c r="AJ121" s="28">
        <f>Economic!I123</f>
        <v>688913.47149999999</v>
      </c>
      <c r="AK121" s="28">
        <f>Economic!J123</f>
        <v>75612.206749999998</v>
      </c>
      <c r="AL121" s="28">
        <f>Economic!K123</f>
        <v>882184.85199999996</v>
      </c>
      <c r="AM121" s="28">
        <f>Economic!L123</f>
        <v>696368.01749999996</v>
      </c>
      <c r="AN121" s="28">
        <f>Economic!M123</f>
        <v>33982.7065</v>
      </c>
      <c r="AO121" s="28">
        <f>Economic!D123</f>
        <v>8105.1</v>
      </c>
      <c r="AP121" s="28">
        <f>Economic!E123</f>
        <v>8097.3</v>
      </c>
      <c r="AQ121" s="28">
        <f>Economic!F123</f>
        <v>227</v>
      </c>
      <c r="AR121" s="28">
        <f>Economic!G123</f>
        <v>225.8</v>
      </c>
      <c r="AS121" s="28">
        <f>Economic!N123</f>
        <v>167.10000000000036</v>
      </c>
      <c r="AT121" s="28">
        <f>Economic!O123</f>
        <v>159.10000000000036</v>
      </c>
      <c r="AU121" s="28">
        <f>Economic!P123</f>
        <v>0.69999999999998863</v>
      </c>
      <c r="AV121" s="28">
        <f>Economic!Q123</f>
        <v>-0.5</v>
      </c>
      <c r="AW121" s="28">
        <f>Economic!R123</f>
        <v>12554.964199999929</v>
      </c>
      <c r="AX121" s="28">
        <f>Economic!S123</f>
        <v>4319.8519999999553</v>
      </c>
      <c r="AY121" s="7">
        <f>Weather!D121</f>
        <v>-1.3088709677419357</v>
      </c>
      <c r="AZ121" s="7">
        <f>Weather!E121</f>
        <v>660.57500000000016</v>
      </c>
      <c r="BA121" s="7">
        <f>Weather!F121</f>
        <v>0</v>
      </c>
      <c r="BB121" s="7">
        <f>Weather!G121</f>
        <v>598.57499999999993</v>
      </c>
      <c r="BC121" s="7">
        <f>Weather!H121</f>
        <v>0</v>
      </c>
      <c r="BD121" s="7">
        <f>Weather!I121</f>
        <v>536.57500000000005</v>
      </c>
      <c r="BE121" s="7">
        <f>Weather!J121</f>
        <v>0</v>
      </c>
      <c r="BF121" s="7">
        <f>Weather!K121</f>
        <v>474.57499999999999</v>
      </c>
      <c r="BG121" s="7">
        <f>Weather!L121</f>
        <v>0</v>
      </c>
      <c r="BH121" s="7">
        <f>Weather!M121</f>
        <v>412.57499999999999</v>
      </c>
      <c r="BI121" s="7">
        <f>Weather!N121</f>
        <v>0</v>
      </c>
      <c r="BJ121" s="7">
        <f>Weather!O121</f>
        <v>350.57499999999993</v>
      </c>
      <c r="BK121" s="7">
        <f>Weather!P121</f>
        <v>0</v>
      </c>
      <c r="BL121" s="7">
        <f>Weather!Q121</f>
        <v>288.57499999999993</v>
      </c>
      <c r="BM121" s="7">
        <f>Weather!R121</f>
        <v>0</v>
      </c>
      <c r="BN121" s="1">
        <f t="shared" ref="BN121:CB121" si="82">BN109</f>
        <v>0</v>
      </c>
      <c r="BO121" s="1">
        <f t="shared" si="82"/>
        <v>0</v>
      </c>
      <c r="BP121" s="1">
        <f t="shared" si="82"/>
        <v>0</v>
      </c>
      <c r="BQ121" s="1">
        <f t="shared" si="82"/>
        <v>0</v>
      </c>
      <c r="BR121" s="1">
        <f t="shared" si="82"/>
        <v>0</v>
      </c>
      <c r="BS121" s="1">
        <f t="shared" si="82"/>
        <v>0</v>
      </c>
      <c r="BT121" s="1">
        <f t="shared" si="82"/>
        <v>0</v>
      </c>
      <c r="BU121" s="1">
        <f t="shared" si="82"/>
        <v>0</v>
      </c>
      <c r="BV121" s="1">
        <f t="shared" si="82"/>
        <v>0</v>
      </c>
      <c r="BW121" s="1">
        <f t="shared" si="82"/>
        <v>0</v>
      </c>
      <c r="BX121" s="1">
        <f t="shared" si="82"/>
        <v>0</v>
      </c>
      <c r="BY121" s="1">
        <f t="shared" si="82"/>
        <v>1</v>
      </c>
      <c r="BZ121" s="1">
        <f t="shared" si="82"/>
        <v>0</v>
      </c>
      <c r="CA121" s="1">
        <f t="shared" si="82"/>
        <v>0</v>
      </c>
      <c r="CB121" s="1">
        <f t="shared" si="82"/>
        <v>0</v>
      </c>
      <c r="CC121" s="1">
        <f>1+CC120</f>
        <v>120</v>
      </c>
      <c r="CD121" s="1">
        <f t="shared" si="43"/>
        <v>31</v>
      </c>
      <c r="CE121" s="1">
        <v>20</v>
      </c>
      <c r="CF121" s="1">
        <v>0</v>
      </c>
      <c r="CG121" s="1">
        <v>0</v>
      </c>
      <c r="CH121" s="1">
        <v>0.25</v>
      </c>
      <c r="CI121" s="1">
        <v>0</v>
      </c>
      <c r="CJ121" s="1">
        <f t="shared" si="50"/>
        <v>0</v>
      </c>
      <c r="CK121" s="1">
        <f t="shared" si="51"/>
        <v>0</v>
      </c>
      <c r="CL121" s="1">
        <f t="shared" si="52"/>
        <v>0</v>
      </c>
      <c r="CM121" s="1">
        <f t="shared" si="53"/>
        <v>0</v>
      </c>
      <c r="CN121" s="1">
        <f t="shared" si="54"/>
        <v>0</v>
      </c>
      <c r="CO121" s="1">
        <f t="shared" si="55"/>
        <v>0</v>
      </c>
      <c r="CP121" s="1">
        <f t="shared" si="56"/>
        <v>0</v>
      </c>
      <c r="CQ121" s="1">
        <f t="shared" si="57"/>
        <v>0</v>
      </c>
      <c r="CR121" s="1">
        <f t="shared" si="58"/>
        <v>0</v>
      </c>
      <c r="CS121" s="1">
        <f t="shared" si="59"/>
        <v>0</v>
      </c>
      <c r="CT121" s="1">
        <f t="shared" si="60"/>
        <v>0</v>
      </c>
      <c r="CU121" s="1">
        <f t="shared" si="61"/>
        <v>0</v>
      </c>
      <c r="CV121" s="1">
        <f t="shared" si="62"/>
        <v>0</v>
      </c>
      <c r="CW121" s="1">
        <f t="shared" si="63"/>
        <v>0</v>
      </c>
      <c r="CX121" s="1">
        <f t="shared" si="64"/>
        <v>165.14375000000004</v>
      </c>
      <c r="CY121" s="1">
        <f t="shared" si="65"/>
        <v>0</v>
      </c>
      <c r="CZ121" s="1">
        <f t="shared" si="66"/>
        <v>149.64374999999998</v>
      </c>
      <c r="DA121" s="1">
        <f t="shared" si="67"/>
        <v>0</v>
      </c>
      <c r="DB121" s="1">
        <f t="shared" si="68"/>
        <v>134.14375000000001</v>
      </c>
      <c r="DC121" s="1">
        <f t="shared" si="69"/>
        <v>0</v>
      </c>
      <c r="DD121" s="1">
        <f t="shared" si="70"/>
        <v>118.64375</v>
      </c>
      <c r="DE121" s="1">
        <f t="shared" si="71"/>
        <v>0</v>
      </c>
      <c r="DF121" s="1">
        <f t="shared" si="72"/>
        <v>103.14375</v>
      </c>
      <c r="DG121" s="1">
        <f t="shared" si="73"/>
        <v>0</v>
      </c>
      <c r="DH121" s="1">
        <f t="shared" si="74"/>
        <v>87.643749999999983</v>
      </c>
      <c r="DI121" s="1">
        <f t="shared" si="75"/>
        <v>0</v>
      </c>
      <c r="DJ121" s="1">
        <f t="shared" si="76"/>
        <v>72.143749999999983</v>
      </c>
      <c r="DK121" s="1">
        <f t="shared" si="77"/>
        <v>0</v>
      </c>
      <c r="DL121" s="25"/>
      <c r="DM121" s="25"/>
      <c r="DN121" s="24"/>
      <c r="DO121" s="25"/>
      <c r="DP121" s="25"/>
      <c r="DQ121" s="25"/>
      <c r="DR121" s="25"/>
      <c r="DS121" s="25"/>
      <c r="DT121" s="25"/>
      <c r="DU121" s="25"/>
      <c r="DV121" s="25"/>
    </row>
    <row r="122" spans="1:126" x14ac:dyDescent="0.25">
      <c r="A122" s="261"/>
      <c r="B122" s="262"/>
      <c r="C122" s="262"/>
    </row>
  </sheetData>
  <pageMargins left="0.75" right="0.75" top="1" bottom="1" header="0.5" footer="0.5"/>
  <pageSetup scale="10" fitToHeight="0" orientation="landscape"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X204"/>
  <sheetViews>
    <sheetView topLeftCell="N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33203125" style="1"/>
    <col min="13" max="13" width="14.77734375" style="1" bestFit="1" customWidth="1"/>
    <col min="14" max="14" width="12.88671875" style="1" bestFit="1" customWidth="1"/>
    <col min="15" max="15" width="13.88671875" style="1" bestFit="1" customWidth="1"/>
    <col min="16" max="20" width="13.77734375" style="1" customWidth="1"/>
    <col min="21" max="21" width="19.6640625" style="1" customWidth="1"/>
    <col min="22" max="22" width="13.77734375" style="1" bestFit="1" customWidth="1"/>
    <col min="23" max="23" width="12.44140625" style="1" bestFit="1" customWidth="1"/>
    <col min="24" max="16384" width="9.33203125" style="1"/>
  </cols>
  <sheetData>
    <row r="1" spans="1:21"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Data'!AX1</f>
        <v>OEA_GDPChange</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OEA_GDPChange</v>
      </c>
      <c r="U1" s="274" t="s">
        <v>414</v>
      </c>
    </row>
    <row r="2" spans="1:21"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Data'!CC2</f>
        <v>1</v>
      </c>
      <c r="H2" s="278">
        <f>'Monthly Data'!CD2</f>
        <v>31</v>
      </c>
      <c r="I2" s="278">
        <f>'Monthly Data'!CG2</f>
        <v>0</v>
      </c>
      <c r="J2" s="278">
        <f>'Monthly Data'!CB2</f>
        <v>0</v>
      </c>
      <c r="K2" s="278">
        <f>'Monthly Data'!AX2</f>
        <v>0</v>
      </c>
      <c r="M2" s="18">
        <f>'Large Use Predicted Monthly'!$Z$10</f>
        <v>877619.90234118199</v>
      </c>
      <c r="N2" s="18">
        <f ca="1">E2*'Large Use Predicted Monthly'!$Z$11</f>
        <v>164031.6076914196</v>
      </c>
      <c r="O2" s="18">
        <f ca="1">F2*'Large Use Predicted Monthly'!$Z$12</f>
        <v>0</v>
      </c>
      <c r="P2" s="18">
        <f>G2*'Large Use Predicted Monthly'!$Z$13</f>
        <v>0</v>
      </c>
      <c r="Q2" s="18">
        <f>H2*'Large Use Predicted Monthly'!$Z$14</f>
        <v>2169588.3068179414</v>
      </c>
      <c r="R2" s="18">
        <f>I2*'Large Use Predicted Monthly'!$Z$15</f>
        <v>0</v>
      </c>
      <c r="S2" s="18">
        <f>J2*'Large Use Predicted Monthly'!$Z$16</f>
        <v>0</v>
      </c>
      <c r="T2" s="18">
        <f>K2*'Large Use Predicted Monthly'!$Z$17</f>
        <v>0</v>
      </c>
      <c r="U2" s="18">
        <f ca="1">SUM(M2:T2)</f>
        <v>3211239.816850543</v>
      </c>
    </row>
    <row r="3" spans="1:21" x14ac:dyDescent="0.25">
      <c r="A3" s="3">
        <f>'Monthly Data'!A3</f>
        <v>42036</v>
      </c>
      <c r="B3" s="1">
        <f t="shared" si="1"/>
        <v>2015</v>
      </c>
      <c r="C3" s="1">
        <f t="shared" si="2"/>
        <v>2</v>
      </c>
      <c r="D3" s="268">
        <f>'Monthly Data'!X3</f>
        <v>3180175.3551415652</v>
      </c>
      <c r="E3" s="278">
        <f ca="1">Weather!DH35</f>
        <v>341.39751811594203</v>
      </c>
      <c r="F3" s="278">
        <f ca="1">Weather!BS35</f>
        <v>0</v>
      </c>
      <c r="G3" s="278">
        <f>'Monthly Data'!CC3</f>
        <v>2</v>
      </c>
      <c r="H3" s="278">
        <f>'Monthly Data'!CD3</f>
        <v>28</v>
      </c>
      <c r="I3" s="278">
        <f>'Monthly Data'!CG3</f>
        <v>0</v>
      </c>
      <c r="J3" s="278">
        <f>'Monthly Data'!CB3</f>
        <v>0</v>
      </c>
      <c r="K3" s="278">
        <f>'Monthly Data'!AX3</f>
        <v>0</v>
      </c>
      <c r="M3" s="18">
        <f>'Large Use Predicted Monthly'!$Z$10</f>
        <v>877619.90234118199</v>
      </c>
      <c r="N3" s="18">
        <f ca="1">E3*'Large Use Predicted Monthly'!$Z$11</f>
        <v>144577.95350505537</v>
      </c>
      <c r="O3" s="18">
        <f ca="1">F3*'Large Use Predicted Monthly'!$Z$12</f>
        <v>0</v>
      </c>
      <c r="P3" s="18">
        <f>G3*'Large Use Predicted Monthly'!$Z$13</f>
        <v>0</v>
      </c>
      <c r="Q3" s="18">
        <f>H3*'Large Use Predicted Monthly'!$Z$14</f>
        <v>1959628.1480936245</v>
      </c>
      <c r="R3" s="18">
        <f>I3*'Large Use Predicted Monthly'!$Z$15</f>
        <v>0</v>
      </c>
      <c r="S3" s="18">
        <f>J3*'Large Use Predicted Monthly'!$Z$16</f>
        <v>0</v>
      </c>
      <c r="T3" s="18">
        <f>K3*'Large Use Predicted Monthly'!$Z$17</f>
        <v>0</v>
      </c>
      <c r="U3" s="18">
        <f t="shared" ref="U3:U66" ca="1" si="3">SUM(M3:T3)</f>
        <v>2981826.0039398619</v>
      </c>
    </row>
    <row r="4" spans="1:21" x14ac:dyDescent="0.25">
      <c r="A4" s="3">
        <f>'Monthly Data'!A4</f>
        <v>42064</v>
      </c>
      <c r="B4" s="1">
        <f t="shared" si="1"/>
        <v>2015</v>
      </c>
      <c r="C4" s="1">
        <f t="shared" si="2"/>
        <v>3</v>
      </c>
      <c r="D4" s="268">
        <f>'Monthly Data'!X4</f>
        <v>3522503.9865684011</v>
      </c>
      <c r="E4" s="278">
        <f ca="1">Weather!DH36</f>
        <v>238.57840579710145</v>
      </c>
      <c r="F4" s="278">
        <f ca="1">Weather!BS36</f>
        <v>0</v>
      </c>
      <c r="G4" s="278">
        <f>'Monthly Data'!CC4</f>
        <v>3</v>
      </c>
      <c r="H4" s="278">
        <f>'Monthly Data'!CD4</f>
        <v>31</v>
      </c>
      <c r="I4" s="278">
        <f>'Monthly Data'!CG4</f>
        <v>0</v>
      </c>
      <c r="J4" s="278">
        <f>'Monthly Data'!CB4</f>
        <v>1</v>
      </c>
      <c r="K4" s="278">
        <f>'Monthly Data'!AX4</f>
        <v>0</v>
      </c>
      <c r="M4" s="18">
        <f>'Large Use Predicted Monthly'!$Z$10</f>
        <v>877619.90234118199</v>
      </c>
      <c r="N4" s="18">
        <f ca="1">E4*'Large Use Predicted Monthly'!$Z$11</f>
        <v>101035.23262559084</v>
      </c>
      <c r="O4" s="18">
        <f ca="1">F4*'Large Use Predicted Monthly'!$Z$12</f>
        <v>0</v>
      </c>
      <c r="P4" s="18">
        <f>G4*'Large Use Predicted Monthly'!$Z$13</f>
        <v>0</v>
      </c>
      <c r="Q4" s="18">
        <f>H4*'Large Use Predicted Monthly'!$Z$14</f>
        <v>2169588.3068179414</v>
      </c>
      <c r="R4" s="18">
        <f>I4*'Large Use Predicted Monthly'!$Z$15</f>
        <v>0</v>
      </c>
      <c r="S4" s="18">
        <f>J4*'Large Use Predicted Monthly'!$Z$16</f>
        <v>177799.47475552099</v>
      </c>
      <c r="T4" s="18">
        <f>K4*'Large Use Predicted Monthly'!$Z$17</f>
        <v>0</v>
      </c>
      <c r="U4" s="18">
        <f t="shared" ca="1" si="3"/>
        <v>3326042.9165402353</v>
      </c>
    </row>
    <row r="5" spans="1:21"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Data'!CC5</f>
        <v>4</v>
      </c>
      <c r="H5" s="278">
        <f>'Monthly Data'!CD5</f>
        <v>30</v>
      </c>
      <c r="I5" s="278">
        <f>'Monthly Data'!CG5</f>
        <v>0</v>
      </c>
      <c r="J5" s="278">
        <f>'Monthly Data'!CB5</f>
        <v>1</v>
      </c>
      <c r="K5" s="278">
        <f>'Monthly Data'!AX5</f>
        <v>5139</v>
      </c>
      <c r="M5" s="18">
        <f>'Large Use Predicted Monthly'!$Z$10</f>
        <v>877619.90234118199</v>
      </c>
      <c r="N5" s="18">
        <f ca="1">E5*'Large Use Predicted Monthly'!$Z$11</f>
        <v>33872.4862152961</v>
      </c>
      <c r="O5" s="18">
        <f ca="1">F5*'Large Use Predicted Monthly'!$Z$12</f>
        <v>3957.1480571265488</v>
      </c>
      <c r="P5" s="18">
        <f>G5*'Large Use Predicted Monthly'!$Z$13</f>
        <v>0</v>
      </c>
      <c r="Q5" s="18">
        <f>H5*'Large Use Predicted Monthly'!$Z$14</f>
        <v>2099601.5872431691</v>
      </c>
      <c r="R5" s="18">
        <f>I5*'Large Use Predicted Monthly'!$Z$15</f>
        <v>0</v>
      </c>
      <c r="S5" s="18">
        <f>J5*'Large Use Predicted Monthly'!$Z$16</f>
        <v>177799.47475552099</v>
      </c>
      <c r="T5" s="18">
        <f>K5*'Large Use Predicted Monthly'!$Z$17</f>
        <v>10665.186556583039</v>
      </c>
      <c r="U5" s="18">
        <f t="shared" ca="1" si="3"/>
        <v>3203515.7851688778</v>
      </c>
    </row>
    <row r="6" spans="1:21"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Data'!CC6</f>
        <v>5</v>
      </c>
      <c r="H6" s="278">
        <f>'Monthly Data'!CD6</f>
        <v>31</v>
      </c>
      <c r="I6" s="278">
        <f>'Monthly Data'!CG6</f>
        <v>0</v>
      </c>
      <c r="J6" s="278">
        <f>'Monthly Data'!CB6</f>
        <v>1</v>
      </c>
      <c r="K6" s="278">
        <f>'Monthly Data'!AX6</f>
        <v>5139</v>
      </c>
      <c r="M6" s="18">
        <f>'Large Use Predicted Monthly'!$Z$10</f>
        <v>877619.90234118199</v>
      </c>
      <c r="N6" s="18">
        <f ca="1">E6*'Large Use Predicted Monthly'!$Z$11</f>
        <v>3049.8942422428909</v>
      </c>
      <c r="O6" s="18">
        <f ca="1">F6*'Large Use Predicted Monthly'!$Z$12</f>
        <v>94804.359843634942</v>
      </c>
      <c r="P6" s="18">
        <f>G6*'Large Use Predicted Monthly'!$Z$13</f>
        <v>0</v>
      </c>
      <c r="Q6" s="18">
        <f>H6*'Large Use Predicted Monthly'!$Z$14</f>
        <v>2169588.3068179414</v>
      </c>
      <c r="R6" s="18">
        <f>I6*'Large Use Predicted Monthly'!$Z$15</f>
        <v>0</v>
      </c>
      <c r="S6" s="18">
        <f>J6*'Large Use Predicted Monthly'!$Z$16</f>
        <v>177799.47475552099</v>
      </c>
      <c r="T6" s="18">
        <f>K6*'Large Use Predicted Monthly'!$Z$17</f>
        <v>10665.186556583039</v>
      </c>
      <c r="U6" s="18">
        <f t="shared" ca="1" si="3"/>
        <v>3333527.1245571054</v>
      </c>
    </row>
    <row r="7" spans="1:21" x14ac:dyDescent="0.25">
      <c r="A7" s="3">
        <f>'Monthly Data'!A7</f>
        <v>42156</v>
      </c>
      <c r="B7" s="1">
        <f t="shared" si="1"/>
        <v>2015</v>
      </c>
      <c r="C7" s="1">
        <f t="shared" si="2"/>
        <v>6</v>
      </c>
      <c r="D7" s="268">
        <f>'Monthly Data'!X7</f>
        <v>3515408.7356304238</v>
      </c>
      <c r="E7" s="278">
        <f ca="1">Weather!DH39</f>
        <v>0</v>
      </c>
      <c r="F7" s="278">
        <f ca="1">Weather!BS39</f>
        <v>137.65451754405018</v>
      </c>
      <c r="G7" s="278">
        <f>'Monthly Data'!CC7</f>
        <v>6</v>
      </c>
      <c r="H7" s="278">
        <f>'Monthly Data'!CD7</f>
        <v>30</v>
      </c>
      <c r="I7" s="278">
        <f>'Monthly Data'!CG7</f>
        <v>0</v>
      </c>
      <c r="J7" s="278">
        <f>'Monthly Data'!CB7</f>
        <v>0</v>
      </c>
      <c r="K7" s="278">
        <f>'Monthly Data'!AX7</f>
        <v>5139</v>
      </c>
      <c r="M7" s="18">
        <f>'Large Use Predicted Monthly'!$Z$10</f>
        <v>877619.90234118199</v>
      </c>
      <c r="N7" s="18">
        <f ca="1">E7*'Large Use Predicted Monthly'!$Z$11</f>
        <v>0</v>
      </c>
      <c r="O7" s="18">
        <f ca="1">F7*'Large Use Predicted Monthly'!$Z$12</f>
        <v>248635.66678773539</v>
      </c>
      <c r="P7" s="18">
        <f>G7*'Large Use Predicted Monthly'!$Z$13</f>
        <v>0</v>
      </c>
      <c r="Q7" s="18">
        <f>H7*'Large Use Predicted Monthly'!$Z$14</f>
        <v>2099601.5872431691</v>
      </c>
      <c r="R7" s="18">
        <f>I7*'Large Use Predicted Monthly'!$Z$15</f>
        <v>0</v>
      </c>
      <c r="S7" s="18">
        <f>J7*'Large Use Predicted Monthly'!$Z$16</f>
        <v>0</v>
      </c>
      <c r="T7" s="18">
        <f>K7*'Large Use Predicted Monthly'!$Z$17</f>
        <v>10665.186556583039</v>
      </c>
      <c r="U7" s="18">
        <f t="shared" ca="1" si="3"/>
        <v>3236522.3429286694</v>
      </c>
    </row>
    <row r="8" spans="1:21" x14ac:dyDescent="0.25">
      <c r="A8" s="3">
        <f>'Monthly Data'!A8</f>
        <v>42186</v>
      </c>
      <c r="B8" s="1">
        <f t="shared" si="1"/>
        <v>2015</v>
      </c>
      <c r="C8" s="1">
        <f t="shared" si="2"/>
        <v>7</v>
      </c>
      <c r="D8" s="268">
        <f>'Monthly Data'!X8</f>
        <v>3903331.7192142233</v>
      </c>
      <c r="E8" s="278">
        <f ca="1">Weather!DH40</f>
        <v>0</v>
      </c>
      <c r="F8" s="278">
        <f ca="1">Weather!BS40</f>
        <v>235.94737858727848</v>
      </c>
      <c r="G8" s="278">
        <f>'Monthly Data'!CC8</f>
        <v>7</v>
      </c>
      <c r="H8" s="278">
        <f>'Monthly Data'!CD8</f>
        <v>31</v>
      </c>
      <c r="I8" s="278">
        <f>'Monthly Data'!CG8</f>
        <v>0</v>
      </c>
      <c r="J8" s="278">
        <f>'Monthly Data'!CB8</f>
        <v>0</v>
      </c>
      <c r="K8" s="278">
        <f>'Monthly Data'!AX8</f>
        <v>6615</v>
      </c>
      <c r="M8" s="18">
        <f>'Large Use Predicted Monthly'!$Z$10</f>
        <v>877619.90234118199</v>
      </c>
      <c r="N8" s="18">
        <f ca="1">E8*'Large Use Predicted Monthly'!$Z$11</f>
        <v>0</v>
      </c>
      <c r="O8" s="18">
        <f ca="1">F8*'Large Use Predicted Monthly'!$Z$12</f>
        <v>426175.14374777518</v>
      </c>
      <c r="P8" s="18">
        <f>G8*'Large Use Predicted Monthly'!$Z$13</f>
        <v>0</v>
      </c>
      <c r="Q8" s="18">
        <f>H8*'Large Use Predicted Monthly'!$Z$14</f>
        <v>2169588.3068179414</v>
      </c>
      <c r="R8" s="18">
        <f>I8*'Large Use Predicted Monthly'!$Z$15</f>
        <v>0</v>
      </c>
      <c r="S8" s="18">
        <f>J8*'Large Use Predicted Monthly'!$Z$16</f>
        <v>0</v>
      </c>
      <c r="T8" s="18">
        <f>K8*'Large Use Predicted Monthly'!$Z$17</f>
        <v>13728.392502782021</v>
      </c>
      <c r="U8" s="18">
        <f t="shared" ca="1" si="3"/>
        <v>3487111.7454096805</v>
      </c>
    </row>
    <row r="9" spans="1:21" x14ac:dyDescent="0.25">
      <c r="A9" s="3">
        <f>'Monthly Data'!A9</f>
        <v>42217</v>
      </c>
      <c r="B9" s="1">
        <f t="shared" si="1"/>
        <v>2015</v>
      </c>
      <c r="C9" s="1">
        <f t="shared" si="2"/>
        <v>8</v>
      </c>
      <c r="D9" s="268">
        <f>'Monthly Data'!X9</f>
        <v>3934483.9152747728</v>
      </c>
      <c r="E9" s="278">
        <f ca="1">Weather!DH41</f>
        <v>0</v>
      </c>
      <c r="F9" s="278">
        <f ca="1">Weather!BS41</f>
        <v>210.96558794466404</v>
      </c>
      <c r="G9" s="278">
        <f>'Monthly Data'!CC9</f>
        <v>8</v>
      </c>
      <c r="H9" s="278">
        <f>'Monthly Data'!CD9</f>
        <v>31</v>
      </c>
      <c r="I9" s="278">
        <f>'Monthly Data'!CG9</f>
        <v>0</v>
      </c>
      <c r="J9" s="278">
        <f>'Monthly Data'!CB9</f>
        <v>0</v>
      </c>
      <c r="K9" s="278">
        <f>'Monthly Data'!AX9</f>
        <v>6615</v>
      </c>
      <c r="M9" s="18">
        <f>'Large Use Predicted Monthly'!$Z$10</f>
        <v>877619.90234118199</v>
      </c>
      <c r="N9" s="18">
        <f ca="1">E9*'Large Use Predicted Monthly'!$Z$11</f>
        <v>0</v>
      </c>
      <c r="O9" s="18">
        <f ca="1">F9*'Large Use Predicted Monthly'!$Z$12</f>
        <v>381052.29355151928</v>
      </c>
      <c r="P9" s="18">
        <f>G9*'Large Use Predicted Monthly'!$Z$13</f>
        <v>0</v>
      </c>
      <c r="Q9" s="18">
        <f>H9*'Large Use Predicted Monthly'!$Z$14</f>
        <v>2169588.3068179414</v>
      </c>
      <c r="R9" s="18">
        <f>I9*'Large Use Predicted Monthly'!$Z$15</f>
        <v>0</v>
      </c>
      <c r="S9" s="18">
        <f>J9*'Large Use Predicted Monthly'!$Z$16</f>
        <v>0</v>
      </c>
      <c r="T9" s="18">
        <f>K9*'Large Use Predicted Monthly'!$Z$17</f>
        <v>13728.392502782021</v>
      </c>
      <c r="U9" s="18">
        <f t="shared" ca="1" si="3"/>
        <v>3441988.8952134247</v>
      </c>
    </row>
    <row r="10" spans="1:21"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Data'!CC10</f>
        <v>9</v>
      </c>
      <c r="H10" s="278">
        <f>'Monthly Data'!CD10</f>
        <v>30</v>
      </c>
      <c r="I10" s="278">
        <f>'Monthly Data'!CG10</f>
        <v>0</v>
      </c>
      <c r="J10" s="278">
        <f>'Monthly Data'!CB10</f>
        <v>1</v>
      </c>
      <c r="K10" s="278">
        <f>'Monthly Data'!AX10</f>
        <v>6615</v>
      </c>
      <c r="M10" s="18">
        <f>'Large Use Predicted Monthly'!$Z$10</f>
        <v>877619.90234118199</v>
      </c>
      <c r="N10" s="18">
        <f ca="1">E10*'Large Use Predicted Monthly'!$Z$11</f>
        <v>0</v>
      </c>
      <c r="O10" s="18">
        <f ca="1">F10*'Large Use Predicted Monthly'!$Z$12</f>
        <v>192211.75264636773</v>
      </c>
      <c r="P10" s="18">
        <f>G10*'Large Use Predicted Monthly'!$Z$13</f>
        <v>0</v>
      </c>
      <c r="Q10" s="18">
        <f>H10*'Large Use Predicted Monthly'!$Z$14</f>
        <v>2099601.5872431691</v>
      </c>
      <c r="R10" s="18">
        <f>I10*'Large Use Predicted Monthly'!$Z$15</f>
        <v>0</v>
      </c>
      <c r="S10" s="18">
        <f>J10*'Large Use Predicted Monthly'!$Z$16</f>
        <v>177799.47475552099</v>
      </c>
      <c r="T10" s="18">
        <f>K10*'Large Use Predicted Monthly'!$Z$17</f>
        <v>13728.392502782021</v>
      </c>
      <c r="U10" s="18">
        <f t="shared" ca="1" si="3"/>
        <v>3360961.1094890218</v>
      </c>
    </row>
    <row r="11" spans="1:21"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Data'!CC11</f>
        <v>10</v>
      </c>
      <c r="H11" s="278">
        <f>'Monthly Data'!CD11</f>
        <v>31</v>
      </c>
      <c r="I11" s="278">
        <f>'Monthly Data'!CG11</f>
        <v>0</v>
      </c>
      <c r="J11" s="278">
        <f>'Monthly Data'!CB11</f>
        <v>1</v>
      </c>
      <c r="K11" s="278">
        <f>'Monthly Data'!AX11</f>
        <v>7443</v>
      </c>
      <c r="M11" s="18">
        <f>'Large Use Predicted Monthly'!$Z$10</f>
        <v>877619.90234118199</v>
      </c>
      <c r="N11" s="18">
        <f ca="1">E11*'Large Use Predicted Monthly'!$Z$11</f>
        <v>10486.168219119447</v>
      </c>
      <c r="O11" s="18">
        <f ca="1">F11*'Large Use Predicted Monthly'!$Z$12</f>
        <v>32488.802677462132</v>
      </c>
      <c r="P11" s="18">
        <f>G11*'Large Use Predicted Monthly'!$Z$13</f>
        <v>0</v>
      </c>
      <c r="Q11" s="18">
        <f>H11*'Large Use Predicted Monthly'!$Z$14</f>
        <v>2169588.3068179414</v>
      </c>
      <c r="R11" s="18">
        <f>I11*'Large Use Predicted Monthly'!$Z$15</f>
        <v>0</v>
      </c>
      <c r="S11" s="18">
        <f>J11*'Large Use Predicted Monthly'!$Z$16</f>
        <v>177799.47475552099</v>
      </c>
      <c r="T11" s="18">
        <f>K11*'Large Use Predicted Monthly'!$Z$17</f>
        <v>15446.776326259498</v>
      </c>
      <c r="U11" s="18">
        <f t="shared" ca="1" si="3"/>
        <v>3283429.4311374854</v>
      </c>
    </row>
    <row r="12" spans="1:21"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Data'!CC12</f>
        <v>11</v>
      </c>
      <c r="H12" s="278">
        <f>'Monthly Data'!CD12</f>
        <v>30</v>
      </c>
      <c r="I12" s="278">
        <f>'Monthly Data'!CG12</f>
        <v>0</v>
      </c>
      <c r="J12" s="278">
        <f>'Monthly Data'!CB12</f>
        <v>1</v>
      </c>
      <c r="K12" s="278">
        <f>'Monthly Data'!AX12</f>
        <v>7443</v>
      </c>
      <c r="M12" s="18">
        <f>'Large Use Predicted Monthly'!$Z$10</f>
        <v>877619.90234118199</v>
      </c>
      <c r="N12" s="18">
        <f ca="1">E12*'Large Use Predicted Monthly'!$Z$11</f>
        <v>59298.423958333726</v>
      </c>
      <c r="O12" s="18">
        <f ca="1">F12*'Large Use Predicted Monthly'!$Z$12</f>
        <v>1460.0356087534226</v>
      </c>
      <c r="P12" s="18">
        <f>G12*'Large Use Predicted Monthly'!$Z$13</f>
        <v>0</v>
      </c>
      <c r="Q12" s="18">
        <f>H12*'Large Use Predicted Monthly'!$Z$14</f>
        <v>2099601.5872431691</v>
      </c>
      <c r="R12" s="18">
        <f>I12*'Large Use Predicted Monthly'!$Z$15</f>
        <v>0</v>
      </c>
      <c r="S12" s="18">
        <f>J12*'Large Use Predicted Monthly'!$Z$16</f>
        <v>177799.47475552099</v>
      </c>
      <c r="T12" s="18">
        <f>K12*'Large Use Predicted Monthly'!$Z$17</f>
        <v>15446.776326259498</v>
      </c>
      <c r="U12" s="18">
        <f t="shared" ca="1" si="3"/>
        <v>3231226.2002332187</v>
      </c>
    </row>
    <row r="13" spans="1:21"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Data'!CC13</f>
        <v>12</v>
      </c>
      <c r="H13" s="278">
        <f>'Monthly Data'!CD13</f>
        <v>31</v>
      </c>
      <c r="I13" s="278">
        <f>'Monthly Data'!CG13</f>
        <v>0</v>
      </c>
      <c r="J13" s="278">
        <f>'Monthly Data'!CB13</f>
        <v>0</v>
      </c>
      <c r="K13" s="278">
        <f>'Monthly Data'!AX13</f>
        <v>7443</v>
      </c>
      <c r="M13" s="18">
        <f>'Large Use Predicted Monthly'!$Z$10</f>
        <v>877619.90234118199</v>
      </c>
      <c r="N13" s="18">
        <f ca="1">E13*'Large Use Predicted Monthly'!$Z$11</f>
        <v>113884.75870774408</v>
      </c>
      <c r="O13" s="18">
        <f ca="1">F13*'Large Use Predicted Monthly'!$Z$12</f>
        <v>0</v>
      </c>
      <c r="P13" s="18">
        <f>G13*'Large Use Predicted Monthly'!$Z$13</f>
        <v>0</v>
      </c>
      <c r="Q13" s="18">
        <f>H13*'Large Use Predicted Monthly'!$Z$14</f>
        <v>2169588.3068179414</v>
      </c>
      <c r="R13" s="18">
        <f>I13*'Large Use Predicted Monthly'!$Z$15</f>
        <v>0</v>
      </c>
      <c r="S13" s="18">
        <f>J13*'Large Use Predicted Monthly'!$Z$16</f>
        <v>0</v>
      </c>
      <c r="T13" s="18">
        <f>K13*'Large Use Predicted Monthly'!$Z$17</f>
        <v>15446.776326259498</v>
      </c>
      <c r="U13" s="18">
        <f t="shared" ca="1" si="3"/>
        <v>3176539.7441931269</v>
      </c>
    </row>
    <row r="14" spans="1:21" x14ac:dyDescent="0.25">
      <c r="A14" s="3">
        <f>'Monthly Data'!A14</f>
        <v>42370</v>
      </c>
      <c r="B14" s="1">
        <f t="shared" si="1"/>
        <v>2016</v>
      </c>
      <c r="C14" s="1">
        <f t="shared" si="2"/>
        <v>1</v>
      </c>
      <c r="D14" s="268">
        <f>'Monthly Data'!X14</f>
        <v>3215727.4106118553</v>
      </c>
      <c r="E14" s="278">
        <f ca="1">E2</f>
        <v>387.33418478260865</v>
      </c>
      <c r="F14" s="278">
        <f ca="1">F2</f>
        <v>0</v>
      </c>
      <c r="G14" s="278">
        <f>'Monthly Data'!CC14</f>
        <v>13</v>
      </c>
      <c r="H14" s="278">
        <f>'Monthly Data'!CD14</f>
        <v>31</v>
      </c>
      <c r="I14" s="278">
        <f>'Monthly Data'!CG14</f>
        <v>0</v>
      </c>
      <c r="J14" s="278">
        <f>'Monthly Data'!CB14</f>
        <v>0</v>
      </c>
      <c r="K14" s="278">
        <f>'Monthly Data'!AX14</f>
        <v>5503</v>
      </c>
      <c r="M14" s="18">
        <f>'Large Use Predicted Monthly'!$Z$10</f>
        <v>877619.90234118199</v>
      </c>
      <c r="N14" s="18">
        <f ca="1">E14*'Large Use Predicted Monthly'!$Z$11</f>
        <v>164031.6076914196</v>
      </c>
      <c r="O14" s="18">
        <f ca="1">F14*'Large Use Predicted Monthly'!$Z$12</f>
        <v>0</v>
      </c>
      <c r="P14" s="18">
        <f>G14*'Large Use Predicted Monthly'!$Z$13</f>
        <v>0</v>
      </c>
      <c r="Q14" s="18">
        <f>H14*'Large Use Predicted Monthly'!$Z$14</f>
        <v>2169588.3068179414</v>
      </c>
      <c r="R14" s="18">
        <f>I14*'Large Use Predicted Monthly'!$Z$15</f>
        <v>0</v>
      </c>
      <c r="S14" s="18">
        <f>J14*'Large Use Predicted Monthly'!$Z$16</f>
        <v>0</v>
      </c>
      <c r="T14" s="18">
        <f>K14*'Large Use Predicted Monthly'!$Z$17</f>
        <v>11420.611329222897</v>
      </c>
      <c r="U14" s="18">
        <f t="shared" ca="1" si="3"/>
        <v>3222660.4281797661</v>
      </c>
    </row>
    <row r="15" spans="1:21" x14ac:dyDescent="0.25">
      <c r="A15" s="3">
        <f>'Monthly Data'!A15</f>
        <v>42401</v>
      </c>
      <c r="B15" s="1">
        <f t="shared" si="1"/>
        <v>2016</v>
      </c>
      <c r="C15" s="1">
        <f t="shared" si="2"/>
        <v>2</v>
      </c>
      <c r="D15" s="268">
        <f>'Monthly Data'!X15</f>
        <v>3430298.1465842407</v>
      </c>
      <c r="E15" s="278">
        <f t="shared" ref="E15:F30" ca="1" si="4">E3</f>
        <v>341.39751811594203</v>
      </c>
      <c r="F15" s="278">
        <f t="shared" ca="1" si="4"/>
        <v>0</v>
      </c>
      <c r="G15" s="278">
        <f>'Monthly Data'!CC15</f>
        <v>14</v>
      </c>
      <c r="H15" s="278">
        <f>'Monthly Data'!CD15</f>
        <v>29</v>
      </c>
      <c r="I15" s="278">
        <f>'Monthly Data'!CG15</f>
        <v>0</v>
      </c>
      <c r="J15" s="278">
        <f>'Monthly Data'!CB15</f>
        <v>0</v>
      </c>
      <c r="K15" s="278">
        <f>'Monthly Data'!AX15</f>
        <v>5503</v>
      </c>
      <c r="M15" s="18">
        <f>'Large Use Predicted Monthly'!$Z$10</f>
        <v>877619.90234118199</v>
      </c>
      <c r="N15" s="18">
        <f ca="1">E15*'Large Use Predicted Monthly'!$Z$11</f>
        <v>144577.95350505537</v>
      </c>
      <c r="O15" s="18">
        <f ca="1">F15*'Large Use Predicted Monthly'!$Z$12</f>
        <v>0</v>
      </c>
      <c r="P15" s="18">
        <f>G15*'Large Use Predicted Monthly'!$Z$13</f>
        <v>0</v>
      </c>
      <c r="Q15" s="18">
        <f>H15*'Large Use Predicted Monthly'!$Z$14</f>
        <v>2029614.8676683968</v>
      </c>
      <c r="R15" s="18">
        <f>I15*'Large Use Predicted Monthly'!$Z$15</f>
        <v>0</v>
      </c>
      <c r="S15" s="18">
        <f>J15*'Large Use Predicted Monthly'!$Z$16</f>
        <v>0</v>
      </c>
      <c r="T15" s="18">
        <f>K15*'Large Use Predicted Monthly'!$Z$17</f>
        <v>11420.611329222897</v>
      </c>
      <c r="U15" s="18">
        <f t="shared" ca="1" si="3"/>
        <v>3063233.3348438572</v>
      </c>
    </row>
    <row r="16" spans="1:21"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Data'!CC16</f>
        <v>15</v>
      </c>
      <c r="H16" s="278">
        <f>'Monthly Data'!CD16</f>
        <v>31</v>
      </c>
      <c r="I16" s="278">
        <f>'Monthly Data'!CG16</f>
        <v>0</v>
      </c>
      <c r="J16" s="278">
        <f>'Monthly Data'!CB16</f>
        <v>1</v>
      </c>
      <c r="K16" s="278">
        <f>'Monthly Data'!AX16</f>
        <v>5503</v>
      </c>
      <c r="M16" s="18">
        <f>'Large Use Predicted Monthly'!$Z$10</f>
        <v>877619.90234118199</v>
      </c>
      <c r="N16" s="18">
        <f ca="1">E16*'Large Use Predicted Monthly'!$Z$11</f>
        <v>101035.23262559084</v>
      </c>
      <c r="O16" s="18">
        <f ca="1">F16*'Large Use Predicted Monthly'!$Z$12</f>
        <v>0</v>
      </c>
      <c r="P16" s="18">
        <f>G16*'Large Use Predicted Monthly'!$Z$13</f>
        <v>0</v>
      </c>
      <c r="Q16" s="18">
        <f>H16*'Large Use Predicted Monthly'!$Z$14</f>
        <v>2169588.3068179414</v>
      </c>
      <c r="R16" s="18">
        <f>I16*'Large Use Predicted Monthly'!$Z$15</f>
        <v>0</v>
      </c>
      <c r="S16" s="18">
        <f>J16*'Large Use Predicted Monthly'!$Z$16</f>
        <v>177799.47475552099</v>
      </c>
      <c r="T16" s="18">
        <f>K16*'Large Use Predicted Monthly'!$Z$17</f>
        <v>11420.611329222897</v>
      </c>
      <c r="U16" s="18">
        <f t="shared" ca="1" si="3"/>
        <v>3337463.5278694583</v>
      </c>
    </row>
    <row r="17" spans="1:22"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Data'!CC17</f>
        <v>16</v>
      </c>
      <c r="H17" s="278">
        <f>'Monthly Data'!CD17</f>
        <v>30</v>
      </c>
      <c r="I17" s="278">
        <f>'Monthly Data'!CG17</f>
        <v>0</v>
      </c>
      <c r="J17" s="278">
        <f>'Monthly Data'!CB17</f>
        <v>1</v>
      </c>
      <c r="K17" s="278">
        <f>'Monthly Data'!AX17</f>
        <v>-2655</v>
      </c>
      <c r="M17" s="18">
        <f>'Large Use Predicted Monthly'!$Z$10</f>
        <v>877619.90234118199</v>
      </c>
      <c r="N17" s="18">
        <f ca="1">E17*'Large Use Predicted Monthly'!$Z$11</f>
        <v>33872.4862152961</v>
      </c>
      <c r="O17" s="18">
        <f ca="1">F17*'Large Use Predicted Monthly'!$Z$12</f>
        <v>3957.1480571265488</v>
      </c>
      <c r="P17" s="18">
        <f>G17*'Large Use Predicted Monthly'!$Z$13</f>
        <v>0</v>
      </c>
      <c r="Q17" s="18">
        <f>H17*'Large Use Predicted Monthly'!$Z$14</f>
        <v>2099601.5872431691</v>
      </c>
      <c r="R17" s="18">
        <f>I17*'Large Use Predicted Monthly'!$Z$15</f>
        <v>0</v>
      </c>
      <c r="S17" s="18">
        <f>J17*'Large Use Predicted Monthly'!$Z$16</f>
        <v>177799.47475552099</v>
      </c>
      <c r="T17" s="18">
        <f>K17*'Large Use Predicted Monthly'!$Z$17</f>
        <v>-5510.0350861506067</v>
      </c>
      <c r="U17" s="18">
        <f t="shared" ca="1" si="3"/>
        <v>3187340.5635261438</v>
      </c>
    </row>
    <row r="18" spans="1:22"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Data'!CC18</f>
        <v>17</v>
      </c>
      <c r="H18" s="278">
        <f>'Monthly Data'!CD18</f>
        <v>31</v>
      </c>
      <c r="I18" s="278">
        <f>'Monthly Data'!CG18</f>
        <v>0</v>
      </c>
      <c r="J18" s="278">
        <f>'Monthly Data'!CB18</f>
        <v>1</v>
      </c>
      <c r="K18" s="278">
        <f>'Monthly Data'!AX18</f>
        <v>-2655</v>
      </c>
      <c r="M18" s="18">
        <f>'Large Use Predicted Monthly'!$Z$10</f>
        <v>877619.90234118199</v>
      </c>
      <c r="N18" s="18">
        <f ca="1">E18*'Large Use Predicted Monthly'!$Z$11</f>
        <v>3049.8942422428909</v>
      </c>
      <c r="O18" s="18">
        <f ca="1">F18*'Large Use Predicted Monthly'!$Z$12</f>
        <v>94804.359843634942</v>
      </c>
      <c r="P18" s="18">
        <f>G18*'Large Use Predicted Monthly'!$Z$13</f>
        <v>0</v>
      </c>
      <c r="Q18" s="18">
        <f>H18*'Large Use Predicted Monthly'!$Z$14</f>
        <v>2169588.3068179414</v>
      </c>
      <c r="R18" s="18">
        <f>I18*'Large Use Predicted Monthly'!$Z$15</f>
        <v>0</v>
      </c>
      <c r="S18" s="18">
        <f>J18*'Large Use Predicted Monthly'!$Z$16</f>
        <v>177799.47475552099</v>
      </c>
      <c r="T18" s="18">
        <f>K18*'Large Use Predicted Monthly'!$Z$17</f>
        <v>-5510.0350861506067</v>
      </c>
      <c r="U18" s="18">
        <f t="shared" ca="1" si="3"/>
        <v>3317351.9029143713</v>
      </c>
    </row>
    <row r="19" spans="1:22"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Data'!CC19</f>
        <v>18</v>
      </c>
      <c r="H19" s="278">
        <f>'Monthly Data'!CD19</f>
        <v>30</v>
      </c>
      <c r="I19" s="278">
        <f>'Monthly Data'!CG19</f>
        <v>0</v>
      </c>
      <c r="J19" s="278">
        <f>'Monthly Data'!CB19</f>
        <v>0</v>
      </c>
      <c r="K19" s="278">
        <f>'Monthly Data'!AX19</f>
        <v>-2655</v>
      </c>
      <c r="M19" s="18">
        <f>'Large Use Predicted Monthly'!$Z$10</f>
        <v>877619.90234118199</v>
      </c>
      <c r="N19" s="18">
        <f ca="1">E19*'Large Use Predicted Monthly'!$Z$11</f>
        <v>0</v>
      </c>
      <c r="O19" s="18">
        <f ca="1">F19*'Large Use Predicted Monthly'!$Z$12</f>
        <v>248635.66678773539</v>
      </c>
      <c r="P19" s="18">
        <f>G19*'Large Use Predicted Monthly'!$Z$13</f>
        <v>0</v>
      </c>
      <c r="Q19" s="18">
        <f>H19*'Large Use Predicted Monthly'!$Z$14</f>
        <v>2099601.5872431691</v>
      </c>
      <c r="R19" s="18">
        <f>I19*'Large Use Predicted Monthly'!$Z$15</f>
        <v>0</v>
      </c>
      <c r="S19" s="18">
        <f>J19*'Large Use Predicted Monthly'!$Z$16</f>
        <v>0</v>
      </c>
      <c r="T19" s="18">
        <f>K19*'Large Use Predicted Monthly'!$Z$17</f>
        <v>-5510.0350861506067</v>
      </c>
      <c r="U19" s="18">
        <f t="shared" ca="1" si="3"/>
        <v>3220347.1212859354</v>
      </c>
      <c r="V19" s="288"/>
    </row>
    <row r="20" spans="1:22"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Data'!CC20</f>
        <v>19</v>
      </c>
      <c r="H20" s="278">
        <f>'Monthly Data'!CD20</f>
        <v>31</v>
      </c>
      <c r="I20" s="278">
        <f>'Monthly Data'!CG20</f>
        <v>0</v>
      </c>
      <c r="J20" s="278">
        <f>'Monthly Data'!CB20</f>
        <v>0</v>
      </c>
      <c r="K20" s="278">
        <f>'Monthly Data'!AX20</f>
        <v>5974</v>
      </c>
      <c r="M20" s="18">
        <f>'Large Use Predicted Monthly'!$Z$10</f>
        <v>877619.90234118199</v>
      </c>
      <c r="N20" s="18">
        <f ca="1">E20*'Large Use Predicted Monthly'!$Z$11</f>
        <v>0</v>
      </c>
      <c r="O20" s="18">
        <f ca="1">F20*'Large Use Predicted Monthly'!$Z$12</f>
        <v>426175.14374777518</v>
      </c>
      <c r="P20" s="18">
        <f>G20*'Large Use Predicted Monthly'!$Z$13</f>
        <v>0</v>
      </c>
      <c r="Q20" s="18">
        <f>H20*'Large Use Predicted Monthly'!$Z$14</f>
        <v>2169588.3068179414</v>
      </c>
      <c r="R20" s="18">
        <f>I20*'Large Use Predicted Monthly'!$Z$15</f>
        <v>0</v>
      </c>
      <c r="S20" s="18">
        <f>J20*'Large Use Predicted Monthly'!$Z$16</f>
        <v>0</v>
      </c>
      <c r="T20" s="18">
        <f>K20*'Large Use Predicted Monthly'!$Z$17</f>
        <v>12398.097779534361</v>
      </c>
      <c r="U20" s="18">
        <f t="shared" ca="1" si="3"/>
        <v>3485781.4506864329</v>
      </c>
    </row>
    <row r="21" spans="1:22"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Data'!CC21</f>
        <v>20</v>
      </c>
      <c r="H21" s="278">
        <f>'Monthly Data'!CD21</f>
        <v>31</v>
      </c>
      <c r="I21" s="278">
        <f>'Monthly Data'!CG21</f>
        <v>0</v>
      </c>
      <c r="J21" s="278">
        <f>'Monthly Data'!CB21</f>
        <v>0</v>
      </c>
      <c r="K21" s="278">
        <f>'Monthly Data'!AX21</f>
        <v>5974</v>
      </c>
      <c r="M21" s="18">
        <f>'Large Use Predicted Monthly'!$Z$10</f>
        <v>877619.90234118199</v>
      </c>
      <c r="N21" s="18">
        <f ca="1">E21*'Large Use Predicted Monthly'!$Z$11</f>
        <v>0</v>
      </c>
      <c r="O21" s="18">
        <f ca="1">F21*'Large Use Predicted Monthly'!$Z$12</f>
        <v>381052.29355151928</v>
      </c>
      <c r="P21" s="18">
        <f>G21*'Large Use Predicted Monthly'!$Z$13</f>
        <v>0</v>
      </c>
      <c r="Q21" s="18">
        <f>H21*'Large Use Predicted Monthly'!$Z$14</f>
        <v>2169588.3068179414</v>
      </c>
      <c r="R21" s="18">
        <f>I21*'Large Use Predicted Monthly'!$Z$15</f>
        <v>0</v>
      </c>
      <c r="S21" s="18">
        <f>J21*'Large Use Predicted Monthly'!$Z$16</f>
        <v>0</v>
      </c>
      <c r="T21" s="18">
        <f>K21*'Large Use Predicted Monthly'!$Z$17</f>
        <v>12398.097779534361</v>
      </c>
      <c r="U21" s="18">
        <f t="shared" ca="1" si="3"/>
        <v>3440658.6004901771</v>
      </c>
    </row>
    <row r="22" spans="1:22"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Data'!CC22</f>
        <v>21</v>
      </c>
      <c r="H22" s="278">
        <f>'Monthly Data'!CD22</f>
        <v>30</v>
      </c>
      <c r="I22" s="278">
        <f>'Monthly Data'!CG22</f>
        <v>0</v>
      </c>
      <c r="J22" s="278">
        <f>'Monthly Data'!CB22</f>
        <v>1</v>
      </c>
      <c r="K22" s="278">
        <f>'Monthly Data'!AX22</f>
        <v>5974</v>
      </c>
      <c r="M22" s="18">
        <f>'Large Use Predicted Monthly'!$Z$10</f>
        <v>877619.90234118199</v>
      </c>
      <c r="N22" s="18">
        <f ca="1">E22*'Large Use Predicted Monthly'!$Z$11</f>
        <v>0</v>
      </c>
      <c r="O22" s="18">
        <f ca="1">F22*'Large Use Predicted Monthly'!$Z$12</f>
        <v>192211.75264636773</v>
      </c>
      <c r="P22" s="18">
        <f>G22*'Large Use Predicted Monthly'!$Z$13</f>
        <v>0</v>
      </c>
      <c r="Q22" s="18">
        <f>H22*'Large Use Predicted Monthly'!$Z$14</f>
        <v>2099601.5872431691</v>
      </c>
      <c r="R22" s="18">
        <f>I22*'Large Use Predicted Monthly'!$Z$15</f>
        <v>0</v>
      </c>
      <c r="S22" s="18">
        <f>J22*'Large Use Predicted Monthly'!$Z$16</f>
        <v>177799.47475552099</v>
      </c>
      <c r="T22" s="18">
        <f>K22*'Large Use Predicted Monthly'!$Z$17</f>
        <v>12398.097779534361</v>
      </c>
      <c r="U22" s="18">
        <f t="shared" ca="1" si="3"/>
        <v>3359630.8147657742</v>
      </c>
    </row>
    <row r="23" spans="1:22"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Data'!CC23</f>
        <v>22</v>
      </c>
      <c r="H23" s="278">
        <f>'Monthly Data'!CD23</f>
        <v>31</v>
      </c>
      <c r="I23" s="278">
        <f>'Monthly Data'!CG23</f>
        <v>0</v>
      </c>
      <c r="J23" s="278">
        <f>'Monthly Data'!CB23</f>
        <v>1</v>
      </c>
      <c r="K23" s="278">
        <f>'Monthly Data'!AX23</f>
        <v>-1226</v>
      </c>
      <c r="M23" s="18">
        <f>'Large Use Predicted Monthly'!$Z$10</f>
        <v>877619.90234118199</v>
      </c>
      <c r="N23" s="18">
        <f ca="1">E23*'Large Use Predicted Monthly'!$Z$11</f>
        <v>10486.168219119447</v>
      </c>
      <c r="O23" s="18">
        <f ca="1">F23*'Large Use Predicted Monthly'!$Z$12</f>
        <v>32488.802677462132</v>
      </c>
      <c r="P23" s="18">
        <f>G23*'Large Use Predicted Monthly'!$Z$13</f>
        <v>0</v>
      </c>
      <c r="Q23" s="18">
        <f>H23*'Large Use Predicted Monthly'!$Z$14</f>
        <v>2169588.3068179414</v>
      </c>
      <c r="R23" s="18">
        <f>I23*'Large Use Predicted Monthly'!$Z$15</f>
        <v>0</v>
      </c>
      <c r="S23" s="18">
        <f>J23*'Large Use Predicted Monthly'!$Z$16</f>
        <v>177799.47475552099</v>
      </c>
      <c r="T23" s="18">
        <f>K23*'Large Use Predicted Monthly'!$Z$17</f>
        <v>-2544.3702507045741</v>
      </c>
      <c r="U23" s="18">
        <f t="shared" ca="1" si="3"/>
        <v>3265438.2845605211</v>
      </c>
    </row>
    <row r="24" spans="1:22"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Data'!CC24</f>
        <v>23</v>
      </c>
      <c r="H24" s="278">
        <f>'Monthly Data'!CD24</f>
        <v>30</v>
      </c>
      <c r="I24" s="278">
        <f>'Monthly Data'!CG24</f>
        <v>0</v>
      </c>
      <c r="J24" s="278">
        <f>'Monthly Data'!CB24</f>
        <v>1</v>
      </c>
      <c r="K24" s="278">
        <f>'Monthly Data'!AX24</f>
        <v>-1226</v>
      </c>
      <c r="M24" s="18">
        <f>'Large Use Predicted Monthly'!$Z$10</f>
        <v>877619.90234118199</v>
      </c>
      <c r="N24" s="18">
        <f ca="1">E24*'Large Use Predicted Monthly'!$Z$11</f>
        <v>59298.423958333726</v>
      </c>
      <c r="O24" s="18">
        <f ca="1">F24*'Large Use Predicted Monthly'!$Z$12</f>
        <v>1460.0356087534226</v>
      </c>
      <c r="P24" s="18">
        <f>G24*'Large Use Predicted Monthly'!$Z$13</f>
        <v>0</v>
      </c>
      <c r="Q24" s="18">
        <f>H24*'Large Use Predicted Monthly'!$Z$14</f>
        <v>2099601.5872431691</v>
      </c>
      <c r="R24" s="18">
        <f>I24*'Large Use Predicted Monthly'!$Z$15</f>
        <v>0</v>
      </c>
      <c r="S24" s="18">
        <f>J24*'Large Use Predicted Monthly'!$Z$16</f>
        <v>177799.47475552099</v>
      </c>
      <c r="T24" s="18">
        <f>K24*'Large Use Predicted Monthly'!$Z$17</f>
        <v>-2544.3702507045741</v>
      </c>
      <c r="U24" s="18">
        <f t="shared" ca="1" si="3"/>
        <v>3213235.0536562544</v>
      </c>
    </row>
    <row r="25" spans="1:22"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Data'!CC25</f>
        <v>24</v>
      </c>
      <c r="H25" s="278">
        <f>'Monthly Data'!CD25</f>
        <v>31</v>
      </c>
      <c r="I25" s="278">
        <f>'Monthly Data'!CG25</f>
        <v>0</v>
      </c>
      <c r="J25" s="278">
        <f>'Monthly Data'!CB25</f>
        <v>0</v>
      </c>
      <c r="K25" s="278">
        <f>'Monthly Data'!AX25</f>
        <v>-1226</v>
      </c>
      <c r="M25" s="18">
        <f>'Large Use Predicted Monthly'!$Z$10</f>
        <v>877619.90234118199</v>
      </c>
      <c r="N25" s="18">
        <f ca="1">E25*'Large Use Predicted Monthly'!$Z$11</f>
        <v>113884.75870774408</v>
      </c>
      <c r="O25" s="18">
        <f ca="1">F25*'Large Use Predicted Monthly'!$Z$12</f>
        <v>0</v>
      </c>
      <c r="P25" s="18">
        <f>G25*'Large Use Predicted Monthly'!$Z$13</f>
        <v>0</v>
      </c>
      <c r="Q25" s="18">
        <f>H25*'Large Use Predicted Monthly'!$Z$14</f>
        <v>2169588.3068179414</v>
      </c>
      <c r="R25" s="18">
        <f>I25*'Large Use Predicted Monthly'!$Z$15</f>
        <v>0</v>
      </c>
      <c r="S25" s="18">
        <f>J25*'Large Use Predicted Monthly'!$Z$16</f>
        <v>0</v>
      </c>
      <c r="T25" s="18">
        <f>K25*'Large Use Predicted Monthly'!$Z$17</f>
        <v>-2544.3702507045741</v>
      </c>
      <c r="U25" s="18">
        <f t="shared" ca="1" si="3"/>
        <v>3158548.5976161626</v>
      </c>
    </row>
    <row r="26" spans="1:22"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Data'!CC26</f>
        <v>25</v>
      </c>
      <c r="H26" s="278">
        <f>'Monthly Data'!CD26</f>
        <v>31</v>
      </c>
      <c r="I26" s="278">
        <f>'Monthly Data'!CG26</f>
        <v>0</v>
      </c>
      <c r="J26" s="278">
        <f>'Monthly Data'!CB26</f>
        <v>0</v>
      </c>
      <c r="K26" s="278">
        <f>'Monthly Data'!AX26</f>
        <v>11322</v>
      </c>
      <c r="M26" s="18">
        <f>'Large Use Predicted Monthly'!$Z$10</f>
        <v>877619.90234118199</v>
      </c>
      <c r="N26" s="18">
        <f ca="1">E26*'Large Use Predicted Monthly'!$Z$11</f>
        <v>164031.6076914196</v>
      </c>
      <c r="O26" s="18">
        <f ca="1">F26*'Large Use Predicted Monthly'!$Z$12</f>
        <v>0</v>
      </c>
      <c r="P26" s="18">
        <f>G26*'Large Use Predicted Monthly'!$Z$13</f>
        <v>0</v>
      </c>
      <c r="Q26" s="18">
        <f>H26*'Large Use Predicted Monthly'!$Z$14</f>
        <v>2169588.3068179414</v>
      </c>
      <c r="R26" s="18">
        <f>I26*'Large Use Predicted Monthly'!$Z$15</f>
        <v>0</v>
      </c>
      <c r="S26" s="18">
        <f>J26*'Large Use Predicted Monthly'!$Z$16</f>
        <v>0</v>
      </c>
      <c r="T26" s="18">
        <f>K26*'Large Use Predicted Monthly'!$Z$17</f>
        <v>23497.030977550723</v>
      </c>
      <c r="U26" s="18">
        <f t="shared" ca="1" si="3"/>
        <v>3234736.8478280939</v>
      </c>
    </row>
    <row r="27" spans="1:22"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Data'!CC27</f>
        <v>26</v>
      </c>
      <c r="H27" s="278">
        <f>'Monthly Data'!CD27</f>
        <v>28</v>
      </c>
      <c r="I27" s="278">
        <f>'Monthly Data'!CG27</f>
        <v>0</v>
      </c>
      <c r="J27" s="278">
        <f>'Monthly Data'!CB27</f>
        <v>0</v>
      </c>
      <c r="K27" s="278">
        <f>'Monthly Data'!AX27</f>
        <v>11322</v>
      </c>
      <c r="M27" s="18">
        <f>'Large Use Predicted Monthly'!$Z$10</f>
        <v>877619.90234118199</v>
      </c>
      <c r="N27" s="18">
        <f ca="1">E27*'Large Use Predicted Monthly'!$Z$11</f>
        <v>144577.95350505537</v>
      </c>
      <c r="O27" s="18">
        <f ca="1">F27*'Large Use Predicted Monthly'!$Z$12</f>
        <v>0</v>
      </c>
      <c r="P27" s="18">
        <f>G27*'Large Use Predicted Monthly'!$Z$13</f>
        <v>0</v>
      </c>
      <c r="Q27" s="18">
        <f>H27*'Large Use Predicted Monthly'!$Z$14</f>
        <v>1959628.1480936245</v>
      </c>
      <c r="R27" s="18">
        <f>I27*'Large Use Predicted Monthly'!$Z$15</f>
        <v>0</v>
      </c>
      <c r="S27" s="18">
        <f>J27*'Large Use Predicted Monthly'!$Z$16</f>
        <v>0</v>
      </c>
      <c r="T27" s="18">
        <f>K27*'Large Use Predicted Monthly'!$Z$17</f>
        <v>23497.030977550723</v>
      </c>
      <c r="U27" s="18">
        <f t="shared" ca="1" si="3"/>
        <v>3005323.0349174128</v>
      </c>
    </row>
    <row r="28" spans="1:22"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Data'!CC28</f>
        <v>27</v>
      </c>
      <c r="H28" s="278">
        <f>'Monthly Data'!CD28</f>
        <v>31</v>
      </c>
      <c r="I28" s="278">
        <f>'Monthly Data'!CG28</f>
        <v>0</v>
      </c>
      <c r="J28" s="278">
        <f>'Monthly Data'!CB28</f>
        <v>1</v>
      </c>
      <c r="K28" s="278">
        <f>'Monthly Data'!AX28</f>
        <v>11322</v>
      </c>
      <c r="M28" s="18">
        <f>'Large Use Predicted Monthly'!$Z$10</f>
        <v>877619.90234118199</v>
      </c>
      <c r="N28" s="18">
        <f ca="1">E28*'Large Use Predicted Monthly'!$Z$11</f>
        <v>101035.23262559084</v>
      </c>
      <c r="O28" s="18">
        <f ca="1">F28*'Large Use Predicted Monthly'!$Z$12</f>
        <v>0</v>
      </c>
      <c r="P28" s="18">
        <f>G28*'Large Use Predicted Monthly'!$Z$13</f>
        <v>0</v>
      </c>
      <c r="Q28" s="18">
        <f>H28*'Large Use Predicted Monthly'!$Z$14</f>
        <v>2169588.3068179414</v>
      </c>
      <c r="R28" s="18">
        <f>I28*'Large Use Predicted Monthly'!$Z$15</f>
        <v>0</v>
      </c>
      <c r="S28" s="18">
        <f>J28*'Large Use Predicted Monthly'!$Z$16</f>
        <v>177799.47475552099</v>
      </c>
      <c r="T28" s="18">
        <f>K28*'Large Use Predicted Monthly'!$Z$17</f>
        <v>23497.030977550723</v>
      </c>
      <c r="U28" s="18">
        <f t="shared" ca="1" si="3"/>
        <v>3349539.9475177862</v>
      </c>
    </row>
    <row r="29" spans="1:22"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Data'!CC29</f>
        <v>28</v>
      </c>
      <c r="H29" s="278">
        <f>'Monthly Data'!CD29</f>
        <v>30</v>
      </c>
      <c r="I29" s="278">
        <f>'Monthly Data'!CG29</f>
        <v>0</v>
      </c>
      <c r="J29" s="278">
        <f>'Monthly Data'!CB29</f>
        <v>1</v>
      </c>
      <c r="K29" s="278">
        <f>'Monthly Data'!AX29</f>
        <v>7942</v>
      </c>
      <c r="M29" s="18">
        <f>'Large Use Predicted Monthly'!$Z$10</f>
        <v>877619.90234118199</v>
      </c>
      <c r="N29" s="18">
        <f ca="1">E29*'Large Use Predicted Monthly'!$Z$11</f>
        <v>33872.4862152961</v>
      </c>
      <c r="O29" s="18">
        <f ca="1">F29*'Large Use Predicted Monthly'!$Z$12</f>
        <v>3957.1480571265488</v>
      </c>
      <c r="P29" s="18">
        <f>G29*'Large Use Predicted Monthly'!$Z$13</f>
        <v>0</v>
      </c>
      <c r="Q29" s="18">
        <f>H29*'Large Use Predicted Monthly'!$Z$14</f>
        <v>2099601.5872431691</v>
      </c>
      <c r="R29" s="18">
        <f>I29*'Large Use Predicted Monthly'!$Z$15</f>
        <v>0</v>
      </c>
      <c r="S29" s="18">
        <f>J29*'Large Use Predicted Monthly'!$Z$16</f>
        <v>177799.47475552099</v>
      </c>
      <c r="T29" s="18">
        <f>K29*'Large Use Predicted Monthly'!$Z$17</f>
        <v>16482.372374466337</v>
      </c>
      <c r="U29" s="18">
        <f t="shared" ca="1" si="3"/>
        <v>3209332.9709867607</v>
      </c>
    </row>
    <row r="30" spans="1:22"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Data'!CC30</f>
        <v>29</v>
      </c>
      <c r="H30" s="278">
        <f>'Monthly Data'!CD30</f>
        <v>31</v>
      </c>
      <c r="I30" s="278">
        <f>'Monthly Data'!CG30</f>
        <v>0</v>
      </c>
      <c r="J30" s="278">
        <f>'Monthly Data'!CB30</f>
        <v>1</v>
      </c>
      <c r="K30" s="278">
        <f>'Monthly Data'!AX30</f>
        <v>7942</v>
      </c>
      <c r="M30" s="18">
        <f>'Large Use Predicted Monthly'!$Z$10</f>
        <v>877619.90234118199</v>
      </c>
      <c r="N30" s="18">
        <f ca="1">E30*'Large Use Predicted Monthly'!$Z$11</f>
        <v>3049.8942422428909</v>
      </c>
      <c r="O30" s="18">
        <f ca="1">F30*'Large Use Predicted Monthly'!$Z$12</f>
        <v>94804.359843634942</v>
      </c>
      <c r="P30" s="18">
        <f>G30*'Large Use Predicted Monthly'!$Z$13</f>
        <v>0</v>
      </c>
      <c r="Q30" s="18">
        <f>H30*'Large Use Predicted Monthly'!$Z$14</f>
        <v>2169588.3068179414</v>
      </c>
      <c r="R30" s="18">
        <f>I30*'Large Use Predicted Monthly'!$Z$15</f>
        <v>0</v>
      </c>
      <c r="S30" s="18">
        <f>J30*'Large Use Predicted Monthly'!$Z$16</f>
        <v>177799.47475552099</v>
      </c>
      <c r="T30" s="18">
        <f>K30*'Large Use Predicted Monthly'!$Z$17</f>
        <v>16482.372374466337</v>
      </c>
      <c r="U30" s="18">
        <f t="shared" ca="1" si="3"/>
        <v>3339344.3103749882</v>
      </c>
    </row>
    <row r="31" spans="1:22" x14ac:dyDescent="0.25">
      <c r="A31" s="3">
        <f>'Monthly Data'!A31</f>
        <v>42887</v>
      </c>
      <c r="B31" s="1">
        <f t="shared" si="1"/>
        <v>2017</v>
      </c>
      <c r="C31" s="1">
        <f t="shared" si="2"/>
        <v>6</v>
      </c>
      <c r="D31" s="268">
        <f>'Monthly Data'!X31</f>
        <v>3175507.694888188</v>
      </c>
      <c r="E31" s="278">
        <f t="shared" ref="E31:F46" ca="1" si="5">E19</f>
        <v>0</v>
      </c>
      <c r="F31" s="278">
        <f t="shared" ca="1" si="5"/>
        <v>137.65451754405018</v>
      </c>
      <c r="G31" s="278">
        <f>'Monthly Data'!CC31</f>
        <v>30</v>
      </c>
      <c r="H31" s="278">
        <f>'Monthly Data'!CD31</f>
        <v>30</v>
      </c>
      <c r="I31" s="278">
        <f>'Monthly Data'!CG31</f>
        <v>0</v>
      </c>
      <c r="J31" s="278">
        <f>'Monthly Data'!CB31</f>
        <v>0</v>
      </c>
      <c r="K31" s="278">
        <f>'Monthly Data'!AX31</f>
        <v>7942</v>
      </c>
      <c r="M31" s="18">
        <f>'Large Use Predicted Monthly'!$Z$10</f>
        <v>877619.90234118199</v>
      </c>
      <c r="N31" s="18">
        <f ca="1">E31*'Large Use Predicted Monthly'!$Z$11</f>
        <v>0</v>
      </c>
      <c r="O31" s="18">
        <f ca="1">F31*'Large Use Predicted Monthly'!$Z$12</f>
        <v>248635.66678773539</v>
      </c>
      <c r="P31" s="18">
        <f>G31*'Large Use Predicted Monthly'!$Z$13</f>
        <v>0</v>
      </c>
      <c r="Q31" s="18">
        <f>H31*'Large Use Predicted Monthly'!$Z$14</f>
        <v>2099601.5872431691</v>
      </c>
      <c r="R31" s="18">
        <f>I31*'Large Use Predicted Monthly'!$Z$15</f>
        <v>0</v>
      </c>
      <c r="S31" s="18">
        <f>J31*'Large Use Predicted Monthly'!$Z$16</f>
        <v>0</v>
      </c>
      <c r="T31" s="18">
        <f>K31*'Large Use Predicted Monthly'!$Z$17</f>
        <v>16482.372374466337</v>
      </c>
      <c r="U31" s="18">
        <f t="shared" ca="1" si="3"/>
        <v>3242339.5287465523</v>
      </c>
    </row>
    <row r="32" spans="1:22" x14ac:dyDescent="0.25">
      <c r="A32" s="3">
        <f>'Monthly Data'!A32</f>
        <v>42917</v>
      </c>
      <c r="B32" s="1">
        <f t="shared" si="1"/>
        <v>2017</v>
      </c>
      <c r="C32" s="1">
        <f t="shared" si="2"/>
        <v>7</v>
      </c>
      <c r="D32" s="268">
        <f>'Monthly Data'!X32</f>
        <v>3342901.2671752255</v>
      </c>
      <c r="E32" s="278">
        <f t="shared" ca="1" si="5"/>
        <v>0</v>
      </c>
      <c r="F32" s="278">
        <f t="shared" ca="1" si="5"/>
        <v>235.94737858727848</v>
      </c>
      <c r="G32" s="278">
        <f>'Monthly Data'!CC32</f>
        <v>31</v>
      </c>
      <c r="H32" s="278">
        <f>'Monthly Data'!CD32</f>
        <v>31</v>
      </c>
      <c r="I32" s="278">
        <f>'Monthly Data'!CG32</f>
        <v>0</v>
      </c>
      <c r="J32" s="278">
        <f>'Monthly Data'!CB32</f>
        <v>0</v>
      </c>
      <c r="K32" s="278">
        <f>'Monthly Data'!AX32</f>
        <v>416</v>
      </c>
      <c r="M32" s="18">
        <f>'Large Use Predicted Monthly'!$Z$10</f>
        <v>877619.90234118199</v>
      </c>
      <c r="N32" s="18">
        <f ca="1">E32*'Large Use Predicted Monthly'!$Z$11</f>
        <v>0</v>
      </c>
      <c r="O32" s="18">
        <f ca="1">F32*'Large Use Predicted Monthly'!$Z$12</f>
        <v>426175.14374777518</v>
      </c>
      <c r="P32" s="18">
        <f>G32*'Large Use Predicted Monthly'!$Z$13</f>
        <v>0</v>
      </c>
      <c r="Q32" s="18">
        <f>H32*'Large Use Predicted Monthly'!$Z$14</f>
        <v>2169588.3068179414</v>
      </c>
      <c r="R32" s="18">
        <f>I32*'Large Use Predicted Monthly'!$Z$15</f>
        <v>0</v>
      </c>
      <c r="S32" s="18">
        <f>J32*'Large Use Predicted Monthly'!$Z$16</f>
        <v>0</v>
      </c>
      <c r="T32" s="18">
        <f>K32*'Large Use Predicted Monthly'!$Z$17</f>
        <v>863.342597302694</v>
      </c>
      <c r="U32" s="18">
        <f t="shared" ca="1" si="3"/>
        <v>3474246.6955042011</v>
      </c>
    </row>
    <row r="33" spans="1:21" x14ac:dyDescent="0.25">
      <c r="A33" s="3">
        <f>'Monthly Data'!A33</f>
        <v>42948</v>
      </c>
      <c r="B33" s="1">
        <f t="shared" si="1"/>
        <v>2017</v>
      </c>
      <c r="C33" s="1">
        <f t="shared" si="2"/>
        <v>8</v>
      </c>
      <c r="D33" s="268">
        <f>'Monthly Data'!X33</f>
        <v>3439029.868955615</v>
      </c>
      <c r="E33" s="278">
        <f t="shared" ca="1" si="5"/>
        <v>0</v>
      </c>
      <c r="F33" s="278">
        <f t="shared" ca="1" si="5"/>
        <v>210.96558794466404</v>
      </c>
      <c r="G33" s="278">
        <f>'Monthly Data'!CC33</f>
        <v>32</v>
      </c>
      <c r="H33" s="278">
        <f>'Monthly Data'!CD33</f>
        <v>31</v>
      </c>
      <c r="I33" s="278">
        <f>'Monthly Data'!CG33</f>
        <v>0</v>
      </c>
      <c r="J33" s="278">
        <f>'Monthly Data'!CB33</f>
        <v>0</v>
      </c>
      <c r="K33" s="278">
        <f>'Monthly Data'!AX33</f>
        <v>416</v>
      </c>
      <c r="M33" s="18">
        <f>'Large Use Predicted Monthly'!$Z$10</f>
        <v>877619.90234118199</v>
      </c>
      <c r="N33" s="18">
        <f ca="1">E33*'Large Use Predicted Monthly'!$Z$11</f>
        <v>0</v>
      </c>
      <c r="O33" s="18">
        <f ca="1">F33*'Large Use Predicted Monthly'!$Z$12</f>
        <v>381052.29355151928</v>
      </c>
      <c r="P33" s="18">
        <f>G33*'Large Use Predicted Monthly'!$Z$13</f>
        <v>0</v>
      </c>
      <c r="Q33" s="18">
        <f>H33*'Large Use Predicted Monthly'!$Z$14</f>
        <v>2169588.3068179414</v>
      </c>
      <c r="R33" s="18">
        <f>I33*'Large Use Predicted Monthly'!$Z$15</f>
        <v>0</v>
      </c>
      <c r="S33" s="18">
        <f>J33*'Large Use Predicted Monthly'!$Z$16</f>
        <v>0</v>
      </c>
      <c r="T33" s="18">
        <f>K33*'Large Use Predicted Monthly'!$Z$17</f>
        <v>863.342597302694</v>
      </c>
      <c r="U33" s="18">
        <f t="shared" ca="1" si="3"/>
        <v>3429123.8453079453</v>
      </c>
    </row>
    <row r="34" spans="1:21" x14ac:dyDescent="0.25">
      <c r="A34" s="3">
        <f>'Monthly Data'!A34</f>
        <v>42979</v>
      </c>
      <c r="B34" s="1">
        <f t="shared" si="1"/>
        <v>2017</v>
      </c>
      <c r="C34" s="1">
        <f t="shared" si="2"/>
        <v>9</v>
      </c>
      <c r="D34" s="268">
        <f>'Monthly Data'!X34</f>
        <v>3377365.2000244949</v>
      </c>
      <c r="E34" s="278">
        <f t="shared" ca="1" si="5"/>
        <v>0</v>
      </c>
      <c r="F34" s="278">
        <f t="shared" ca="1" si="5"/>
        <v>106.4160119047619</v>
      </c>
      <c r="G34" s="278">
        <f>'Monthly Data'!CC34</f>
        <v>33</v>
      </c>
      <c r="H34" s="278">
        <f>'Monthly Data'!CD34</f>
        <v>30</v>
      </c>
      <c r="I34" s="278">
        <f>'Monthly Data'!CG34</f>
        <v>0</v>
      </c>
      <c r="J34" s="278">
        <f>'Monthly Data'!CB34</f>
        <v>1</v>
      </c>
      <c r="K34" s="278">
        <f>'Monthly Data'!AX34</f>
        <v>416</v>
      </c>
      <c r="M34" s="18">
        <f>'Large Use Predicted Monthly'!$Z$10</f>
        <v>877619.90234118199</v>
      </c>
      <c r="N34" s="18">
        <f ca="1">E34*'Large Use Predicted Monthly'!$Z$11</f>
        <v>0</v>
      </c>
      <c r="O34" s="18">
        <f ca="1">F34*'Large Use Predicted Monthly'!$Z$12</f>
        <v>192211.75264636773</v>
      </c>
      <c r="P34" s="18">
        <f>G34*'Large Use Predicted Monthly'!$Z$13</f>
        <v>0</v>
      </c>
      <c r="Q34" s="18">
        <f>H34*'Large Use Predicted Monthly'!$Z$14</f>
        <v>2099601.5872431691</v>
      </c>
      <c r="R34" s="18">
        <f>I34*'Large Use Predicted Monthly'!$Z$15</f>
        <v>0</v>
      </c>
      <c r="S34" s="18">
        <f>J34*'Large Use Predicted Monthly'!$Z$16</f>
        <v>177799.47475552099</v>
      </c>
      <c r="T34" s="18">
        <f>K34*'Large Use Predicted Monthly'!$Z$17</f>
        <v>863.342597302694</v>
      </c>
      <c r="U34" s="18">
        <f t="shared" ca="1" si="3"/>
        <v>3348096.0595835424</v>
      </c>
    </row>
    <row r="35" spans="1:21" x14ac:dyDescent="0.25">
      <c r="A35" s="3">
        <f>'Monthly Data'!A35</f>
        <v>43009</v>
      </c>
      <c r="B35" s="1">
        <f t="shared" si="1"/>
        <v>2017</v>
      </c>
      <c r="C35" s="1">
        <f t="shared" si="2"/>
        <v>10</v>
      </c>
      <c r="D35" s="268">
        <f>'Monthly Data'!X35</f>
        <v>3378259.0697360332</v>
      </c>
      <c r="E35" s="278">
        <f t="shared" ca="1" si="5"/>
        <v>24.76139492753623</v>
      </c>
      <c r="F35" s="278">
        <f t="shared" ca="1" si="5"/>
        <v>17.987083333333334</v>
      </c>
      <c r="G35" s="278">
        <f>'Monthly Data'!CC35</f>
        <v>34</v>
      </c>
      <c r="H35" s="278">
        <f>'Monthly Data'!CD35</f>
        <v>31</v>
      </c>
      <c r="I35" s="278">
        <f>'Monthly Data'!CG35</f>
        <v>0</v>
      </c>
      <c r="J35" s="278">
        <f>'Monthly Data'!CB35</f>
        <v>1</v>
      </c>
      <c r="K35" s="278">
        <f>'Monthly Data'!AX35</f>
        <v>6393</v>
      </c>
      <c r="M35" s="18">
        <f>'Large Use Predicted Monthly'!$Z$10</f>
        <v>877619.90234118199</v>
      </c>
      <c r="N35" s="18">
        <f ca="1">E35*'Large Use Predicted Monthly'!$Z$11</f>
        <v>10486.168219119447</v>
      </c>
      <c r="O35" s="18">
        <f ca="1">F35*'Large Use Predicted Monthly'!$Z$12</f>
        <v>32488.802677462132</v>
      </c>
      <c r="P35" s="18">
        <f>G35*'Large Use Predicted Monthly'!$Z$13</f>
        <v>0</v>
      </c>
      <c r="Q35" s="18">
        <f>H35*'Large Use Predicted Monthly'!$Z$14</f>
        <v>2169588.3068179414</v>
      </c>
      <c r="R35" s="18">
        <f>I35*'Large Use Predicted Monthly'!$Z$15</f>
        <v>0</v>
      </c>
      <c r="S35" s="18">
        <f>J35*'Large Use Predicted Monthly'!$Z$16</f>
        <v>177799.47475552099</v>
      </c>
      <c r="T35" s="18">
        <f>K35*'Large Use Predicted Monthly'!$Z$17</f>
        <v>13267.666405182987</v>
      </c>
      <c r="U35" s="18">
        <f t="shared" ca="1" si="3"/>
        <v>3281250.3212164086</v>
      </c>
    </row>
    <row r="36" spans="1:21" x14ac:dyDescent="0.25">
      <c r="A36" s="3">
        <f>'Monthly Data'!A36</f>
        <v>43040</v>
      </c>
      <c r="B36" s="1">
        <f t="shared" si="1"/>
        <v>2017</v>
      </c>
      <c r="C36" s="1">
        <f t="shared" si="2"/>
        <v>11</v>
      </c>
      <c r="D36" s="268">
        <f>'Monthly Data'!X36</f>
        <v>2933829.9156862791</v>
      </c>
      <c r="E36" s="278">
        <f t="shared" ca="1" si="5"/>
        <v>140.02366389045739</v>
      </c>
      <c r="F36" s="278">
        <f t="shared" ca="1" si="5"/>
        <v>0.8083333333333329</v>
      </c>
      <c r="G36" s="278">
        <f>'Monthly Data'!CC36</f>
        <v>35</v>
      </c>
      <c r="H36" s="278">
        <f>'Monthly Data'!CD36</f>
        <v>30</v>
      </c>
      <c r="I36" s="278">
        <f>'Monthly Data'!CG36</f>
        <v>0</v>
      </c>
      <c r="J36" s="278">
        <f>'Monthly Data'!CB36</f>
        <v>1</v>
      </c>
      <c r="K36" s="278">
        <f>'Monthly Data'!AX36</f>
        <v>6393</v>
      </c>
      <c r="M36" s="18">
        <f>'Large Use Predicted Monthly'!$Z$10</f>
        <v>877619.90234118199</v>
      </c>
      <c r="N36" s="18">
        <f ca="1">E36*'Large Use Predicted Monthly'!$Z$11</f>
        <v>59298.423958333726</v>
      </c>
      <c r="O36" s="18">
        <f ca="1">F36*'Large Use Predicted Monthly'!$Z$12</f>
        <v>1460.0356087534226</v>
      </c>
      <c r="P36" s="18">
        <f>G36*'Large Use Predicted Monthly'!$Z$13</f>
        <v>0</v>
      </c>
      <c r="Q36" s="18">
        <f>H36*'Large Use Predicted Monthly'!$Z$14</f>
        <v>2099601.5872431691</v>
      </c>
      <c r="R36" s="18">
        <f>I36*'Large Use Predicted Monthly'!$Z$15</f>
        <v>0</v>
      </c>
      <c r="S36" s="18">
        <f>J36*'Large Use Predicted Monthly'!$Z$16</f>
        <v>177799.47475552099</v>
      </c>
      <c r="T36" s="18">
        <f>K36*'Large Use Predicted Monthly'!$Z$17</f>
        <v>13267.666405182987</v>
      </c>
      <c r="U36" s="18">
        <f t="shared" ca="1" si="3"/>
        <v>3229047.0903121419</v>
      </c>
    </row>
    <row r="37" spans="1:21" x14ac:dyDescent="0.25">
      <c r="A37" s="3">
        <f>'Monthly Data'!A37</f>
        <v>43070</v>
      </c>
      <c r="B37" s="1">
        <f t="shared" si="1"/>
        <v>2017</v>
      </c>
      <c r="C37" s="1">
        <f t="shared" si="2"/>
        <v>12</v>
      </c>
      <c r="D37" s="268">
        <f>'Monthly Data'!X37</f>
        <v>3055515.8582477211</v>
      </c>
      <c r="E37" s="278">
        <f t="shared" ca="1" si="5"/>
        <v>268.92048913043476</v>
      </c>
      <c r="F37" s="278">
        <f t="shared" ca="1" si="5"/>
        <v>0</v>
      </c>
      <c r="G37" s="278">
        <f>'Monthly Data'!CC37</f>
        <v>36</v>
      </c>
      <c r="H37" s="278">
        <f>'Monthly Data'!CD37</f>
        <v>31</v>
      </c>
      <c r="I37" s="278">
        <f>'Monthly Data'!CG37</f>
        <v>0</v>
      </c>
      <c r="J37" s="278">
        <f>'Monthly Data'!CB37</f>
        <v>0</v>
      </c>
      <c r="K37" s="278">
        <f>'Monthly Data'!AX37</f>
        <v>6393</v>
      </c>
      <c r="M37" s="18">
        <f>'Large Use Predicted Monthly'!$Z$10</f>
        <v>877619.90234118199</v>
      </c>
      <c r="N37" s="18">
        <f ca="1">E37*'Large Use Predicted Monthly'!$Z$11</f>
        <v>113884.75870774408</v>
      </c>
      <c r="O37" s="18">
        <f ca="1">F37*'Large Use Predicted Monthly'!$Z$12</f>
        <v>0</v>
      </c>
      <c r="P37" s="18">
        <f>G37*'Large Use Predicted Monthly'!$Z$13</f>
        <v>0</v>
      </c>
      <c r="Q37" s="18">
        <f>H37*'Large Use Predicted Monthly'!$Z$14</f>
        <v>2169588.3068179414</v>
      </c>
      <c r="R37" s="18">
        <f>I37*'Large Use Predicted Monthly'!$Z$15</f>
        <v>0</v>
      </c>
      <c r="S37" s="18">
        <f>J37*'Large Use Predicted Monthly'!$Z$16</f>
        <v>0</v>
      </c>
      <c r="T37" s="18">
        <f>K37*'Large Use Predicted Monthly'!$Z$17</f>
        <v>13267.666405182987</v>
      </c>
      <c r="U37" s="18">
        <f t="shared" ca="1" si="3"/>
        <v>3174360.6342720501</v>
      </c>
    </row>
    <row r="38" spans="1:21" x14ac:dyDescent="0.25">
      <c r="A38" s="3">
        <f>'Monthly Data'!A38</f>
        <v>43101</v>
      </c>
      <c r="B38" s="1">
        <f t="shared" si="1"/>
        <v>2018</v>
      </c>
      <c r="C38" s="1">
        <f t="shared" si="2"/>
        <v>1</v>
      </c>
      <c r="D38" s="268">
        <f>'Monthly Data'!X38</f>
        <v>3620160.6120360349</v>
      </c>
      <c r="E38" s="278">
        <f t="shared" ca="1" si="5"/>
        <v>387.33418478260865</v>
      </c>
      <c r="F38" s="278">
        <f t="shared" ca="1" si="5"/>
        <v>0</v>
      </c>
      <c r="G38" s="278">
        <f>'Monthly Data'!CC38</f>
        <v>37</v>
      </c>
      <c r="H38" s="278">
        <f>'Monthly Data'!CD38</f>
        <v>31</v>
      </c>
      <c r="I38" s="278">
        <f>'Monthly Data'!CG38</f>
        <v>0</v>
      </c>
      <c r="J38" s="278">
        <f>'Monthly Data'!CB38</f>
        <v>0</v>
      </c>
      <c r="K38" s="278">
        <f>'Monthly Data'!AX38</f>
        <v>8006</v>
      </c>
      <c r="M38" s="18">
        <f>'Large Use Predicted Monthly'!$Z$10</f>
        <v>877619.90234118199</v>
      </c>
      <c r="N38" s="18">
        <f ca="1">E38*'Large Use Predicted Monthly'!$Z$11</f>
        <v>164031.6076914196</v>
      </c>
      <c r="O38" s="18">
        <f ca="1">F38*'Large Use Predicted Monthly'!$Z$12</f>
        <v>0</v>
      </c>
      <c r="P38" s="18">
        <f>G38*'Large Use Predicted Monthly'!$Z$13</f>
        <v>0</v>
      </c>
      <c r="Q38" s="18">
        <f>H38*'Large Use Predicted Monthly'!$Z$14</f>
        <v>2169588.3068179414</v>
      </c>
      <c r="R38" s="18">
        <f>I38*'Large Use Predicted Monthly'!$Z$15</f>
        <v>0</v>
      </c>
      <c r="S38" s="18">
        <f>J38*'Large Use Predicted Monthly'!$Z$16</f>
        <v>0</v>
      </c>
      <c r="T38" s="18">
        <f>K38*'Large Use Predicted Monthly'!$Z$17</f>
        <v>16615.194312512904</v>
      </c>
      <c r="U38" s="18">
        <f t="shared" ca="1" si="3"/>
        <v>3227855.0111630559</v>
      </c>
    </row>
    <row r="39" spans="1:21" x14ac:dyDescent="0.25">
      <c r="A39" s="3">
        <f>'Monthly Data'!A39</f>
        <v>43132</v>
      </c>
      <c r="B39" s="1">
        <f t="shared" si="1"/>
        <v>2018</v>
      </c>
      <c r="C39" s="1">
        <f t="shared" si="2"/>
        <v>2</v>
      </c>
      <c r="D39" s="268">
        <f>'Monthly Data'!X39</f>
        <v>3387300.9512546035</v>
      </c>
      <c r="E39" s="278">
        <f t="shared" ca="1" si="5"/>
        <v>341.39751811594203</v>
      </c>
      <c r="F39" s="278">
        <f t="shared" ca="1" si="5"/>
        <v>0</v>
      </c>
      <c r="G39" s="278">
        <f>'Monthly Data'!CC39</f>
        <v>38</v>
      </c>
      <c r="H39" s="278">
        <f>'Monthly Data'!CD39</f>
        <v>28</v>
      </c>
      <c r="I39" s="278">
        <f>'Monthly Data'!CG39</f>
        <v>0</v>
      </c>
      <c r="J39" s="278">
        <f>'Monthly Data'!CB39</f>
        <v>0</v>
      </c>
      <c r="K39" s="278">
        <f>'Monthly Data'!AX39</f>
        <v>8006</v>
      </c>
      <c r="M39" s="18">
        <f>'Large Use Predicted Monthly'!$Z$10</f>
        <v>877619.90234118199</v>
      </c>
      <c r="N39" s="18">
        <f ca="1">E39*'Large Use Predicted Monthly'!$Z$11</f>
        <v>144577.95350505537</v>
      </c>
      <c r="O39" s="18">
        <f ca="1">F39*'Large Use Predicted Monthly'!$Z$12</f>
        <v>0</v>
      </c>
      <c r="P39" s="18">
        <f>G39*'Large Use Predicted Monthly'!$Z$13</f>
        <v>0</v>
      </c>
      <c r="Q39" s="18">
        <f>H39*'Large Use Predicted Monthly'!$Z$14</f>
        <v>1959628.1480936245</v>
      </c>
      <c r="R39" s="18">
        <f>I39*'Large Use Predicted Monthly'!$Z$15</f>
        <v>0</v>
      </c>
      <c r="S39" s="18">
        <f>J39*'Large Use Predicted Monthly'!$Z$16</f>
        <v>0</v>
      </c>
      <c r="T39" s="18">
        <f>K39*'Large Use Predicted Monthly'!$Z$17</f>
        <v>16615.194312512904</v>
      </c>
      <c r="U39" s="18">
        <f t="shared" ca="1" si="3"/>
        <v>2998441.1982523748</v>
      </c>
    </row>
    <row r="40" spans="1:21" x14ac:dyDescent="0.25">
      <c r="A40" s="3">
        <f>'Monthly Data'!A40</f>
        <v>43160</v>
      </c>
      <c r="B40" s="1">
        <f t="shared" si="1"/>
        <v>2018</v>
      </c>
      <c r="C40" s="1">
        <f t="shared" si="2"/>
        <v>3</v>
      </c>
      <c r="D40" s="268">
        <f>'Monthly Data'!X40</f>
        <v>3736997.0486223674</v>
      </c>
      <c r="E40" s="278">
        <f t="shared" ca="1" si="5"/>
        <v>238.57840579710145</v>
      </c>
      <c r="F40" s="278">
        <f t="shared" ca="1" si="5"/>
        <v>0</v>
      </c>
      <c r="G40" s="278">
        <f>'Monthly Data'!CC40</f>
        <v>39</v>
      </c>
      <c r="H40" s="278">
        <f>'Monthly Data'!CD40</f>
        <v>31</v>
      </c>
      <c r="I40" s="278">
        <f>'Monthly Data'!CG40</f>
        <v>0</v>
      </c>
      <c r="J40" s="278">
        <f>'Monthly Data'!CB40</f>
        <v>1</v>
      </c>
      <c r="K40" s="278">
        <f>'Monthly Data'!AX40</f>
        <v>8006</v>
      </c>
      <c r="M40" s="18">
        <f>'Large Use Predicted Monthly'!$Z$10</f>
        <v>877619.90234118199</v>
      </c>
      <c r="N40" s="18">
        <f ca="1">E40*'Large Use Predicted Monthly'!$Z$11</f>
        <v>101035.23262559084</v>
      </c>
      <c r="O40" s="18">
        <f ca="1">F40*'Large Use Predicted Monthly'!$Z$12</f>
        <v>0</v>
      </c>
      <c r="P40" s="18">
        <f>G40*'Large Use Predicted Monthly'!$Z$13</f>
        <v>0</v>
      </c>
      <c r="Q40" s="18">
        <f>H40*'Large Use Predicted Monthly'!$Z$14</f>
        <v>2169588.3068179414</v>
      </c>
      <c r="R40" s="18">
        <f>I40*'Large Use Predicted Monthly'!$Z$15</f>
        <v>0</v>
      </c>
      <c r="S40" s="18">
        <f>J40*'Large Use Predicted Monthly'!$Z$16</f>
        <v>177799.47475552099</v>
      </c>
      <c r="T40" s="18">
        <f>K40*'Large Use Predicted Monthly'!$Z$17</f>
        <v>16615.194312512904</v>
      </c>
      <c r="U40" s="18">
        <f t="shared" ca="1" si="3"/>
        <v>3342658.1108527482</v>
      </c>
    </row>
    <row r="41" spans="1:21" x14ac:dyDescent="0.25">
      <c r="A41" s="3">
        <f>'Monthly Data'!A41</f>
        <v>43191</v>
      </c>
      <c r="B41" s="1">
        <f t="shared" si="1"/>
        <v>2018</v>
      </c>
      <c r="C41" s="1">
        <f t="shared" si="2"/>
        <v>4</v>
      </c>
      <c r="D41" s="268">
        <f>'Monthly Data'!X41</f>
        <v>3419037.4477658686</v>
      </c>
      <c r="E41" s="278">
        <f t="shared" ca="1" si="5"/>
        <v>79.984412878787879</v>
      </c>
      <c r="F41" s="278">
        <f t="shared" ca="1" si="5"/>
        <v>2.1908333333333347</v>
      </c>
      <c r="G41" s="278">
        <f>'Monthly Data'!CC41</f>
        <v>40</v>
      </c>
      <c r="H41" s="278">
        <f>'Monthly Data'!CD41</f>
        <v>30</v>
      </c>
      <c r="I41" s="278">
        <f>'Monthly Data'!CG41</f>
        <v>0</v>
      </c>
      <c r="J41" s="278">
        <f>'Monthly Data'!CB41</f>
        <v>1</v>
      </c>
      <c r="K41" s="278">
        <f>'Monthly Data'!AX41</f>
        <v>5437</v>
      </c>
      <c r="M41" s="18">
        <f>'Large Use Predicted Monthly'!$Z$10</f>
        <v>877619.90234118199</v>
      </c>
      <c r="N41" s="18">
        <f ca="1">E41*'Large Use Predicted Monthly'!$Z$11</f>
        <v>33872.4862152961</v>
      </c>
      <c r="O41" s="18">
        <f ca="1">F41*'Large Use Predicted Monthly'!$Z$12</f>
        <v>3957.1480571265488</v>
      </c>
      <c r="P41" s="18">
        <f>G41*'Large Use Predicted Monthly'!$Z$13</f>
        <v>0</v>
      </c>
      <c r="Q41" s="18">
        <f>H41*'Large Use Predicted Monthly'!$Z$14</f>
        <v>2099601.5872431691</v>
      </c>
      <c r="R41" s="18">
        <f>I41*'Large Use Predicted Monthly'!$Z$15</f>
        <v>0</v>
      </c>
      <c r="S41" s="18">
        <f>J41*'Large Use Predicted Monthly'!$Z$16</f>
        <v>177799.47475552099</v>
      </c>
      <c r="T41" s="18">
        <f>K41*'Large Use Predicted Monthly'!$Z$17</f>
        <v>11283.638705612373</v>
      </c>
      <c r="U41" s="18">
        <f t="shared" ca="1" si="3"/>
        <v>3204134.2373179067</v>
      </c>
    </row>
    <row r="42" spans="1:21" x14ac:dyDescent="0.25">
      <c r="A42" s="3">
        <f>'Monthly Data'!A42</f>
        <v>43221</v>
      </c>
      <c r="B42" s="1">
        <f t="shared" si="1"/>
        <v>2018</v>
      </c>
      <c r="C42" s="1">
        <f t="shared" si="2"/>
        <v>5</v>
      </c>
      <c r="D42" s="268">
        <f>'Monthly Data'!X42</f>
        <v>3787056.8058039271</v>
      </c>
      <c r="E42" s="278">
        <f t="shared" ca="1" si="5"/>
        <v>7.2018333333333331</v>
      </c>
      <c r="F42" s="278">
        <f t="shared" ca="1" si="5"/>
        <v>52.487435064935063</v>
      </c>
      <c r="G42" s="278">
        <f>'Monthly Data'!CC42</f>
        <v>41</v>
      </c>
      <c r="H42" s="278">
        <f>'Monthly Data'!CD42</f>
        <v>31</v>
      </c>
      <c r="I42" s="278">
        <f>'Monthly Data'!CG42</f>
        <v>0</v>
      </c>
      <c r="J42" s="278">
        <f>'Monthly Data'!CB42</f>
        <v>1</v>
      </c>
      <c r="K42" s="278">
        <f>'Monthly Data'!AX42</f>
        <v>5437</v>
      </c>
      <c r="M42" s="18">
        <f>'Large Use Predicted Monthly'!$Z$10</f>
        <v>877619.90234118199</v>
      </c>
      <c r="N42" s="18">
        <f ca="1">E42*'Large Use Predicted Monthly'!$Z$11</f>
        <v>3049.8942422428909</v>
      </c>
      <c r="O42" s="18">
        <f ca="1">F42*'Large Use Predicted Monthly'!$Z$12</f>
        <v>94804.359843634942</v>
      </c>
      <c r="P42" s="18">
        <f>G42*'Large Use Predicted Monthly'!$Z$13</f>
        <v>0</v>
      </c>
      <c r="Q42" s="18">
        <f>H42*'Large Use Predicted Monthly'!$Z$14</f>
        <v>2169588.3068179414</v>
      </c>
      <c r="R42" s="18">
        <f>I42*'Large Use Predicted Monthly'!$Z$15</f>
        <v>0</v>
      </c>
      <c r="S42" s="18">
        <f>J42*'Large Use Predicted Monthly'!$Z$16</f>
        <v>177799.47475552099</v>
      </c>
      <c r="T42" s="18">
        <f>K42*'Large Use Predicted Monthly'!$Z$17</f>
        <v>11283.638705612373</v>
      </c>
      <c r="U42" s="18">
        <f t="shared" ca="1" si="3"/>
        <v>3334145.5767061342</v>
      </c>
    </row>
    <row r="43" spans="1:21" x14ac:dyDescent="0.25">
      <c r="A43" s="3">
        <f>'Monthly Data'!A43</f>
        <v>43252</v>
      </c>
      <c r="B43" s="1">
        <f t="shared" si="1"/>
        <v>2018</v>
      </c>
      <c r="C43" s="1">
        <f t="shared" si="2"/>
        <v>6</v>
      </c>
      <c r="D43" s="268">
        <f>'Monthly Data'!X43</f>
        <v>3565064.5816179486</v>
      </c>
      <c r="E43" s="278">
        <f t="shared" ca="1" si="5"/>
        <v>0</v>
      </c>
      <c r="F43" s="278">
        <f t="shared" ca="1" si="5"/>
        <v>137.65451754405018</v>
      </c>
      <c r="G43" s="278">
        <f>'Monthly Data'!CC43</f>
        <v>42</v>
      </c>
      <c r="H43" s="278">
        <f>'Monthly Data'!CD43</f>
        <v>30</v>
      </c>
      <c r="I43" s="278">
        <f>'Monthly Data'!CG43</f>
        <v>0</v>
      </c>
      <c r="J43" s="278">
        <f>'Monthly Data'!CB43</f>
        <v>0</v>
      </c>
      <c r="K43" s="278">
        <f>'Monthly Data'!AX43</f>
        <v>5437</v>
      </c>
      <c r="M43" s="18">
        <f>'Large Use Predicted Monthly'!$Z$10</f>
        <v>877619.90234118199</v>
      </c>
      <c r="N43" s="18">
        <f ca="1">E43*'Large Use Predicted Monthly'!$Z$11</f>
        <v>0</v>
      </c>
      <c r="O43" s="18">
        <f ca="1">F43*'Large Use Predicted Monthly'!$Z$12</f>
        <v>248635.66678773539</v>
      </c>
      <c r="P43" s="18">
        <f>G43*'Large Use Predicted Monthly'!$Z$13</f>
        <v>0</v>
      </c>
      <c r="Q43" s="18">
        <f>H43*'Large Use Predicted Monthly'!$Z$14</f>
        <v>2099601.5872431691</v>
      </c>
      <c r="R43" s="18">
        <f>I43*'Large Use Predicted Monthly'!$Z$15</f>
        <v>0</v>
      </c>
      <c r="S43" s="18">
        <f>J43*'Large Use Predicted Monthly'!$Z$16</f>
        <v>0</v>
      </c>
      <c r="T43" s="18">
        <f>K43*'Large Use Predicted Monthly'!$Z$17</f>
        <v>11283.638705612373</v>
      </c>
      <c r="U43" s="18">
        <f t="shared" ca="1" si="3"/>
        <v>3237140.7950776983</v>
      </c>
    </row>
    <row r="44" spans="1:21" x14ac:dyDescent="0.25">
      <c r="A44" s="3">
        <f>'Monthly Data'!A44</f>
        <v>43282</v>
      </c>
      <c r="B44" s="1">
        <f t="shared" si="1"/>
        <v>2018</v>
      </c>
      <c r="C44" s="1">
        <f t="shared" si="2"/>
        <v>7</v>
      </c>
      <c r="D44" s="268">
        <f>'Monthly Data'!X44</f>
        <v>3968524.5859418889</v>
      </c>
      <c r="E44" s="278">
        <f t="shared" ca="1" si="5"/>
        <v>0</v>
      </c>
      <c r="F44" s="278">
        <f t="shared" ca="1" si="5"/>
        <v>235.94737858727848</v>
      </c>
      <c r="G44" s="278">
        <f>'Monthly Data'!CC44</f>
        <v>43</v>
      </c>
      <c r="H44" s="278">
        <f>'Monthly Data'!CD44</f>
        <v>31</v>
      </c>
      <c r="I44" s="278">
        <f>'Monthly Data'!CG44</f>
        <v>0</v>
      </c>
      <c r="J44" s="278">
        <f>'Monthly Data'!CB44</f>
        <v>0</v>
      </c>
      <c r="K44" s="278">
        <f>'Monthly Data'!AX44</f>
        <v>9244</v>
      </c>
      <c r="M44" s="18">
        <f>'Large Use Predicted Monthly'!$Z$10</f>
        <v>877619.90234118199</v>
      </c>
      <c r="N44" s="18">
        <f ca="1">E44*'Large Use Predicted Monthly'!$Z$11</f>
        <v>0</v>
      </c>
      <c r="O44" s="18">
        <f ca="1">F44*'Large Use Predicted Monthly'!$Z$12</f>
        <v>426175.14374777518</v>
      </c>
      <c r="P44" s="18">
        <f>G44*'Large Use Predicted Monthly'!$Z$13</f>
        <v>0</v>
      </c>
      <c r="Q44" s="18">
        <f>H44*'Large Use Predicted Monthly'!$Z$14</f>
        <v>2169588.3068179414</v>
      </c>
      <c r="R44" s="18">
        <f>I44*'Large Use Predicted Monthly'!$Z$15</f>
        <v>0</v>
      </c>
      <c r="S44" s="18">
        <f>J44*'Large Use Predicted Monthly'!$Z$16</f>
        <v>0</v>
      </c>
      <c r="T44" s="18">
        <f>K44*'Large Use Predicted Monthly'!$Z$17</f>
        <v>19184.468676601209</v>
      </c>
      <c r="U44" s="18">
        <f t="shared" ca="1" si="3"/>
        <v>3492567.8215834997</v>
      </c>
    </row>
    <row r="45" spans="1:21" x14ac:dyDescent="0.25">
      <c r="A45" s="3">
        <f>'Monthly Data'!A45</f>
        <v>43313</v>
      </c>
      <c r="B45" s="1">
        <f t="shared" si="1"/>
        <v>2018</v>
      </c>
      <c r="C45" s="1">
        <f t="shared" si="2"/>
        <v>8</v>
      </c>
      <c r="D45" s="268">
        <f>'Monthly Data'!X45</f>
        <v>4489467.8842810066</v>
      </c>
      <c r="E45" s="278">
        <f t="shared" ca="1" si="5"/>
        <v>0</v>
      </c>
      <c r="F45" s="278">
        <f t="shared" ca="1" si="5"/>
        <v>210.96558794466404</v>
      </c>
      <c r="G45" s="278">
        <f>'Monthly Data'!CC45</f>
        <v>44</v>
      </c>
      <c r="H45" s="278">
        <f>'Monthly Data'!CD45</f>
        <v>31</v>
      </c>
      <c r="I45" s="278">
        <f>'Monthly Data'!CG45</f>
        <v>0</v>
      </c>
      <c r="J45" s="278">
        <f>'Monthly Data'!CB45</f>
        <v>0</v>
      </c>
      <c r="K45" s="278">
        <f>'Monthly Data'!AX45</f>
        <v>9244</v>
      </c>
      <c r="M45" s="18">
        <f>'Large Use Predicted Monthly'!$Z$10</f>
        <v>877619.90234118199</v>
      </c>
      <c r="N45" s="18">
        <f ca="1">E45*'Large Use Predicted Monthly'!$Z$11</f>
        <v>0</v>
      </c>
      <c r="O45" s="18">
        <f ca="1">F45*'Large Use Predicted Monthly'!$Z$12</f>
        <v>381052.29355151928</v>
      </c>
      <c r="P45" s="18">
        <f>G45*'Large Use Predicted Monthly'!$Z$13</f>
        <v>0</v>
      </c>
      <c r="Q45" s="18">
        <f>H45*'Large Use Predicted Monthly'!$Z$14</f>
        <v>2169588.3068179414</v>
      </c>
      <c r="R45" s="18">
        <f>I45*'Large Use Predicted Monthly'!$Z$15</f>
        <v>0</v>
      </c>
      <c r="S45" s="18">
        <f>J45*'Large Use Predicted Monthly'!$Z$16</f>
        <v>0</v>
      </c>
      <c r="T45" s="18">
        <f>K45*'Large Use Predicted Monthly'!$Z$17</f>
        <v>19184.468676601209</v>
      </c>
      <c r="U45" s="18">
        <f t="shared" ca="1" si="3"/>
        <v>3447444.9713872438</v>
      </c>
    </row>
    <row r="46" spans="1:21" x14ac:dyDescent="0.25">
      <c r="A46" s="3">
        <f>'Monthly Data'!A46</f>
        <v>43344</v>
      </c>
      <c r="B46" s="1">
        <f t="shared" si="1"/>
        <v>2018</v>
      </c>
      <c r="C46" s="1">
        <f t="shared" si="2"/>
        <v>9</v>
      </c>
      <c r="D46" s="268">
        <f>'Monthly Data'!X46</f>
        <v>4295278.7381676789</v>
      </c>
      <c r="E46" s="278">
        <f t="shared" ca="1" si="5"/>
        <v>0</v>
      </c>
      <c r="F46" s="278">
        <f t="shared" ca="1" si="5"/>
        <v>106.4160119047619</v>
      </c>
      <c r="G46" s="278">
        <f>'Monthly Data'!CC46</f>
        <v>45</v>
      </c>
      <c r="H46" s="278">
        <f>'Monthly Data'!CD46</f>
        <v>30</v>
      </c>
      <c r="I46" s="278">
        <f>'Monthly Data'!CG46</f>
        <v>0</v>
      </c>
      <c r="J46" s="278">
        <f>'Monthly Data'!CB46</f>
        <v>1</v>
      </c>
      <c r="K46" s="278">
        <f>'Monthly Data'!AX46</f>
        <v>9244</v>
      </c>
      <c r="M46" s="18">
        <f>'Large Use Predicted Monthly'!$Z$10</f>
        <v>877619.90234118199</v>
      </c>
      <c r="N46" s="18">
        <f ca="1">E46*'Large Use Predicted Monthly'!$Z$11</f>
        <v>0</v>
      </c>
      <c r="O46" s="18">
        <f ca="1">F46*'Large Use Predicted Monthly'!$Z$12</f>
        <v>192211.75264636773</v>
      </c>
      <c r="P46" s="18">
        <f>G46*'Large Use Predicted Monthly'!$Z$13</f>
        <v>0</v>
      </c>
      <c r="Q46" s="18">
        <f>H46*'Large Use Predicted Monthly'!$Z$14</f>
        <v>2099601.5872431691</v>
      </c>
      <c r="R46" s="18">
        <f>I46*'Large Use Predicted Monthly'!$Z$15</f>
        <v>0</v>
      </c>
      <c r="S46" s="18">
        <f>J46*'Large Use Predicted Monthly'!$Z$16</f>
        <v>177799.47475552099</v>
      </c>
      <c r="T46" s="18">
        <f>K46*'Large Use Predicted Monthly'!$Z$17</f>
        <v>19184.468676601209</v>
      </c>
      <c r="U46" s="18">
        <f t="shared" ca="1" si="3"/>
        <v>3366417.185662841</v>
      </c>
    </row>
    <row r="47" spans="1:21" x14ac:dyDescent="0.25">
      <c r="A47" s="3">
        <f>'Monthly Data'!A47</f>
        <v>43374</v>
      </c>
      <c r="B47" s="1">
        <f t="shared" si="1"/>
        <v>2018</v>
      </c>
      <c r="C47" s="1">
        <f t="shared" si="2"/>
        <v>10</v>
      </c>
      <c r="D47" s="268">
        <f>'Monthly Data'!X47</f>
        <v>3908812.9224410886</v>
      </c>
      <c r="E47" s="278">
        <f t="shared" ref="E47:F62" ca="1" si="6">E35</f>
        <v>24.76139492753623</v>
      </c>
      <c r="F47" s="278">
        <f t="shared" ca="1" si="6"/>
        <v>17.987083333333334</v>
      </c>
      <c r="G47" s="278">
        <f>'Monthly Data'!CC47</f>
        <v>46</v>
      </c>
      <c r="H47" s="278">
        <f>'Monthly Data'!CD47</f>
        <v>31</v>
      </c>
      <c r="I47" s="278">
        <f>'Monthly Data'!CG47</f>
        <v>0</v>
      </c>
      <c r="J47" s="278">
        <f>'Monthly Data'!CB47</f>
        <v>1</v>
      </c>
      <c r="K47" s="278">
        <f>'Monthly Data'!AX47</f>
        <v>5492</v>
      </c>
      <c r="M47" s="18">
        <f>'Large Use Predicted Monthly'!$Z$10</f>
        <v>877619.90234118199</v>
      </c>
      <c r="N47" s="18">
        <f ca="1">E47*'Large Use Predicted Monthly'!$Z$11</f>
        <v>10486.168219119447</v>
      </c>
      <c r="O47" s="18">
        <f ca="1">F47*'Large Use Predicted Monthly'!$Z$12</f>
        <v>32488.802677462132</v>
      </c>
      <c r="P47" s="18">
        <f>G47*'Large Use Predicted Monthly'!$Z$13</f>
        <v>0</v>
      </c>
      <c r="Q47" s="18">
        <f>H47*'Large Use Predicted Monthly'!$Z$14</f>
        <v>2169588.3068179414</v>
      </c>
      <c r="R47" s="18">
        <f>I47*'Large Use Predicted Monthly'!$Z$15</f>
        <v>0</v>
      </c>
      <c r="S47" s="18">
        <f>J47*'Large Use Predicted Monthly'!$Z$16</f>
        <v>177799.47475552099</v>
      </c>
      <c r="T47" s="18">
        <f>K47*'Large Use Predicted Monthly'!$Z$17</f>
        <v>11397.782558621142</v>
      </c>
      <c r="U47" s="18">
        <f t="shared" ca="1" si="3"/>
        <v>3279380.4373698472</v>
      </c>
    </row>
    <row r="48" spans="1:21"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Data'!CC48</f>
        <v>47</v>
      </c>
      <c r="H48" s="278">
        <f>'Monthly Data'!CD48</f>
        <v>30</v>
      </c>
      <c r="I48" s="278">
        <f>'Monthly Data'!CG48</f>
        <v>0</v>
      </c>
      <c r="J48" s="278">
        <f>'Monthly Data'!CB48</f>
        <v>1</v>
      </c>
      <c r="K48" s="278">
        <f>'Monthly Data'!AX48</f>
        <v>5492</v>
      </c>
      <c r="M48" s="18">
        <f>'Large Use Predicted Monthly'!$Z$10</f>
        <v>877619.90234118199</v>
      </c>
      <c r="N48" s="18">
        <f ca="1">E48*'Large Use Predicted Monthly'!$Z$11</f>
        <v>59298.423958333726</v>
      </c>
      <c r="O48" s="18">
        <f ca="1">F48*'Large Use Predicted Monthly'!$Z$12</f>
        <v>1460.0356087534226</v>
      </c>
      <c r="P48" s="18">
        <f>G48*'Large Use Predicted Monthly'!$Z$13</f>
        <v>0</v>
      </c>
      <c r="Q48" s="18">
        <f>H48*'Large Use Predicted Monthly'!$Z$14</f>
        <v>2099601.5872431691</v>
      </c>
      <c r="R48" s="18">
        <f>I48*'Large Use Predicted Monthly'!$Z$15</f>
        <v>0</v>
      </c>
      <c r="S48" s="18">
        <f>J48*'Large Use Predicted Monthly'!$Z$16</f>
        <v>177799.47475552099</v>
      </c>
      <c r="T48" s="18">
        <f>K48*'Large Use Predicted Monthly'!$Z$17</f>
        <v>11397.782558621142</v>
      </c>
      <c r="U48" s="18">
        <f t="shared" ca="1" si="3"/>
        <v>3227177.2064655805</v>
      </c>
    </row>
    <row r="49" spans="1:21"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Data'!CC49</f>
        <v>48</v>
      </c>
      <c r="H49" s="278">
        <f>'Monthly Data'!CD49</f>
        <v>31</v>
      </c>
      <c r="I49" s="278">
        <f>'Monthly Data'!CG49</f>
        <v>0</v>
      </c>
      <c r="J49" s="278">
        <f>'Monthly Data'!CB49</f>
        <v>0</v>
      </c>
      <c r="K49" s="278">
        <f>'Monthly Data'!AX49</f>
        <v>5492</v>
      </c>
      <c r="M49" s="18">
        <f>'Large Use Predicted Monthly'!$Z$10</f>
        <v>877619.90234118199</v>
      </c>
      <c r="N49" s="18">
        <f ca="1">E49*'Large Use Predicted Monthly'!$Z$11</f>
        <v>113884.75870774408</v>
      </c>
      <c r="O49" s="18">
        <f ca="1">F49*'Large Use Predicted Monthly'!$Z$12</f>
        <v>0</v>
      </c>
      <c r="P49" s="18">
        <f>G49*'Large Use Predicted Monthly'!$Z$13</f>
        <v>0</v>
      </c>
      <c r="Q49" s="18">
        <f>H49*'Large Use Predicted Monthly'!$Z$14</f>
        <v>2169588.3068179414</v>
      </c>
      <c r="R49" s="18">
        <f>I49*'Large Use Predicted Monthly'!$Z$15</f>
        <v>0</v>
      </c>
      <c r="S49" s="18">
        <f>J49*'Large Use Predicted Monthly'!$Z$16</f>
        <v>0</v>
      </c>
      <c r="T49" s="18">
        <f>K49*'Large Use Predicted Monthly'!$Z$17</f>
        <v>11397.782558621142</v>
      </c>
      <c r="U49" s="18">
        <f t="shared" ca="1" si="3"/>
        <v>3172490.7504254887</v>
      </c>
    </row>
    <row r="50" spans="1:21"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Data'!CC50</f>
        <v>49</v>
      </c>
      <c r="H50" s="278">
        <f>'Monthly Data'!CD50</f>
        <v>31</v>
      </c>
      <c r="I50" s="278">
        <f>'Monthly Data'!CG50</f>
        <v>0</v>
      </c>
      <c r="J50" s="278">
        <f>'Monthly Data'!CB50</f>
        <v>0</v>
      </c>
      <c r="K50" s="278">
        <f>'Monthly Data'!AX50</f>
        <v>1092</v>
      </c>
      <c r="M50" s="18">
        <f>'Large Use Predicted Monthly'!$Z$10</f>
        <v>877619.90234118199</v>
      </c>
      <c r="N50" s="18">
        <f ca="1">E50*'Large Use Predicted Monthly'!$Z$11</f>
        <v>164031.6076914196</v>
      </c>
      <c r="O50" s="18">
        <f ca="1">F50*'Large Use Predicted Monthly'!$Z$12</f>
        <v>0</v>
      </c>
      <c r="P50" s="18">
        <f>G50*'Large Use Predicted Monthly'!$Z$13</f>
        <v>0</v>
      </c>
      <c r="Q50" s="18">
        <f>H50*'Large Use Predicted Monthly'!$Z$14</f>
        <v>2169588.3068179414</v>
      </c>
      <c r="R50" s="18">
        <f>I50*'Large Use Predicted Monthly'!$Z$15</f>
        <v>0</v>
      </c>
      <c r="S50" s="18">
        <f>J50*'Large Use Predicted Monthly'!$Z$16</f>
        <v>0</v>
      </c>
      <c r="T50" s="18">
        <f>K50*'Large Use Predicted Monthly'!$Z$17</f>
        <v>2266.2743179195718</v>
      </c>
      <c r="U50" s="18">
        <f t="shared" ca="1" si="3"/>
        <v>3213506.0911684628</v>
      </c>
    </row>
    <row r="51" spans="1:21"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Data'!CC51</f>
        <v>50</v>
      </c>
      <c r="H51" s="278">
        <f>'Monthly Data'!CD51</f>
        <v>28</v>
      </c>
      <c r="I51" s="278">
        <f>'Monthly Data'!CG51</f>
        <v>0</v>
      </c>
      <c r="J51" s="278">
        <f>'Monthly Data'!CB51</f>
        <v>0</v>
      </c>
      <c r="K51" s="278">
        <f>'Monthly Data'!AX51</f>
        <v>1092</v>
      </c>
      <c r="M51" s="18">
        <f>'Large Use Predicted Monthly'!$Z$10</f>
        <v>877619.90234118199</v>
      </c>
      <c r="N51" s="18">
        <f ca="1">E51*'Large Use Predicted Monthly'!$Z$11</f>
        <v>144577.95350505537</v>
      </c>
      <c r="O51" s="18">
        <f ca="1">F51*'Large Use Predicted Monthly'!$Z$12</f>
        <v>0</v>
      </c>
      <c r="P51" s="18">
        <f>G51*'Large Use Predicted Monthly'!$Z$13</f>
        <v>0</v>
      </c>
      <c r="Q51" s="18">
        <f>H51*'Large Use Predicted Monthly'!$Z$14</f>
        <v>1959628.1480936245</v>
      </c>
      <c r="R51" s="18">
        <f>I51*'Large Use Predicted Monthly'!$Z$15</f>
        <v>0</v>
      </c>
      <c r="S51" s="18">
        <f>J51*'Large Use Predicted Monthly'!$Z$16</f>
        <v>0</v>
      </c>
      <c r="T51" s="18">
        <f>K51*'Large Use Predicted Monthly'!$Z$17</f>
        <v>2266.2743179195718</v>
      </c>
      <c r="U51" s="18">
        <f t="shared" ca="1" si="3"/>
        <v>2984092.2782577816</v>
      </c>
    </row>
    <row r="52" spans="1:21"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Data'!CC52</f>
        <v>51</v>
      </c>
      <c r="H52" s="278">
        <f>'Monthly Data'!CD52</f>
        <v>31</v>
      </c>
      <c r="I52" s="278">
        <f>'Monthly Data'!CG52</f>
        <v>0</v>
      </c>
      <c r="J52" s="278">
        <f>'Monthly Data'!CB52</f>
        <v>1</v>
      </c>
      <c r="K52" s="278">
        <f>'Monthly Data'!AX52</f>
        <v>1092</v>
      </c>
      <c r="M52" s="18">
        <f>'Large Use Predicted Monthly'!$Z$10</f>
        <v>877619.90234118199</v>
      </c>
      <c r="N52" s="18">
        <f ca="1">E52*'Large Use Predicted Monthly'!$Z$11</f>
        <v>101035.23262559084</v>
      </c>
      <c r="O52" s="18">
        <f ca="1">F52*'Large Use Predicted Monthly'!$Z$12</f>
        <v>0</v>
      </c>
      <c r="P52" s="18">
        <f>G52*'Large Use Predicted Monthly'!$Z$13</f>
        <v>0</v>
      </c>
      <c r="Q52" s="18">
        <f>H52*'Large Use Predicted Monthly'!$Z$14</f>
        <v>2169588.3068179414</v>
      </c>
      <c r="R52" s="18">
        <f>I52*'Large Use Predicted Monthly'!$Z$15</f>
        <v>0</v>
      </c>
      <c r="S52" s="18">
        <f>J52*'Large Use Predicted Monthly'!$Z$16</f>
        <v>177799.47475552099</v>
      </c>
      <c r="T52" s="18">
        <f>K52*'Large Use Predicted Monthly'!$Z$17</f>
        <v>2266.2743179195718</v>
      </c>
      <c r="U52" s="18">
        <f t="shared" ca="1" si="3"/>
        <v>3328309.190858155</v>
      </c>
    </row>
    <row r="53" spans="1:21"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Data'!CC53</f>
        <v>52</v>
      </c>
      <c r="H53" s="278">
        <f>'Monthly Data'!CD53</f>
        <v>30</v>
      </c>
      <c r="I53" s="278">
        <f>'Monthly Data'!CG53</f>
        <v>0</v>
      </c>
      <c r="J53" s="278">
        <f>'Monthly Data'!CB53</f>
        <v>1</v>
      </c>
      <c r="K53" s="278">
        <f>'Monthly Data'!AX53</f>
        <v>5906</v>
      </c>
      <c r="M53" s="18">
        <f>'Large Use Predicted Monthly'!$Z$10</f>
        <v>877619.90234118199</v>
      </c>
      <c r="N53" s="18">
        <f ca="1">E53*'Large Use Predicted Monthly'!$Z$11</f>
        <v>33872.4862152961</v>
      </c>
      <c r="O53" s="18">
        <f ca="1">F53*'Large Use Predicted Monthly'!$Z$12</f>
        <v>3957.1480571265488</v>
      </c>
      <c r="P53" s="18">
        <f>G53*'Large Use Predicted Monthly'!$Z$13</f>
        <v>0</v>
      </c>
      <c r="Q53" s="18">
        <f>H53*'Large Use Predicted Monthly'!$Z$14</f>
        <v>2099601.5872431691</v>
      </c>
      <c r="R53" s="18">
        <f>I53*'Large Use Predicted Monthly'!$Z$15</f>
        <v>0</v>
      </c>
      <c r="S53" s="18">
        <f>J53*'Large Use Predicted Monthly'!$Z$16</f>
        <v>177799.47475552099</v>
      </c>
      <c r="T53" s="18">
        <f>K53*'Large Use Predicted Monthly'!$Z$17</f>
        <v>12256.974470359881</v>
      </c>
      <c r="U53" s="18">
        <f t="shared" ca="1" si="3"/>
        <v>3205107.5730826543</v>
      </c>
    </row>
    <row r="54" spans="1:21" x14ac:dyDescent="0.25">
      <c r="A54" s="3">
        <f>'Monthly Data'!A54</f>
        <v>43586</v>
      </c>
      <c r="B54" s="1">
        <f t="shared" si="1"/>
        <v>2019</v>
      </c>
      <c r="C54" s="1">
        <f t="shared" si="2"/>
        <v>5</v>
      </c>
      <c r="D54" s="268">
        <f>'Monthly Data'!X54</f>
        <v>3185460.1100917053</v>
      </c>
      <c r="E54" s="278">
        <f t="shared" ca="1" si="6"/>
        <v>7.2018333333333331</v>
      </c>
      <c r="F54" s="278">
        <f t="shared" ca="1" si="6"/>
        <v>52.487435064935063</v>
      </c>
      <c r="G54" s="278">
        <f>'Monthly Data'!CC54</f>
        <v>53</v>
      </c>
      <c r="H54" s="278">
        <f>'Monthly Data'!CD54</f>
        <v>31</v>
      </c>
      <c r="I54" s="278">
        <f>'Monthly Data'!CG54</f>
        <v>0</v>
      </c>
      <c r="J54" s="278">
        <f>'Monthly Data'!CB54</f>
        <v>1</v>
      </c>
      <c r="K54" s="278">
        <f>'Monthly Data'!AX54</f>
        <v>5906</v>
      </c>
      <c r="M54" s="18">
        <f>'Large Use Predicted Monthly'!$Z$10</f>
        <v>877619.90234118199</v>
      </c>
      <c r="N54" s="18">
        <f ca="1">E54*'Large Use Predicted Monthly'!$Z$11</f>
        <v>3049.8942422428909</v>
      </c>
      <c r="O54" s="18">
        <f ca="1">F54*'Large Use Predicted Monthly'!$Z$12</f>
        <v>94804.359843634942</v>
      </c>
      <c r="P54" s="18">
        <f>G54*'Large Use Predicted Monthly'!$Z$13</f>
        <v>0</v>
      </c>
      <c r="Q54" s="18">
        <f>H54*'Large Use Predicted Monthly'!$Z$14</f>
        <v>2169588.3068179414</v>
      </c>
      <c r="R54" s="18">
        <f>I54*'Large Use Predicted Monthly'!$Z$15</f>
        <v>0</v>
      </c>
      <c r="S54" s="18">
        <f>J54*'Large Use Predicted Monthly'!$Z$16</f>
        <v>177799.47475552099</v>
      </c>
      <c r="T54" s="18">
        <f>K54*'Large Use Predicted Monthly'!$Z$17</f>
        <v>12256.974470359881</v>
      </c>
      <c r="U54" s="18">
        <f t="shared" ca="1" si="3"/>
        <v>3335118.9124708818</v>
      </c>
    </row>
    <row r="55" spans="1:21" x14ac:dyDescent="0.25">
      <c r="A55" s="3">
        <f>'Monthly Data'!A55</f>
        <v>43617</v>
      </c>
      <c r="B55" s="1">
        <f t="shared" si="1"/>
        <v>2019</v>
      </c>
      <c r="C55" s="1">
        <f t="shared" si="2"/>
        <v>6</v>
      </c>
      <c r="D55" s="268">
        <f>'Monthly Data'!X55</f>
        <v>3195698.6000678479</v>
      </c>
      <c r="E55" s="278">
        <f t="shared" ca="1" si="6"/>
        <v>0</v>
      </c>
      <c r="F55" s="278">
        <f t="shared" ca="1" si="6"/>
        <v>137.65451754405018</v>
      </c>
      <c r="G55" s="278">
        <f>'Monthly Data'!CC55</f>
        <v>54</v>
      </c>
      <c r="H55" s="278">
        <f>'Monthly Data'!CD55</f>
        <v>30</v>
      </c>
      <c r="I55" s="278">
        <f>'Monthly Data'!CG55</f>
        <v>0</v>
      </c>
      <c r="J55" s="278">
        <f>'Monthly Data'!CB55</f>
        <v>0</v>
      </c>
      <c r="K55" s="278">
        <f>'Monthly Data'!AX55</f>
        <v>5906</v>
      </c>
      <c r="M55" s="18">
        <f>'Large Use Predicted Monthly'!$Z$10</f>
        <v>877619.90234118199</v>
      </c>
      <c r="N55" s="18">
        <f ca="1">E55*'Large Use Predicted Monthly'!$Z$11</f>
        <v>0</v>
      </c>
      <c r="O55" s="18">
        <f ca="1">F55*'Large Use Predicted Monthly'!$Z$12</f>
        <v>248635.66678773539</v>
      </c>
      <c r="P55" s="18">
        <f>G55*'Large Use Predicted Monthly'!$Z$13</f>
        <v>0</v>
      </c>
      <c r="Q55" s="18">
        <f>H55*'Large Use Predicted Monthly'!$Z$14</f>
        <v>2099601.5872431691</v>
      </c>
      <c r="R55" s="18">
        <f>I55*'Large Use Predicted Monthly'!$Z$15</f>
        <v>0</v>
      </c>
      <c r="S55" s="18">
        <f>J55*'Large Use Predicted Monthly'!$Z$16</f>
        <v>0</v>
      </c>
      <c r="T55" s="18">
        <f>K55*'Large Use Predicted Monthly'!$Z$17</f>
        <v>12256.974470359881</v>
      </c>
      <c r="U55" s="18">
        <f t="shared" ca="1" si="3"/>
        <v>3238114.1308424459</v>
      </c>
    </row>
    <row r="56" spans="1:21" x14ac:dyDescent="0.25">
      <c r="A56" s="3">
        <f>'Monthly Data'!A56</f>
        <v>43647</v>
      </c>
      <c r="B56" s="1">
        <f t="shared" si="1"/>
        <v>2019</v>
      </c>
      <c r="C56" s="1">
        <f t="shared" si="2"/>
        <v>7</v>
      </c>
      <c r="D56" s="268">
        <f>'Monthly Data'!X56</f>
        <v>3490545.2096623592</v>
      </c>
      <c r="E56" s="278">
        <f t="shared" ca="1" si="6"/>
        <v>0</v>
      </c>
      <c r="F56" s="278">
        <f t="shared" ca="1" si="6"/>
        <v>235.94737858727848</v>
      </c>
      <c r="G56" s="278">
        <f>'Monthly Data'!CC56</f>
        <v>55</v>
      </c>
      <c r="H56" s="278">
        <f>'Monthly Data'!CD56</f>
        <v>31</v>
      </c>
      <c r="I56" s="278">
        <f>'Monthly Data'!CG56</f>
        <v>0</v>
      </c>
      <c r="J56" s="278">
        <f>'Monthly Data'!CB56</f>
        <v>0</v>
      </c>
      <c r="K56" s="278">
        <f>'Monthly Data'!AX56</f>
        <v>3717</v>
      </c>
      <c r="M56" s="18">
        <f>'Large Use Predicted Monthly'!$Z$10</f>
        <v>877619.90234118199</v>
      </c>
      <c r="N56" s="18">
        <f ca="1">E56*'Large Use Predicted Monthly'!$Z$11</f>
        <v>0</v>
      </c>
      <c r="O56" s="18">
        <f ca="1">F56*'Large Use Predicted Monthly'!$Z$12</f>
        <v>426175.14374777518</v>
      </c>
      <c r="P56" s="18">
        <f>G56*'Large Use Predicted Monthly'!$Z$13</f>
        <v>0</v>
      </c>
      <c r="Q56" s="18">
        <f>H56*'Large Use Predicted Monthly'!$Z$14</f>
        <v>2169588.3068179414</v>
      </c>
      <c r="R56" s="18">
        <f>I56*'Large Use Predicted Monthly'!$Z$15</f>
        <v>0</v>
      </c>
      <c r="S56" s="18">
        <f>J56*'Large Use Predicted Monthly'!$Z$16</f>
        <v>0</v>
      </c>
      <c r="T56" s="18">
        <f>K56*'Large Use Predicted Monthly'!$Z$17</f>
        <v>7714.04912061085</v>
      </c>
      <c r="U56" s="18">
        <f t="shared" ca="1" si="3"/>
        <v>3481097.4020275096</v>
      </c>
    </row>
    <row r="57" spans="1:21" x14ac:dyDescent="0.25">
      <c r="A57" s="3">
        <f>'Monthly Data'!A57</f>
        <v>43678</v>
      </c>
      <c r="B57" s="1">
        <f t="shared" si="1"/>
        <v>2019</v>
      </c>
      <c r="C57" s="1">
        <f t="shared" si="2"/>
        <v>8</v>
      </c>
      <c r="D57" s="268">
        <f>'Monthly Data'!X57</f>
        <v>3574224.7099011471</v>
      </c>
      <c r="E57" s="278">
        <f t="shared" ca="1" si="6"/>
        <v>0</v>
      </c>
      <c r="F57" s="278">
        <f t="shared" ca="1" si="6"/>
        <v>210.96558794466404</v>
      </c>
      <c r="G57" s="278">
        <f>'Monthly Data'!CC57</f>
        <v>56</v>
      </c>
      <c r="H57" s="278">
        <f>'Monthly Data'!CD57</f>
        <v>31</v>
      </c>
      <c r="I57" s="278">
        <f>'Monthly Data'!CG57</f>
        <v>0</v>
      </c>
      <c r="J57" s="278">
        <f>'Monthly Data'!CB57</f>
        <v>0</v>
      </c>
      <c r="K57" s="278">
        <f>'Monthly Data'!AX57</f>
        <v>3717</v>
      </c>
      <c r="M57" s="18">
        <f>'Large Use Predicted Monthly'!$Z$10</f>
        <v>877619.90234118199</v>
      </c>
      <c r="N57" s="18">
        <f ca="1">E57*'Large Use Predicted Monthly'!$Z$11</f>
        <v>0</v>
      </c>
      <c r="O57" s="18">
        <f ca="1">F57*'Large Use Predicted Monthly'!$Z$12</f>
        <v>381052.29355151928</v>
      </c>
      <c r="P57" s="18">
        <f>G57*'Large Use Predicted Monthly'!$Z$13</f>
        <v>0</v>
      </c>
      <c r="Q57" s="18">
        <f>H57*'Large Use Predicted Monthly'!$Z$14</f>
        <v>2169588.3068179414</v>
      </c>
      <c r="R57" s="18">
        <f>I57*'Large Use Predicted Monthly'!$Z$15</f>
        <v>0</v>
      </c>
      <c r="S57" s="18">
        <f>J57*'Large Use Predicted Monthly'!$Z$16</f>
        <v>0</v>
      </c>
      <c r="T57" s="18">
        <f>K57*'Large Use Predicted Monthly'!$Z$17</f>
        <v>7714.04912061085</v>
      </c>
      <c r="U57" s="18">
        <f t="shared" ca="1" si="3"/>
        <v>3435974.5518312538</v>
      </c>
    </row>
    <row r="58" spans="1:21" x14ac:dyDescent="0.25">
      <c r="A58" s="3">
        <f>'Monthly Data'!A58</f>
        <v>43709</v>
      </c>
      <c r="B58" s="1">
        <f t="shared" si="1"/>
        <v>2019</v>
      </c>
      <c r="C58" s="1">
        <f t="shared" si="2"/>
        <v>9</v>
      </c>
      <c r="D58" s="268">
        <f>'Monthly Data'!X58</f>
        <v>3325099.9908512547</v>
      </c>
      <c r="E58" s="278">
        <f t="shared" ca="1" si="6"/>
        <v>0</v>
      </c>
      <c r="F58" s="278">
        <f t="shared" ca="1" si="6"/>
        <v>106.4160119047619</v>
      </c>
      <c r="G58" s="278">
        <f>'Monthly Data'!CC58</f>
        <v>57</v>
      </c>
      <c r="H58" s="278">
        <f>'Monthly Data'!CD58</f>
        <v>30</v>
      </c>
      <c r="I58" s="278">
        <f>'Monthly Data'!CG58</f>
        <v>0</v>
      </c>
      <c r="J58" s="278">
        <f>'Monthly Data'!CB58</f>
        <v>1</v>
      </c>
      <c r="K58" s="278">
        <f>'Monthly Data'!AX58</f>
        <v>3717</v>
      </c>
      <c r="M58" s="18">
        <f>'Large Use Predicted Monthly'!$Z$10</f>
        <v>877619.90234118199</v>
      </c>
      <c r="N58" s="18">
        <f ca="1">E58*'Large Use Predicted Monthly'!$Z$11</f>
        <v>0</v>
      </c>
      <c r="O58" s="18">
        <f ca="1">F58*'Large Use Predicted Monthly'!$Z$12</f>
        <v>192211.75264636773</v>
      </c>
      <c r="P58" s="18">
        <f>G58*'Large Use Predicted Monthly'!$Z$13</f>
        <v>0</v>
      </c>
      <c r="Q58" s="18">
        <f>H58*'Large Use Predicted Monthly'!$Z$14</f>
        <v>2099601.5872431691</v>
      </c>
      <c r="R58" s="18">
        <f>I58*'Large Use Predicted Monthly'!$Z$15</f>
        <v>0</v>
      </c>
      <c r="S58" s="18">
        <f>J58*'Large Use Predicted Monthly'!$Z$16</f>
        <v>177799.47475552099</v>
      </c>
      <c r="T58" s="18">
        <f>K58*'Large Use Predicted Monthly'!$Z$17</f>
        <v>7714.04912061085</v>
      </c>
      <c r="U58" s="18">
        <f t="shared" ca="1" si="3"/>
        <v>3354946.7661068509</v>
      </c>
    </row>
    <row r="59" spans="1:21" x14ac:dyDescent="0.25">
      <c r="A59" s="3">
        <f>'Monthly Data'!A59</f>
        <v>43739</v>
      </c>
      <c r="B59" s="1">
        <f t="shared" si="1"/>
        <v>2019</v>
      </c>
      <c r="C59" s="1">
        <f t="shared" si="2"/>
        <v>10</v>
      </c>
      <c r="D59" s="268">
        <f>'Monthly Data'!X59</f>
        <v>3258814.2217580262</v>
      </c>
      <c r="E59" s="278">
        <f t="shared" ca="1" si="6"/>
        <v>24.76139492753623</v>
      </c>
      <c r="F59" s="278">
        <f t="shared" ca="1" si="6"/>
        <v>17.987083333333334</v>
      </c>
      <c r="G59" s="278">
        <f>'Monthly Data'!CC59</f>
        <v>58</v>
      </c>
      <c r="H59" s="278">
        <f>'Monthly Data'!CD59</f>
        <v>31</v>
      </c>
      <c r="I59" s="278">
        <f>'Monthly Data'!CG59</f>
        <v>0</v>
      </c>
      <c r="J59" s="278">
        <f>'Monthly Data'!CB59</f>
        <v>1</v>
      </c>
      <c r="K59" s="278">
        <f>'Monthly Data'!AX59</f>
        <v>1050</v>
      </c>
      <c r="M59" s="18">
        <f>'Large Use Predicted Monthly'!$Z$10</f>
        <v>877619.90234118199</v>
      </c>
      <c r="N59" s="18">
        <f ca="1">E59*'Large Use Predicted Monthly'!$Z$11</f>
        <v>10486.168219119447</v>
      </c>
      <c r="O59" s="18">
        <f ca="1">F59*'Large Use Predicted Monthly'!$Z$12</f>
        <v>32488.802677462132</v>
      </c>
      <c r="P59" s="18">
        <f>G59*'Large Use Predicted Monthly'!$Z$13</f>
        <v>0</v>
      </c>
      <c r="Q59" s="18">
        <f>H59*'Large Use Predicted Monthly'!$Z$14</f>
        <v>2169588.3068179414</v>
      </c>
      <c r="R59" s="18">
        <f>I59*'Large Use Predicted Monthly'!$Z$15</f>
        <v>0</v>
      </c>
      <c r="S59" s="18">
        <f>J59*'Large Use Predicted Monthly'!$Z$16</f>
        <v>177799.47475552099</v>
      </c>
      <c r="T59" s="18">
        <f>K59*'Large Use Predicted Monthly'!$Z$17</f>
        <v>2179.1099210765115</v>
      </c>
      <c r="U59" s="18">
        <f t="shared" ca="1" si="3"/>
        <v>3270161.7647323022</v>
      </c>
    </row>
    <row r="60" spans="1:21" x14ac:dyDescent="0.25">
      <c r="A60" s="3">
        <f>'Monthly Data'!A60</f>
        <v>43770</v>
      </c>
      <c r="B60" s="1">
        <f t="shared" si="1"/>
        <v>2019</v>
      </c>
      <c r="C60" s="1">
        <f t="shared" si="2"/>
        <v>11</v>
      </c>
      <c r="D60" s="268">
        <f>'Monthly Data'!X60</f>
        <v>3258812.8122494793</v>
      </c>
      <c r="E60" s="278">
        <f t="shared" ca="1" si="6"/>
        <v>140.02366389045739</v>
      </c>
      <c r="F60" s="278">
        <f t="shared" ca="1" si="6"/>
        <v>0.8083333333333329</v>
      </c>
      <c r="G60" s="278">
        <f>'Monthly Data'!CC60</f>
        <v>59</v>
      </c>
      <c r="H60" s="278">
        <f>'Monthly Data'!CD60</f>
        <v>30</v>
      </c>
      <c r="I60" s="278">
        <f>'Monthly Data'!CG60</f>
        <v>0</v>
      </c>
      <c r="J60" s="278">
        <f>'Monthly Data'!CB60</f>
        <v>1</v>
      </c>
      <c r="K60" s="278">
        <f>'Monthly Data'!AX60</f>
        <v>1050</v>
      </c>
      <c r="M60" s="18">
        <f>'Large Use Predicted Monthly'!$Z$10</f>
        <v>877619.90234118199</v>
      </c>
      <c r="N60" s="18">
        <f ca="1">E60*'Large Use Predicted Monthly'!$Z$11</f>
        <v>59298.423958333726</v>
      </c>
      <c r="O60" s="18">
        <f ca="1">F60*'Large Use Predicted Monthly'!$Z$12</f>
        <v>1460.0356087534226</v>
      </c>
      <c r="P60" s="18">
        <f>G60*'Large Use Predicted Monthly'!$Z$13</f>
        <v>0</v>
      </c>
      <c r="Q60" s="18">
        <f>H60*'Large Use Predicted Monthly'!$Z$14</f>
        <v>2099601.5872431691</v>
      </c>
      <c r="R60" s="18">
        <f>I60*'Large Use Predicted Monthly'!$Z$15</f>
        <v>0</v>
      </c>
      <c r="S60" s="18">
        <f>J60*'Large Use Predicted Monthly'!$Z$16</f>
        <v>177799.47475552099</v>
      </c>
      <c r="T60" s="18">
        <f>K60*'Large Use Predicted Monthly'!$Z$17</f>
        <v>2179.1099210765115</v>
      </c>
      <c r="U60" s="18">
        <f t="shared" ca="1" si="3"/>
        <v>3217958.5338280355</v>
      </c>
    </row>
    <row r="61" spans="1:21" x14ac:dyDescent="0.25">
      <c r="A61" s="3">
        <f>'Monthly Data'!A61</f>
        <v>43800</v>
      </c>
      <c r="B61" s="1">
        <f t="shared" si="1"/>
        <v>2019</v>
      </c>
      <c r="C61" s="1">
        <f t="shared" si="2"/>
        <v>12</v>
      </c>
      <c r="D61" s="268">
        <f>'Monthly Data'!X61</f>
        <v>3152827.0955878673</v>
      </c>
      <c r="E61" s="278">
        <f t="shared" ca="1" si="6"/>
        <v>268.92048913043476</v>
      </c>
      <c r="F61" s="278">
        <f t="shared" ca="1" si="6"/>
        <v>0</v>
      </c>
      <c r="G61" s="278">
        <f>'Monthly Data'!CC61</f>
        <v>60</v>
      </c>
      <c r="H61" s="278">
        <f>'Monthly Data'!CD61</f>
        <v>31</v>
      </c>
      <c r="I61" s="278">
        <f>'Monthly Data'!CG61</f>
        <v>0</v>
      </c>
      <c r="J61" s="278">
        <f>'Monthly Data'!CB61</f>
        <v>0</v>
      </c>
      <c r="K61" s="278">
        <f>'Monthly Data'!AX61</f>
        <v>1050</v>
      </c>
      <c r="M61" s="18">
        <f>'Large Use Predicted Monthly'!$Z$10</f>
        <v>877619.90234118199</v>
      </c>
      <c r="N61" s="18">
        <f ca="1">E61*'Large Use Predicted Monthly'!$Z$11</f>
        <v>113884.75870774408</v>
      </c>
      <c r="O61" s="18">
        <f ca="1">F61*'Large Use Predicted Monthly'!$Z$12</f>
        <v>0</v>
      </c>
      <c r="P61" s="18">
        <f>G61*'Large Use Predicted Monthly'!$Z$13</f>
        <v>0</v>
      </c>
      <c r="Q61" s="18">
        <f>H61*'Large Use Predicted Monthly'!$Z$14</f>
        <v>2169588.3068179414</v>
      </c>
      <c r="R61" s="18">
        <f>I61*'Large Use Predicted Monthly'!$Z$15</f>
        <v>0</v>
      </c>
      <c r="S61" s="18">
        <f>J61*'Large Use Predicted Monthly'!$Z$16</f>
        <v>0</v>
      </c>
      <c r="T61" s="18">
        <f>K61*'Large Use Predicted Monthly'!$Z$17</f>
        <v>2179.1099210765115</v>
      </c>
      <c r="U61" s="18">
        <f t="shared" ca="1" si="3"/>
        <v>3163272.0777879437</v>
      </c>
    </row>
    <row r="62" spans="1:21" x14ac:dyDescent="0.25">
      <c r="A62" s="3">
        <f>'Monthly Data'!A62</f>
        <v>43831</v>
      </c>
      <c r="B62" s="1">
        <f t="shared" si="1"/>
        <v>2020</v>
      </c>
      <c r="C62" s="1">
        <f t="shared" si="2"/>
        <v>1</v>
      </c>
      <c r="D62" s="268">
        <f>'Monthly Data'!X62</f>
        <v>3074944.6463091564</v>
      </c>
      <c r="E62" s="278">
        <f t="shared" ca="1" si="6"/>
        <v>387.33418478260865</v>
      </c>
      <c r="F62" s="278">
        <f t="shared" ca="1" si="6"/>
        <v>0</v>
      </c>
      <c r="G62" s="278">
        <f>'Monthly Data'!CC62</f>
        <v>61</v>
      </c>
      <c r="H62" s="278">
        <f>'Monthly Data'!CD62</f>
        <v>31</v>
      </c>
      <c r="I62" s="278">
        <f>'Monthly Data'!CG62</f>
        <v>0</v>
      </c>
      <c r="J62" s="278">
        <f>'Monthly Data'!CB62</f>
        <v>0</v>
      </c>
      <c r="K62" s="278">
        <f>'Monthly Data'!AX62</f>
        <v>-11271</v>
      </c>
      <c r="M62" s="18">
        <f>'Large Use Predicted Monthly'!$Z$10</f>
        <v>877619.90234118199</v>
      </c>
      <c r="N62" s="18">
        <f ca="1">E62*'Large Use Predicted Monthly'!$Z$11</f>
        <v>164031.6076914196</v>
      </c>
      <c r="O62" s="18">
        <f ca="1">F62*'Large Use Predicted Monthly'!$Z$12</f>
        <v>0</v>
      </c>
      <c r="P62" s="18">
        <f>G62*'Large Use Predicted Monthly'!$Z$13</f>
        <v>0</v>
      </c>
      <c r="Q62" s="18">
        <f>H62*'Large Use Predicted Monthly'!$Z$14</f>
        <v>2169588.3068179414</v>
      </c>
      <c r="R62" s="18">
        <f>I62*'Large Use Predicted Monthly'!$Z$15</f>
        <v>0</v>
      </c>
      <c r="S62" s="18">
        <f>J62*'Large Use Predicted Monthly'!$Z$16</f>
        <v>0</v>
      </c>
      <c r="T62" s="18">
        <f>K62*'Large Use Predicted Monthly'!$Z$17</f>
        <v>-23391.188495669867</v>
      </c>
      <c r="U62" s="18">
        <f t="shared" ca="1" si="3"/>
        <v>3187848.628354873</v>
      </c>
    </row>
    <row r="63" spans="1:21" x14ac:dyDescent="0.25">
      <c r="A63" s="3">
        <f>'Monthly Data'!A63</f>
        <v>43862</v>
      </c>
      <c r="B63" s="1">
        <f t="shared" si="1"/>
        <v>2020</v>
      </c>
      <c r="C63" s="1">
        <f t="shared" si="2"/>
        <v>2</v>
      </c>
      <c r="D63" s="268">
        <f>'Monthly Data'!X63</f>
        <v>2762028.6144291847</v>
      </c>
      <c r="E63" s="278">
        <f t="shared" ref="E63:F78" ca="1" si="7">E51</f>
        <v>341.39751811594203</v>
      </c>
      <c r="F63" s="278">
        <f t="shared" ca="1" si="7"/>
        <v>0</v>
      </c>
      <c r="G63" s="278">
        <f>'Monthly Data'!CC63</f>
        <v>62</v>
      </c>
      <c r="H63" s="278">
        <f>'Monthly Data'!CD63</f>
        <v>29</v>
      </c>
      <c r="I63" s="278">
        <f>'Monthly Data'!CG63</f>
        <v>0</v>
      </c>
      <c r="J63" s="278">
        <f>'Monthly Data'!CB63</f>
        <v>0</v>
      </c>
      <c r="K63" s="278">
        <f>'Monthly Data'!AX63</f>
        <v>-11271</v>
      </c>
      <c r="M63" s="18">
        <f>'Large Use Predicted Monthly'!$Z$10</f>
        <v>877619.90234118199</v>
      </c>
      <c r="N63" s="18">
        <f ca="1">E63*'Large Use Predicted Monthly'!$Z$11</f>
        <v>144577.95350505537</v>
      </c>
      <c r="O63" s="18">
        <f ca="1">F63*'Large Use Predicted Monthly'!$Z$12</f>
        <v>0</v>
      </c>
      <c r="P63" s="18">
        <f>G63*'Large Use Predicted Monthly'!$Z$13</f>
        <v>0</v>
      </c>
      <c r="Q63" s="18">
        <f>H63*'Large Use Predicted Monthly'!$Z$14</f>
        <v>2029614.8676683968</v>
      </c>
      <c r="R63" s="18">
        <f>I63*'Large Use Predicted Monthly'!$Z$15</f>
        <v>0</v>
      </c>
      <c r="S63" s="18">
        <f>J63*'Large Use Predicted Monthly'!$Z$16</f>
        <v>0</v>
      </c>
      <c r="T63" s="18">
        <f>K63*'Large Use Predicted Monthly'!$Z$17</f>
        <v>-23391.188495669867</v>
      </c>
      <c r="U63" s="18">
        <f t="shared" ca="1" si="3"/>
        <v>3028421.5350189642</v>
      </c>
    </row>
    <row r="64" spans="1:21" x14ac:dyDescent="0.25">
      <c r="A64" s="3">
        <f>'Monthly Data'!A64</f>
        <v>43891</v>
      </c>
      <c r="B64" s="1">
        <f t="shared" si="1"/>
        <v>2020</v>
      </c>
      <c r="C64" s="1">
        <f t="shared" si="2"/>
        <v>3</v>
      </c>
      <c r="D64" s="268">
        <f>'Monthly Data'!X64</f>
        <v>2607055.7041125842</v>
      </c>
      <c r="E64" s="278">
        <f t="shared" ca="1" si="7"/>
        <v>238.57840579710145</v>
      </c>
      <c r="F64" s="278">
        <f t="shared" ca="1" si="7"/>
        <v>0</v>
      </c>
      <c r="G64" s="278">
        <f>'Monthly Data'!CC64</f>
        <v>63</v>
      </c>
      <c r="H64" s="278">
        <f>'Monthly Data'!CD64</f>
        <v>31</v>
      </c>
      <c r="I64" s="278">
        <f>'Monthly Data'!CG64</f>
        <v>0.5</v>
      </c>
      <c r="J64" s="278">
        <f>'Monthly Data'!CB64</f>
        <v>1</v>
      </c>
      <c r="K64" s="278">
        <f>'Monthly Data'!AX64</f>
        <v>-11271</v>
      </c>
      <c r="M64" s="18">
        <f>'Large Use Predicted Monthly'!$Z$10</f>
        <v>877619.90234118199</v>
      </c>
      <c r="N64" s="18">
        <f ca="1">E64*'Large Use Predicted Monthly'!$Z$11</f>
        <v>101035.23262559084</v>
      </c>
      <c r="O64" s="18">
        <f ca="1">F64*'Large Use Predicted Monthly'!$Z$12</f>
        <v>0</v>
      </c>
      <c r="P64" s="18">
        <f>G64*'Large Use Predicted Monthly'!$Z$13</f>
        <v>0</v>
      </c>
      <c r="Q64" s="18">
        <f>H64*'Large Use Predicted Monthly'!$Z$14</f>
        <v>2169588.3068179414</v>
      </c>
      <c r="R64" s="18">
        <f>I64*'Large Use Predicted Monthly'!$Z$15</f>
        <v>-344616.62771173252</v>
      </c>
      <c r="S64" s="18">
        <f>J64*'Large Use Predicted Monthly'!$Z$16</f>
        <v>177799.47475552099</v>
      </c>
      <c r="T64" s="18">
        <f>K64*'Large Use Predicted Monthly'!$Z$17</f>
        <v>-23391.188495669867</v>
      </c>
      <c r="U64" s="18">
        <f t="shared" ca="1" si="3"/>
        <v>2958035.1003328329</v>
      </c>
    </row>
    <row r="65" spans="1:21" x14ac:dyDescent="0.25">
      <c r="A65" s="3">
        <f>'Monthly Data'!A65</f>
        <v>43922</v>
      </c>
      <c r="B65" s="1">
        <f t="shared" si="1"/>
        <v>2020</v>
      </c>
      <c r="C65" s="1">
        <f t="shared" si="2"/>
        <v>4</v>
      </c>
      <c r="D65" s="268">
        <f>'Monthly Data'!X65</f>
        <v>2049425.4094162788</v>
      </c>
      <c r="E65" s="278">
        <f t="shared" ca="1" si="7"/>
        <v>79.984412878787879</v>
      </c>
      <c r="F65" s="278">
        <f t="shared" ca="1" si="7"/>
        <v>2.1908333333333347</v>
      </c>
      <c r="G65" s="278">
        <f>'Monthly Data'!CC65</f>
        <v>64</v>
      </c>
      <c r="H65" s="278">
        <f>'Monthly Data'!CD65</f>
        <v>30</v>
      </c>
      <c r="I65" s="278">
        <f>'Monthly Data'!CG65</f>
        <v>1</v>
      </c>
      <c r="J65" s="278">
        <f>'Monthly Data'!CB65</f>
        <v>1</v>
      </c>
      <c r="K65" s="278">
        <f>'Monthly Data'!AX65</f>
        <v>-93587</v>
      </c>
      <c r="M65" s="18">
        <f>'Large Use Predicted Monthly'!$Z$10</f>
        <v>877619.90234118199</v>
      </c>
      <c r="N65" s="18">
        <f ca="1">E65*'Large Use Predicted Monthly'!$Z$11</f>
        <v>33872.4862152961</v>
      </c>
      <c r="O65" s="18">
        <f ca="1">F65*'Large Use Predicted Monthly'!$Z$12</f>
        <v>3957.1480571265488</v>
      </c>
      <c r="P65" s="18">
        <f>G65*'Large Use Predicted Monthly'!$Z$13</f>
        <v>0</v>
      </c>
      <c r="Q65" s="18">
        <f>H65*'Large Use Predicted Monthly'!$Z$14</f>
        <v>2099601.5872431691</v>
      </c>
      <c r="R65" s="18">
        <f>I65*'Large Use Predicted Monthly'!$Z$15</f>
        <v>-689233.25542346505</v>
      </c>
      <c r="S65" s="18">
        <f>J65*'Large Use Predicted Monthly'!$Z$16</f>
        <v>177799.47475552099</v>
      </c>
      <c r="T65" s="18">
        <f>K65*'Large Use Predicted Monthly'!$Z$17</f>
        <v>-194225.10493694045</v>
      </c>
      <c r="U65" s="18">
        <f t="shared" ca="1" si="3"/>
        <v>2309392.2382518891</v>
      </c>
    </row>
    <row r="66" spans="1:21" x14ac:dyDescent="0.25">
      <c r="A66" s="3">
        <f>'Monthly Data'!A66</f>
        <v>43952</v>
      </c>
      <c r="B66" s="1">
        <f t="shared" ref="B66:B129" si="8">YEAR(A66)</f>
        <v>2020</v>
      </c>
      <c r="C66" s="1">
        <f t="shared" ref="C66:C129" si="9">MONTH(A66)</f>
        <v>5</v>
      </c>
      <c r="D66" s="268">
        <f>'Monthly Data'!X66</f>
        <v>1973281.7621213137</v>
      </c>
      <c r="E66" s="278">
        <f t="shared" ca="1" si="7"/>
        <v>7.2018333333333331</v>
      </c>
      <c r="F66" s="278">
        <f t="shared" ca="1" si="7"/>
        <v>52.487435064935063</v>
      </c>
      <c r="G66" s="278">
        <f>'Monthly Data'!CC66</f>
        <v>65</v>
      </c>
      <c r="H66" s="278">
        <f>'Monthly Data'!CD66</f>
        <v>31</v>
      </c>
      <c r="I66" s="278">
        <f>'Monthly Data'!CG66</f>
        <v>1</v>
      </c>
      <c r="J66" s="278">
        <f>'Monthly Data'!CB66</f>
        <v>1</v>
      </c>
      <c r="K66" s="278">
        <f>'Monthly Data'!AX66</f>
        <v>-93587</v>
      </c>
      <c r="M66" s="18">
        <f>'Large Use Predicted Monthly'!$Z$10</f>
        <v>877619.90234118199</v>
      </c>
      <c r="N66" s="18">
        <f ca="1">E66*'Large Use Predicted Monthly'!$Z$11</f>
        <v>3049.8942422428909</v>
      </c>
      <c r="O66" s="18">
        <f ca="1">F66*'Large Use Predicted Monthly'!$Z$12</f>
        <v>94804.359843634942</v>
      </c>
      <c r="P66" s="18">
        <f>G66*'Large Use Predicted Monthly'!$Z$13</f>
        <v>0</v>
      </c>
      <c r="Q66" s="18">
        <f>H66*'Large Use Predicted Monthly'!$Z$14</f>
        <v>2169588.3068179414</v>
      </c>
      <c r="R66" s="18">
        <f>I66*'Large Use Predicted Monthly'!$Z$15</f>
        <v>-689233.25542346505</v>
      </c>
      <c r="S66" s="18">
        <f>J66*'Large Use Predicted Monthly'!$Z$16</f>
        <v>177799.47475552099</v>
      </c>
      <c r="T66" s="18">
        <f>K66*'Large Use Predicted Monthly'!$Z$17</f>
        <v>-194225.10493694045</v>
      </c>
      <c r="U66" s="18">
        <f t="shared" ca="1" si="3"/>
        <v>2439403.5776401162</v>
      </c>
    </row>
    <row r="67" spans="1:21" x14ac:dyDescent="0.25">
      <c r="A67" s="3">
        <f>'Monthly Data'!A67</f>
        <v>43983</v>
      </c>
      <c r="B67" s="1">
        <f t="shared" si="8"/>
        <v>2020</v>
      </c>
      <c r="C67" s="1">
        <f t="shared" si="9"/>
        <v>6</v>
      </c>
      <c r="D67" s="268">
        <f>'Monthly Data'!X67</f>
        <v>2238034.5752989105</v>
      </c>
      <c r="E67" s="278">
        <f t="shared" ca="1" si="7"/>
        <v>0</v>
      </c>
      <c r="F67" s="278">
        <f t="shared" ca="1" si="7"/>
        <v>137.65451754405018</v>
      </c>
      <c r="G67" s="278">
        <f>'Monthly Data'!CC67</f>
        <v>66</v>
      </c>
      <c r="H67" s="278">
        <f>'Monthly Data'!CD67</f>
        <v>30</v>
      </c>
      <c r="I67" s="278">
        <f>'Monthly Data'!CG67</f>
        <v>0.5</v>
      </c>
      <c r="J67" s="278">
        <f>'Monthly Data'!CB67</f>
        <v>0</v>
      </c>
      <c r="K67" s="278">
        <f>'Monthly Data'!AX67</f>
        <v>-93587</v>
      </c>
      <c r="M67" s="18">
        <f>'Large Use Predicted Monthly'!$Z$10</f>
        <v>877619.90234118199</v>
      </c>
      <c r="N67" s="18">
        <f ca="1">E67*'Large Use Predicted Monthly'!$Z$11</f>
        <v>0</v>
      </c>
      <c r="O67" s="18">
        <f ca="1">F67*'Large Use Predicted Monthly'!$Z$12</f>
        <v>248635.66678773539</v>
      </c>
      <c r="P67" s="18">
        <f>G67*'Large Use Predicted Monthly'!$Z$13</f>
        <v>0</v>
      </c>
      <c r="Q67" s="18">
        <f>H67*'Large Use Predicted Monthly'!$Z$14</f>
        <v>2099601.5872431691</v>
      </c>
      <c r="R67" s="18">
        <f>I67*'Large Use Predicted Monthly'!$Z$15</f>
        <v>-344616.62771173252</v>
      </c>
      <c r="S67" s="18">
        <f>J67*'Large Use Predicted Monthly'!$Z$16</f>
        <v>0</v>
      </c>
      <c r="T67" s="18">
        <f>K67*'Large Use Predicted Monthly'!$Z$17</f>
        <v>-194225.10493694045</v>
      </c>
      <c r="U67" s="18">
        <f t="shared" ref="U67:U130" ca="1" si="10">SUM(M67:T67)</f>
        <v>2687015.4237234131</v>
      </c>
    </row>
    <row r="68" spans="1:21" x14ac:dyDescent="0.25">
      <c r="A68" s="3">
        <f>'Monthly Data'!A68</f>
        <v>44013</v>
      </c>
      <c r="B68" s="1">
        <f t="shared" si="8"/>
        <v>2020</v>
      </c>
      <c r="C68" s="1">
        <f t="shared" si="9"/>
        <v>7</v>
      </c>
      <c r="D68" s="268">
        <f>'Monthly Data'!X68</f>
        <v>2794912.6777092903</v>
      </c>
      <c r="E68" s="278">
        <f t="shared" ca="1" si="7"/>
        <v>0</v>
      </c>
      <c r="F68" s="278">
        <f t="shared" ca="1" si="7"/>
        <v>235.94737858727848</v>
      </c>
      <c r="G68" s="278">
        <f>'Monthly Data'!CC68</f>
        <v>67</v>
      </c>
      <c r="H68" s="278">
        <f>'Monthly Data'!CD68</f>
        <v>31</v>
      </c>
      <c r="I68" s="278">
        <f>'Monthly Data'!CG68</f>
        <v>0.5</v>
      </c>
      <c r="J68" s="278">
        <f>'Monthly Data'!CB68</f>
        <v>0</v>
      </c>
      <c r="K68" s="278">
        <f>'Monthly Data'!AX68</f>
        <v>70686</v>
      </c>
      <c r="M68" s="18">
        <f>'Large Use Predicted Monthly'!$Z$10</f>
        <v>877619.90234118199</v>
      </c>
      <c r="N68" s="18">
        <f ca="1">E68*'Large Use Predicted Monthly'!$Z$11</f>
        <v>0</v>
      </c>
      <c r="O68" s="18">
        <f ca="1">F68*'Large Use Predicted Monthly'!$Z$12</f>
        <v>426175.14374777518</v>
      </c>
      <c r="P68" s="18">
        <f>G68*'Large Use Predicted Monthly'!$Z$13</f>
        <v>0</v>
      </c>
      <c r="Q68" s="18">
        <f>H68*'Large Use Predicted Monthly'!$Z$14</f>
        <v>2169588.3068179414</v>
      </c>
      <c r="R68" s="18">
        <f>I68*'Large Use Predicted Monthly'!$Z$15</f>
        <v>-344616.62771173252</v>
      </c>
      <c r="S68" s="18">
        <f>J68*'Large Use Predicted Monthly'!$Z$16</f>
        <v>0</v>
      </c>
      <c r="T68" s="18">
        <f>K68*'Large Use Predicted Monthly'!$Z$17</f>
        <v>146697.67988687073</v>
      </c>
      <c r="U68" s="18">
        <f t="shared" ca="1" si="10"/>
        <v>3275464.4050820367</v>
      </c>
    </row>
    <row r="69" spans="1:21" x14ac:dyDescent="0.25">
      <c r="A69" s="3">
        <f>'Monthly Data'!A69</f>
        <v>44044</v>
      </c>
      <c r="B69" s="1">
        <f t="shared" si="8"/>
        <v>2020</v>
      </c>
      <c r="C69" s="1">
        <f t="shared" si="9"/>
        <v>8</v>
      </c>
      <c r="D69" s="268">
        <f>'Monthly Data'!X69</f>
        <v>2846971.9201273769</v>
      </c>
      <c r="E69" s="278">
        <f t="shared" ca="1" si="7"/>
        <v>0</v>
      </c>
      <c r="F69" s="278">
        <f t="shared" ca="1" si="7"/>
        <v>210.96558794466404</v>
      </c>
      <c r="G69" s="278">
        <f>'Monthly Data'!CC69</f>
        <v>68</v>
      </c>
      <c r="H69" s="278">
        <f>'Monthly Data'!CD69</f>
        <v>31</v>
      </c>
      <c r="I69" s="278">
        <f>'Monthly Data'!CG69</f>
        <v>0.5</v>
      </c>
      <c r="J69" s="278">
        <f>'Monthly Data'!CB69</f>
        <v>0</v>
      </c>
      <c r="K69" s="278">
        <f>'Monthly Data'!AX69</f>
        <v>70686</v>
      </c>
      <c r="M69" s="18">
        <f>'Large Use Predicted Monthly'!$Z$10</f>
        <v>877619.90234118199</v>
      </c>
      <c r="N69" s="18">
        <f ca="1">E69*'Large Use Predicted Monthly'!$Z$11</f>
        <v>0</v>
      </c>
      <c r="O69" s="18">
        <f ca="1">F69*'Large Use Predicted Monthly'!$Z$12</f>
        <v>381052.29355151928</v>
      </c>
      <c r="P69" s="18">
        <f>G69*'Large Use Predicted Monthly'!$Z$13</f>
        <v>0</v>
      </c>
      <c r="Q69" s="18">
        <f>H69*'Large Use Predicted Monthly'!$Z$14</f>
        <v>2169588.3068179414</v>
      </c>
      <c r="R69" s="18">
        <f>I69*'Large Use Predicted Monthly'!$Z$15</f>
        <v>-344616.62771173252</v>
      </c>
      <c r="S69" s="18">
        <f>J69*'Large Use Predicted Monthly'!$Z$16</f>
        <v>0</v>
      </c>
      <c r="T69" s="18">
        <f>K69*'Large Use Predicted Monthly'!$Z$17</f>
        <v>146697.67988687073</v>
      </c>
      <c r="U69" s="18">
        <f t="shared" ca="1" si="10"/>
        <v>3230341.5548857809</v>
      </c>
    </row>
    <row r="70" spans="1:21" x14ac:dyDescent="0.25">
      <c r="A70" s="3">
        <f>'Monthly Data'!A70</f>
        <v>44075</v>
      </c>
      <c r="B70" s="1">
        <f t="shared" si="8"/>
        <v>2020</v>
      </c>
      <c r="C70" s="1">
        <f t="shared" si="9"/>
        <v>9</v>
      </c>
      <c r="D70" s="268">
        <f>'Monthly Data'!X70</f>
        <v>2796480.6781213125</v>
      </c>
      <c r="E70" s="278">
        <f t="shared" ca="1" si="7"/>
        <v>0</v>
      </c>
      <c r="F70" s="278">
        <f t="shared" ca="1" si="7"/>
        <v>106.4160119047619</v>
      </c>
      <c r="G70" s="278">
        <f>'Monthly Data'!CC70</f>
        <v>69</v>
      </c>
      <c r="H70" s="278">
        <f>'Monthly Data'!CD70</f>
        <v>30</v>
      </c>
      <c r="I70" s="278">
        <f>'Monthly Data'!CG70</f>
        <v>0.5</v>
      </c>
      <c r="J70" s="278">
        <f>'Monthly Data'!CB70</f>
        <v>1</v>
      </c>
      <c r="K70" s="278">
        <f>'Monthly Data'!AX70</f>
        <v>70686</v>
      </c>
      <c r="M70" s="18">
        <f>'Large Use Predicted Monthly'!$Z$10</f>
        <v>877619.90234118199</v>
      </c>
      <c r="N70" s="18">
        <f ca="1">E70*'Large Use Predicted Monthly'!$Z$11</f>
        <v>0</v>
      </c>
      <c r="O70" s="18">
        <f ca="1">F70*'Large Use Predicted Monthly'!$Z$12</f>
        <v>192211.75264636773</v>
      </c>
      <c r="P70" s="18">
        <f>G70*'Large Use Predicted Monthly'!$Z$13</f>
        <v>0</v>
      </c>
      <c r="Q70" s="18">
        <f>H70*'Large Use Predicted Monthly'!$Z$14</f>
        <v>2099601.5872431691</v>
      </c>
      <c r="R70" s="18">
        <f>I70*'Large Use Predicted Monthly'!$Z$15</f>
        <v>-344616.62771173252</v>
      </c>
      <c r="S70" s="18">
        <f>J70*'Large Use Predicted Monthly'!$Z$16</f>
        <v>177799.47475552099</v>
      </c>
      <c r="T70" s="18">
        <f>K70*'Large Use Predicted Monthly'!$Z$17</f>
        <v>146697.67988687073</v>
      </c>
      <c r="U70" s="18">
        <f t="shared" ca="1" si="10"/>
        <v>3149313.769161378</v>
      </c>
    </row>
    <row r="71" spans="1:21" x14ac:dyDescent="0.25">
      <c r="A71" s="3">
        <f>'Monthly Data'!A71</f>
        <v>44105</v>
      </c>
      <c r="B71" s="1">
        <f t="shared" si="8"/>
        <v>2020</v>
      </c>
      <c r="C71" s="1">
        <f t="shared" si="9"/>
        <v>10</v>
      </c>
      <c r="D71" s="268">
        <f>'Monthly Data'!X71</f>
        <v>2572644.9041530807</v>
      </c>
      <c r="E71" s="278">
        <f t="shared" ca="1" si="7"/>
        <v>24.76139492753623</v>
      </c>
      <c r="F71" s="278">
        <f t="shared" ca="1" si="7"/>
        <v>17.987083333333334</v>
      </c>
      <c r="G71" s="278">
        <f>'Monthly Data'!CC71</f>
        <v>70</v>
      </c>
      <c r="H71" s="278">
        <f>'Monthly Data'!CD71</f>
        <v>31</v>
      </c>
      <c r="I71" s="278">
        <f>'Monthly Data'!CG71</f>
        <v>0.5</v>
      </c>
      <c r="J71" s="278">
        <f>'Monthly Data'!CB71</f>
        <v>1</v>
      </c>
      <c r="K71" s="278">
        <f>'Monthly Data'!AX71</f>
        <v>18654</v>
      </c>
      <c r="M71" s="18">
        <f>'Large Use Predicted Monthly'!$Z$10</f>
        <v>877619.90234118199</v>
      </c>
      <c r="N71" s="18">
        <f ca="1">E71*'Large Use Predicted Monthly'!$Z$11</f>
        <v>10486.168219119447</v>
      </c>
      <c r="O71" s="18">
        <f ca="1">F71*'Large Use Predicted Monthly'!$Z$12</f>
        <v>32488.802677462132</v>
      </c>
      <c r="P71" s="18">
        <f>G71*'Large Use Predicted Monthly'!$Z$13</f>
        <v>0</v>
      </c>
      <c r="Q71" s="18">
        <f>H71*'Large Use Predicted Monthly'!$Z$14</f>
        <v>2169588.3068179414</v>
      </c>
      <c r="R71" s="18">
        <f>I71*'Large Use Predicted Monthly'!$Z$15</f>
        <v>-344616.62771173252</v>
      </c>
      <c r="S71" s="18">
        <f>J71*'Large Use Predicted Monthly'!$Z$16</f>
        <v>177799.47475552099</v>
      </c>
      <c r="T71" s="18">
        <f>K71*'Large Use Predicted Monthly'!$Z$17</f>
        <v>38713.444255010705</v>
      </c>
      <c r="U71" s="18">
        <f t="shared" ca="1" si="10"/>
        <v>2962079.4713545041</v>
      </c>
    </row>
    <row r="72" spans="1:21" x14ac:dyDescent="0.25">
      <c r="A72" s="3">
        <f>'Monthly Data'!A72</f>
        <v>44136</v>
      </c>
      <c r="B72" s="1">
        <f t="shared" si="8"/>
        <v>2020</v>
      </c>
      <c r="C72" s="1">
        <f t="shared" si="9"/>
        <v>11</v>
      </c>
      <c r="D72" s="268">
        <f>'Monthly Data'!X72</f>
        <v>2636145.3575018547</v>
      </c>
      <c r="E72" s="278">
        <f t="shared" ca="1" si="7"/>
        <v>140.02366389045739</v>
      </c>
      <c r="F72" s="278">
        <f t="shared" ca="1" si="7"/>
        <v>0.8083333333333329</v>
      </c>
      <c r="G72" s="278">
        <f>'Monthly Data'!CC72</f>
        <v>71</v>
      </c>
      <c r="H72" s="278">
        <f>'Monthly Data'!CD72</f>
        <v>30</v>
      </c>
      <c r="I72" s="278">
        <f>'Monthly Data'!CG72</f>
        <v>0.5</v>
      </c>
      <c r="J72" s="278">
        <f>'Monthly Data'!CB72</f>
        <v>1</v>
      </c>
      <c r="K72" s="278">
        <f>'Monthly Data'!AX72</f>
        <v>18654</v>
      </c>
      <c r="M72" s="18">
        <f>'Large Use Predicted Monthly'!$Z$10</f>
        <v>877619.90234118199</v>
      </c>
      <c r="N72" s="18">
        <f ca="1">E72*'Large Use Predicted Monthly'!$Z$11</f>
        <v>59298.423958333726</v>
      </c>
      <c r="O72" s="18">
        <f ca="1">F72*'Large Use Predicted Monthly'!$Z$12</f>
        <v>1460.0356087534226</v>
      </c>
      <c r="P72" s="18">
        <f>G72*'Large Use Predicted Monthly'!$Z$13</f>
        <v>0</v>
      </c>
      <c r="Q72" s="18">
        <f>H72*'Large Use Predicted Monthly'!$Z$14</f>
        <v>2099601.5872431691</v>
      </c>
      <c r="R72" s="18">
        <f>I72*'Large Use Predicted Monthly'!$Z$15</f>
        <v>-344616.62771173252</v>
      </c>
      <c r="S72" s="18">
        <f>J72*'Large Use Predicted Monthly'!$Z$16</f>
        <v>177799.47475552099</v>
      </c>
      <c r="T72" s="18">
        <f>K72*'Large Use Predicted Monthly'!$Z$17</f>
        <v>38713.444255010705</v>
      </c>
      <c r="U72" s="18">
        <f t="shared" ca="1" si="10"/>
        <v>2909876.2404502374</v>
      </c>
    </row>
    <row r="73" spans="1:21" x14ac:dyDescent="0.25">
      <c r="A73" s="3">
        <f>'Monthly Data'!A73</f>
        <v>44166</v>
      </c>
      <c r="B73" s="1">
        <f t="shared" si="8"/>
        <v>2020</v>
      </c>
      <c r="C73" s="1">
        <f t="shared" si="9"/>
        <v>12</v>
      </c>
      <c r="D73" s="268">
        <f>'Monthly Data'!X73</f>
        <v>2725064.1006996538</v>
      </c>
      <c r="E73" s="278">
        <f t="shared" ca="1" si="7"/>
        <v>268.92048913043476</v>
      </c>
      <c r="F73" s="278">
        <f t="shared" ca="1" si="7"/>
        <v>0</v>
      </c>
      <c r="G73" s="278">
        <f>'Monthly Data'!CC73</f>
        <v>72</v>
      </c>
      <c r="H73" s="278">
        <f>'Monthly Data'!CD73</f>
        <v>31</v>
      </c>
      <c r="I73" s="278">
        <f>'Monthly Data'!CG73</f>
        <v>0.5</v>
      </c>
      <c r="J73" s="278">
        <f>'Monthly Data'!CB73</f>
        <v>0</v>
      </c>
      <c r="K73" s="278">
        <f>'Monthly Data'!AX73</f>
        <v>18654</v>
      </c>
      <c r="M73" s="18">
        <f>'Large Use Predicted Monthly'!$Z$10</f>
        <v>877619.90234118199</v>
      </c>
      <c r="N73" s="18">
        <f ca="1">E73*'Large Use Predicted Monthly'!$Z$11</f>
        <v>113884.75870774408</v>
      </c>
      <c r="O73" s="18">
        <f ca="1">F73*'Large Use Predicted Monthly'!$Z$12</f>
        <v>0</v>
      </c>
      <c r="P73" s="18">
        <f>G73*'Large Use Predicted Monthly'!$Z$13</f>
        <v>0</v>
      </c>
      <c r="Q73" s="18">
        <f>H73*'Large Use Predicted Monthly'!$Z$14</f>
        <v>2169588.3068179414</v>
      </c>
      <c r="R73" s="18">
        <f>I73*'Large Use Predicted Monthly'!$Z$15</f>
        <v>-344616.62771173252</v>
      </c>
      <c r="S73" s="18">
        <f>J73*'Large Use Predicted Monthly'!$Z$16</f>
        <v>0</v>
      </c>
      <c r="T73" s="18">
        <f>K73*'Large Use Predicted Monthly'!$Z$17</f>
        <v>38713.444255010705</v>
      </c>
      <c r="U73" s="18">
        <f t="shared" ca="1" si="10"/>
        <v>2855189.7844101456</v>
      </c>
    </row>
    <row r="74" spans="1:21" x14ac:dyDescent="0.25">
      <c r="A74" s="3">
        <f>'Monthly Data'!A74</f>
        <v>44197</v>
      </c>
      <c r="B74" s="1">
        <f t="shared" si="8"/>
        <v>2021</v>
      </c>
      <c r="C74" s="1">
        <f t="shared" si="9"/>
        <v>1</v>
      </c>
      <c r="D74" s="268">
        <f>'Monthly Data'!X74</f>
        <v>2862610.8080001106</v>
      </c>
      <c r="E74" s="278">
        <f t="shared" ca="1" si="7"/>
        <v>387.33418478260865</v>
      </c>
      <c r="F74" s="278">
        <f t="shared" ca="1" si="7"/>
        <v>0</v>
      </c>
      <c r="G74" s="278">
        <f>'Monthly Data'!CC74</f>
        <v>73</v>
      </c>
      <c r="H74" s="278">
        <f>'Monthly Data'!CD74</f>
        <v>31</v>
      </c>
      <c r="I74" s="278">
        <f>'Monthly Data'!CG74</f>
        <v>0.5</v>
      </c>
      <c r="J74" s="278">
        <f>'Monthly Data'!CB74</f>
        <v>0</v>
      </c>
      <c r="K74" s="278">
        <f>'Monthly Data'!AX74</f>
        <v>12705</v>
      </c>
      <c r="M74" s="18">
        <f>'Large Use Predicted Monthly'!$Z$10</f>
        <v>877619.90234118199</v>
      </c>
      <c r="N74" s="18">
        <f ca="1">E74*'Large Use Predicted Monthly'!$Z$11</f>
        <v>164031.6076914196</v>
      </c>
      <c r="O74" s="18">
        <f ca="1">F74*'Large Use Predicted Monthly'!$Z$12</f>
        <v>0</v>
      </c>
      <c r="P74" s="18">
        <f>G74*'Large Use Predicted Monthly'!$Z$13</f>
        <v>0</v>
      </c>
      <c r="Q74" s="18">
        <f>H74*'Large Use Predicted Monthly'!$Z$14</f>
        <v>2169588.3068179414</v>
      </c>
      <c r="R74" s="18">
        <f>I74*'Large Use Predicted Monthly'!$Z$15</f>
        <v>-344616.62771173252</v>
      </c>
      <c r="S74" s="18">
        <f>J74*'Large Use Predicted Monthly'!$Z$16</f>
        <v>0</v>
      </c>
      <c r="T74" s="18">
        <f>K74*'Large Use Predicted Monthly'!$Z$17</f>
        <v>26367.230045025786</v>
      </c>
      <c r="U74" s="18">
        <f t="shared" ca="1" si="10"/>
        <v>2892990.4191838363</v>
      </c>
    </row>
    <row r="75" spans="1:21" x14ac:dyDescent="0.25">
      <c r="A75" s="3">
        <f>'Monthly Data'!A75</f>
        <v>44228</v>
      </c>
      <c r="B75" s="1">
        <f t="shared" si="8"/>
        <v>2021</v>
      </c>
      <c r="C75" s="1">
        <f t="shared" si="9"/>
        <v>2</v>
      </c>
      <c r="D75" s="268">
        <f>'Monthly Data'!X75</f>
        <v>2496647.5562890139</v>
      </c>
      <c r="E75" s="278">
        <f t="shared" ca="1" si="7"/>
        <v>341.39751811594203</v>
      </c>
      <c r="F75" s="278">
        <f t="shared" ca="1" si="7"/>
        <v>0</v>
      </c>
      <c r="G75" s="278">
        <f>'Monthly Data'!CC75</f>
        <v>74</v>
      </c>
      <c r="H75" s="278">
        <f>'Monthly Data'!CD75</f>
        <v>28</v>
      </c>
      <c r="I75" s="278">
        <f>'Monthly Data'!CG75</f>
        <v>0.5</v>
      </c>
      <c r="J75" s="278">
        <f>'Monthly Data'!CB75</f>
        <v>0</v>
      </c>
      <c r="K75" s="278">
        <f>'Monthly Data'!AX75</f>
        <v>12705</v>
      </c>
      <c r="M75" s="18">
        <f>'Large Use Predicted Monthly'!$Z$10</f>
        <v>877619.90234118199</v>
      </c>
      <c r="N75" s="18">
        <f ca="1">E75*'Large Use Predicted Monthly'!$Z$11</f>
        <v>144577.95350505537</v>
      </c>
      <c r="O75" s="18">
        <f ca="1">F75*'Large Use Predicted Monthly'!$Z$12</f>
        <v>0</v>
      </c>
      <c r="P75" s="18">
        <f>G75*'Large Use Predicted Monthly'!$Z$13</f>
        <v>0</v>
      </c>
      <c r="Q75" s="18">
        <f>H75*'Large Use Predicted Monthly'!$Z$14</f>
        <v>1959628.1480936245</v>
      </c>
      <c r="R75" s="18">
        <f>I75*'Large Use Predicted Monthly'!$Z$15</f>
        <v>-344616.62771173252</v>
      </c>
      <c r="S75" s="18">
        <f>J75*'Large Use Predicted Monthly'!$Z$16</f>
        <v>0</v>
      </c>
      <c r="T75" s="18">
        <f>K75*'Large Use Predicted Monthly'!$Z$17</f>
        <v>26367.230045025786</v>
      </c>
      <c r="U75" s="18">
        <f t="shared" ca="1" si="10"/>
        <v>2663576.6062731552</v>
      </c>
    </row>
    <row r="76" spans="1:21" x14ac:dyDescent="0.25">
      <c r="A76" s="3">
        <f>'Monthly Data'!A76</f>
        <v>44256</v>
      </c>
      <c r="B76" s="1">
        <f t="shared" si="8"/>
        <v>2021</v>
      </c>
      <c r="C76" s="1">
        <f t="shared" si="9"/>
        <v>3</v>
      </c>
      <c r="D76" s="268">
        <f>'Monthly Data'!X76</f>
        <v>3029147.3045779178</v>
      </c>
      <c r="E76" s="278">
        <f t="shared" ca="1" si="7"/>
        <v>238.57840579710145</v>
      </c>
      <c r="F76" s="278">
        <f t="shared" ca="1" si="7"/>
        <v>0</v>
      </c>
      <c r="G76" s="278">
        <f>'Monthly Data'!CC76</f>
        <v>75</v>
      </c>
      <c r="H76" s="278">
        <f>'Monthly Data'!CD76</f>
        <v>31</v>
      </c>
      <c r="I76" s="278">
        <f>'Monthly Data'!CG76</f>
        <v>0.5</v>
      </c>
      <c r="J76" s="278">
        <f>'Monthly Data'!CB76</f>
        <v>1</v>
      </c>
      <c r="K76" s="278">
        <f>'Monthly Data'!AX76</f>
        <v>12705</v>
      </c>
      <c r="M76" s="18">
        <f>'Large Use Predicted Monthly'!$Z$10</f>
        <v>877619.90234118199</v>
      </c>
      <c r="N76" s="18">
        <f ca="1">E76*'Large Use Predicted Monthly'!$Z$11</f>
        <v>101035.23262559084</v>
      </c>
      <c r="O76" s="18">
        <f ca="1">F76*'Large Use Predicted Monthly'!$Z$12</f>
        <v>0</v>
      </c>
      <c r="P76" s="18">
        <f>G76*'Large Use Predicted Monthly'!$Z$13</f>
        <v>0</v>
      </c>
      <c r="Q76" s="18">
        <f>H76*'Large Use Predicted Monthly'!$Z$14</f>
        <v>2169588.3068179414</v>
      </c>
      <c r="R76" s="18">
        <f>I76*'Large Use Predicted Monthly'!$Z$15</f>
        <v>-344616.62771173252</v>
      </c>
      <c r="S76" s="18">
        <f>J76*'Large Use Predicted Monthly'!$Z$16</f>
        <v>177799.47475552099</v>
      </c>
      <c r="T76" s="18">
        <f>K76*'Large Use Predicted Monthly'!$Z$17</f>
        <v>26367.230045025786</v>
      </c>
      <c r="U76" s="18">
        <f t="shared" ca="1" si="10"/>
        <v>3007793.5188735286</v>
      </c>
    </row>
    <row r="77" spans="1:21" x14ac:dyDescent="0.25">
      <c r="A77" s="3">
        <f>'Monthly Data'!A77</f>
        <v>44287</v>
      </c>
      <c r="B77" s="1">
        <f t="shared" si="8"/>
        <v>2021</v>
      </c>
      <c r="C77" s="1">
        <f t="shared" si="9"/>
        <v>4</v>
      </c>
      <c r="D77" s="268">
        <f>'Monthly Data'!X77</f>
        <v>2752785.0528668212</v>
      </c>
      <c r="E77" s="278">
        <f t="shared" ca="1" si="7"/>
        <v>79.984412878787879</v>
      </c>
      <c r="F77" s="278">
        <f t="shared" ca="1" si="7"/>
        <v>2.1908333333333347</v>
      </c>
      <c r="G77" s="278">
        <f>'Monthly Data'!CC77</f>
        <v>76</v>
      </c>
      <c r="H77" s="278">
        <f>'Monthly Data'!CD77</f>
        <v>30</v>
      </c>
      <c r="I77" s="278">
        <f>'Monthly Data'!CG77</f>
        <v>0.5</v>
      </c>
      <c r="J77" s="278">
        <f>'Monthly Data'!CB77</f>
        <v>1</v>
      </c>
      <c r="K77" s="278">
        <f>'Monthly Data'!AX77</f>
        <v>-6066</v>
      </c>
      <c r="M77" s="18">
        <f>'Large Use Predicted Monthly'!$Z$10</f>
        <v>877619.90234118199</v>
      </c>
      <c r="N77" s="18">
        <f ca="1">E77*'Large Use Predicted Monthly'!$Z$11</f>
        <v>33872.4862152961</v>
      </c>
      <c r="O77" s="18">
        <f ca="1">F77*'Large Use Predicted Monthly'!$Z$12</f>
        <v>3957.1480571265488</v>
      </c>
      <c r="P77" s="18">
        <f>G77*'Large Use Predicted Monthly'!$Z$13</f>
        <v>0</v>
      </c>
      <c r="Q77" s="18">
        <f>H77*'Large Use Predicted Monthly'!$Z$14</f>
        <v>2099601.5872431691</v>
      </c>
      <c r="R77" s="18">
        <f>I77*'Large Use Predicted Monthly'!$Z$15</f>
        <v>-344616.62771173252</v>
      </c>
      <c r="S77" s="18">
        <f>J77*'Large Use Predicted Monthly'!$Z$16</f>
        <v>177799.47475552099</v>
      </c>
      <c r="T77" s="18">
        <f>K77*'Large Use Predicted Monthly'!$Z$17</f>
        <v>-12589.029315476302</v>
      </c>
      <c r="U77" s="18">
        <f t="shared" ca="1" si="10"/>
        <v>2835644.9415850858</v>
      </c>
    </row>
    <row r="78" spans="1:21" x14ac:dyDescent="0.25">
      <c r="A78" s="3">
        <f>'Monthly Data'!A78</f>
        <v>44317</v>
      </c>
      <c r="B78" s="1">
        <f t="shared" si="8"/>
        <v>2021</v>
      </c>
      <c r="C78" s="1">
        <f t="shared" si="9"/>
        <v>5</v>
      </c>
      <c r="D78" s="268">
        <f>'Monthly Data'!X78</f>
        <v>2872505.801155725</v>
      </c>
      <c r="E78" s="278">
        <f t="shared" ca="1" si="7"/>
        <v>7.2018333333333331</v>
      </c>
      <c r="F78" s="278">
        <f t="shared" ca="1" si="7"/>
        <v>52.487435064935063</v>
      </c>
      <c r="G78" s="278">
        <f>'Monthly Data'!CC78</f>
        <v>77</v>
      </c>
      <c r="H78" s="278">
        <f>'Monthly Data'!CD78</f>
        <v>31</v>
      </c>
      <c r="I78" s="278">
        <f>'Monthly Data'!CG78</f>
        <v>0.5</v>
      </c>
      <c r="J78" s="278">
        <f>'Monthly Data'!CB78</f>
        <v>1</v>
      </c>
      <c r="K78" s="278">
        <f>'Monthly Data'!AX78</f>
        <v>-6066</v>
      </c>
      <c r="M78" s="18">
        <f>'Large Use Predicted Monthly'!$Z$10</f>
        <v>877619.90234118199</v>
      </c>
      <c r="N78" s="18">
        <f ca="1">E78*'Large Use Predicted Monthly'!$Z$11</f>
        <v>3049.8942422428909</v>
      </c>
      <c r="O78" s="18">
        <f ca="1">F78*'Large Use Predicted Monthly'!$Z$12</f>
        <v>94804.359843634942</v>
      </c>
      <c r="P78" s="18">
        <f>G78*'Large Use Predicted Monthly'!$Z$13</f>
        <v>0</v>
      </c>
      <c r="Q78" s="18">
        <f>H78*'Large Use Predicted Monthly'!$Z$14</f>
        <v>2169588.3068179414</v>
      </c>
      <c r="R78" s="18">
        <f>I78*'Large Use Predicted Monthly'!$Z$15</f>
        <v>-344616.62771173252</v>
      </c>
      <c r="S78" s="18">
        <f>J78*'Large Use Predicted Monthly'!$Z$16</f>
        <v>177799.47475552099</v>
      </c>
      <c r="T78" s="18">
        <f>K78*'Large Use Predicted Monthly'!$Z$17</f>
        <v>-12589.029315476302</v>
      </c>
      <c r="U78" s="18">
        <f t="shared" ca="1" si="10"/>
        <v>2965656.2809733134</v>
      </c>
    </row>
    <row r="79" spans="1:21" x14ac:dyDescent="0.25">
      <c r="A79" s="3">
        <f>'Monthly Data'!A79</f>
        <v>44348</v>
      </c>
      <c r="B79" s="1">
        <f t="shared" si="8"/>
        <v>2021</v>
      </c>
      <c r="C79" s="1">
        <f t="shared" si="9"/>
        <v>6</v>
      </c>
      <c r="D79" s="268">
        <f>'Monthly Data'!X79</f>
        <v>3094658.5494446284</v>
      </c>
      <c r="E79" s="278">
        <f t="shared" ref="E79:F94" ca="1" si="11">E67</f>
        <v>0</v>
      </c>
      <c r="F79" s="278">
        <f t="shared" ca="1" si="11"/>
        <v>137.65451754405018</v>
      </c>
      <c r="G79" s="278">
        <f>'Monthly Data'!CC79</f>
        <v>78</v>
      </c>
      <c r="H79" s="278">
        <f>'Monthly Data'!CD79</f>
        <v>30</v>
      </c>
      <c r="I79" s="278">
        <f>'Monthly Data'!CG79</f>
        <v>0.5</v>
      </c>
      <c r="J79" s="278">
        <f>'Monthly Data'!CB79</f>
        <v>0</v>
      </c>
      <c r="K79" s="278">
        <f>'Monthly Data'!AX79</f>
        <v>-6066</v>
      </c>
      <c r="M79" s="18">
        <f>'Large Use Predicted Monthly'!$Z$10</f>
        <v>877619.90234118199</v>
      </c>
      <c r="N79" s="18">
        <f ca="1">E79*'Large Use Predicted Monthly'!$Z$11</f>
        <v>0</v>
      </c>
      <c r="O79" s="18">
        <f ca="1">F79*'Large Use Predicted Monthly'!$Z$12</f>
        <v>248635.66678773539</v>
      </c>
      <c r="P79" s="18">
        <f>G79*'Large Use Predicted Monthly'!$Z$13</f>
        <v>0</v>
      </c>
      <c r="Q79" s="18">
        <f>H79*'Large Use Predicted Monthly'!$Z$14</f>
        <v>2099601.5872431691</v>
      </c>
      <c r="R79" s="18">
        <f>I79*'Large Use Predicted Monthly'!$Z$15</f>
        <v>-344616.62771173252</v>
      </c>
      <c r="S79" s="18">
        <f>J79*'Large Use Predicted Monthly'!$Z$16</f>
        <v>0</v>
      </c>
      <c r="T79" s="18">
        <f>K79*'Large Use Predicted Monthly'!$Z$17</f>
        <v>-12589.029315476302</v>
      </c>
      <c r="U79" s="18">
        <f t="shared" ca="1" si="10"/>
        <v>2868651.4993448774</v>
      </c>
    </row>
    <row r="80" spans="1:21" x14ac:dyDescent="0.25">
      <c r="A80" s="3">
        <f>'Monthly Data'!A80</f>
        <v>44378</v>
      </c>
      <c r="B80" s="1">
        <f t="shared" si="8"/>
        <v>2021</v>
      </c>
      <c r="C80" s="1">
        <f t="shared" si="9"/>
        <v>7</v>
      </c>
      <c r="D80" s="268">
        <f>'Monthly Data'!X80</f>
        <v>3232065.2977335323</v>
      </c>
      <c r="E80" s="278">
        <f t="shared" ca="1" si="11"/>
        <v>0</v>
      </c>
      <c r="F80" s="278">
        <f t="shared" ca="1" si="11"/>
        <v>235.94737858727848</v>
      </c>
      <c r="G80" s="278">
        <f>'Monthly Data'!CC80</f>
        <v>79</v>
      </c>
      <c r="H80" s="278">
        <f>'Monthly Data'!CD80</f>
        <v>31</v>
      </c>
      <c r="I80" s="278">
        <f>'Monthly Data'!CG80</f>
        <v>0.5</v>
      </c>
      <c r="J80" s="278">
        <f>'Monthly Data'!CB80</f>
        <v>0</v>
      </c>
      <c r="K80" s="278">
        <f>'Monthly Data'!AX80</f>
        <v>17046</v>
      </c>
      <c r="M80" s="18">
        <f>'Large Use Predicted Monthly'!$Z$10</f>
        <v>877619.90234118199</v>
      </c>
      <c r="N80" s="18">
        <f ca="1">E80*'Large Use Predicted Monthly'!$Z$11</f>
        <v>0</v>
      </c>
      <c r="O80" s="18">
        <f ca="1">F80*'Large Use Predicted Monthly'!$Z$12</f>
        <v>426175.14374777518</v>
      </c>
      <c r="P80" s="18">
        <f>G80*'Large Use Predicted Monthly'!$Z$13</f>
        <v>0</v>
      </c>
      <c r="Q80" s="18">
        <f>H80*'Large Use Predicted Monthly'!$Z$14</f>
        <v>2169588.3068179414</v>
      </c>
      <c r="R80" s="18">
        <f>I80*'Large Use Predicted Monthly'!$Z$15</f>
        <v>-344616.62771173252</v>
      </c>
      <c r="S80" s="18">
        <f>J80*'Large Use Predicted Monthly'!$Z$16</f>
        <v>0</v>
      </c>
      <c r="T80" s="18">
        <f>K80*'Large Use Predicted Monthly'!$Z$17</f>
        <v>35376.293061590681</v>
      </c>
      <c r="U80" s="18">
        <f t="shared" ca="1" si="10"/>
        <v>3164143.0182567569</v>
      </c>
    </row>
    <row r="81" spans="1:21" x14ac:dyDescent="0.25">
      <c r="A81" s="3">
        <f>'Monthly Data'!A81</f>
        <v>44409</v>
      </c>
      <c r="B81" s="1">
        <f t="shared" si="8"/>
        <v>2021</v>
      </c>
      <c r="C81" s="1">
        <f t="shared" si="9"/>
        <v>8</v>
      </c>
      <c r="D81" s="268">
        <f>'Monthly Data'!X81</f>
        <v>3571651.0460224357</v>
      </c>
      <c r="E81" s="278">
        <f t="shared" ca="1" si="11"/>
        <v>0</v>
      </c>
      <c r="F81" s="278">
        <f t="shared" ca="1" si="11"/>
        <v>210.96558794466404</v>
      </c>
      <c r="G81" s="278">
        <f>'Monthly Data'!CC81</f>
        <v>80</v>
      </c>
      <c r="H81" s="278">
        <f>'Monthly Data'!CD81</f>
        <v>31</v>
      </c>
      <c r="I81" s="278">
        <f>'Monthly Data'!CG81</f>
        <v>0.5</v>
      </c>
      <c r="J81" s="278">
        <f>'Monthly Data'!CB81</f>
        <v>0</v>
      </c>
      <c r="K81" s="278">
        <f>'Monthly Data'!AX81</f>
        <v>17046</v>
      </c>
      <c r="M81" s="18">
        <f>'Large Use Predicted Monthly'!$Z$10</f>
        <v>877619.90234118199</v>
      </c>
      <c r="N81" s="18">
        <f ca="1">E81*'Large Use Predicted Monthly'!$Z$11</f>
        <v>0</v>
      </c>
      <c r="O81" s="18">
        <f ca="1">F81*'Large Use Predicted Monthly'!$Z$12</f>
        <v>381052.29355151928</v>
      </c>
      <c r="P81" s="18">
        <f>G81*'Large Use Predicted Monthly'!$Z$13</f>
        <v>0</v>
      </c>
      <c r="Q81" s="18">
        <f>H81*'Large Use Predicted Monthly'!$Z$14</f>
        <v>2169588.3068179414</v>
      </c>
      <c r="R81" s="18">
        <f>I81*'Large Use Predicted Monthly'!$Z$15</f>
        <v>-344616.62771173252</v>
      </c>
      <c r="S81" s="18">
        <f>J81*'Large Use Predicted Monthly'!$Z$16</f>
        <v>0</v>
      </c>
      <c r="T81" s="18">
        <f>K81*'Large Use Predicted Monthly'!$Z$17</f>
        <v>35376.293061590681</v>
      </c>
      <c r="U81" s="18">
        <f t="shared" ca="1" si="10"/>
        <v>3119020.1680605011</v>
      </c>
    </row>
    <row r="82" spans="1:21" x14ac:dyDescent="0.25">
      <c r="A82" s="3">
        <f>'Monthly Data'!A82</f>
        <v>44440</v>
      </c>
      <c r="B82" s="1">
        <f t="shared" si="8"/>
        <v>2021</v>
      </c>
      <c r="C82" s="1">
        <f t="shared" si="9"/>
        <v>9</v>
      </c>
      <c r="D82" s="268">
        <f>'Monthly Data'!X82</f>
        <v>3258678.794311339</v>
      </c>
      <c r="E82" s="278">
        <f t="shared" ca="1" si="11"/>
        <v>0</v>
      </c>
      <c r="F82" s="278">
        <f t="shared" ca="1" si="11"/>
        <v>106.4160119047619</v>
      </c>
      <c r="G82" s="278">
        <f>'Monthly Data'!CC82</f>
        <v>81</v>
      </c>
      <c r="H82" s="278">
        <f>'Monthly Data'!CD82</f>
        <v>30</v>
      </c>
      <c r="I82" s="278">
        <f>'Monthly Data'!CG82</f>
        <v>0.5</v>
      </c>
      <c r="J82" s="278">
        <f>'Monthly Data'!CB82</f>
        <v>1</v>
      </c>
      <c r="K82" s="278">
        <f>'Monthly Data'!AX82</f>
        <v>17046</v>
      </c>
      <c r="M82" s="18">
        <f>'Large Use Predicted Monthly'!$Z$10</f>
        <v>877619.90234118199</v>
      </c>
      <c r="N82" s="18">
        <f ca="1">E82*'Large Use Predicted Monthly'!$Z$11</f>
        <v>0</v>
      </c>
      <c r="O82" s="18">
        <f ca="1">F82*'Large Use Predicted Monthly'!$Z$12</f>
        <v>192211.75264636773</v>
      </c>
      <c r="P82" s="18">
        <f>G82*'Large Use Predicted Monthly'!$Z$13</f>
        <v>0</v>
      </c>
      <c r="Q82" s="18">
        <f>H82*'Large Use Predicted Monthly'!$Z$14</f>
        <v>2099601.5872431691</v>
      </c>
      <c r="R82" s="18">
        <f>I82*'Large Use Predicted Monthly'!$Z$15</f>
        <v>-344616.62771173252</v>
      </c>
      <c r="S82" s="18">
        <f>J82*'Large Use Predicted Monthly'!$Z$16</f>
        <v>177799.47475552099</v>
      </c>
      <c r="T82" s="18">
        <f>K82*'Large Use Predicted Monthly'!$Z$17</f>
        <v>35376.293061590681</v>
      </c>
      <c r="U82" s="18">
        <f t="shared" ca="1" si="10"/>
        <v>3037992.3823360982</v>
      </c>
    </row>
    <row r="83" spans="1:21" x14ac:dyDescent="0.25">
      <c r="A83" s="3">
        <f>'Monthly Data'!A83</f>
        <v>44470</v>
      </c>
      <c r="B83" s="1">
        <f t="shared" si="8"/>
        <v>2021</v>
      </c>
      <c r="C83" s="1">
        <f t="shared" si="9"/>
        <v>10</v>
      </c>
      <c r="D83" s="268">
        <f>'Monthly Data'!X83</f>
        <v>3127562.5426002429</v>
      </c>
      <c r="E83" s="278">
        <f t="shared" ca="1" si="11"/>
        <v>24.76139492753623</v>
      </c>
      <c r="F83" s="278">
        <f t="shared" ca="1" si="11"/>
        <v>17.987083333333334</v>
      </c>
      <c r="G83" s="278">
        <f>'Monthly Data'!CC83</f>
        <v>82</v>
      </c>
      <c r="H83" s="278">
        <f>'Monthly Data'!CD83</f>
        <v>31</v>
      </c>
      <c r="I83" s="278">
        <f>'Monthly Data'!CG83</f>
        <v>0.5</v>
      </c>
      <c r="J83" s="278">
        <f>'Monthly Data'!CB83</f>
        <v>1</v>
      </c>
      <c r="K83" s="278">
        <f>'Monthly Data'!AX83</f>
        <v>18833</v>
      </c>
      <c r="M83" s="18">
        <f>'Large Use Predicted Monthly'!$Z$10</f>
        <v>877619.90234118199</v>
      </c>
      <c r="N83" s="18">
        <f ca="1">E83*'Large Use Predicted Monthly'!$Z$11</f>
        <v>10486.168219119447</v>
      </c>
      <c r="O83" s="18">
        <f ca="1">F83*'Large Use Predicted Monthly'!$Z$12</f>
        <v>32488.802677462132</v>
      </c>
      <c r="P83" s="18">
        <f>G83*'Large Use Predicted Monthly'!$Z$13</f>
        <v>0</v>
      </c>
      <c r="Q83" s="18">
        <f>H83*'Large Use Predicted Monthly'!$Z$14</f>
        <v>2169588.3068179414</v>
      </c>
      <c r="R83" s="18">
        <f>I83*'Large Use Predicted Monthly'!$Z$15</f>
        <v>-344616.62771173252</v>
      </c>
      <c r="S83" s="18">
        <f>J83*'Large Use Predicted Monthly'!$Z$16</f>
        <v>177799.47475552099</v>
      </c>
      <c r="T83" s="18">
        <f>K83*'Large Use Predicted Monthly'!$Z$17</f>
        <v>39084.930612984703</v>
      </c>
      <c r="U83" s="18">
        <f t="shared" ca="1" si="10"/>
        <v>2962450.957712478</v>
      </c>
    </row>
    <row r="84" spans="1:21" x14ac:dyDescent="0.25">
      <c r="A84" s="3">
        <f>'Monthly Data'!A84</f>
        <v>44501</v>
      </c>
      <c r="B84" s="1">
        <f t="shared" si="8"/>
        <v>2021</v>
      </c>
      <c r="C84" s="1">
        <f t="shared" si="9"/>
        <v>11</v>
      </c>
      <c r="D84" s="268">
        <f>'Monthly Data'!X84</f>
        <v>3069952.2908891463</v>
      </c>
      <c r="E84" s="278">
        <f t="shared" ca="1" si="11"/>
        <v>140.02366389045739</v>
      </c>
      <c r="F84" s="278">
        <f t="shared" ca="1" si="11"/>
        <v>0.8083333333333329</v>
      </c>
      <c r="G84" s="278">
        <f>'Monthly Data'!CC84</f>
        <v>83</v>
      </c>
      <c r="H84" s="278">
        <f>'Monthly Data'!CD84</f>
        <v>30</v>
      </c>
      <c r="I84" s="278">
        <f>'Monthly Data'!CG84</f>
        <v>0.5</v>
      </c>
      <c r="J84" s="278">
        <f>'Monthly Data'!CB84</f>
        <v>1</v>
      </c>
      <c r="K84" s="278">
        <f>'Monthly Data'!AX84</f>
        <v>18833</v>
      </c>
      <c r="M84" s="18">
        <f>'Large Use Predicted Monthly'!$Z$10</f>
        <v>877619.90234118199</v>
      </c>
      <c r="N84" s="18">
        <f ca="1">E84*'Large Use Predicted Monthly'!$Z$11</f>
        <v>59298.423958333726</v>
      </c>
      <c r="O84" s="18">
        <f ca="1">F84*'Large Use Predicted Monthly'!$Z$12</f>
        <v>1460.0356087534226</v>
      </c>
      <c r="P84" s="18">
        <f>G84*'Large Use Predicted Monthly'!$Z$13</f>
        <v>0</v>
      </c>
      <c r="Q84" s="18">
        <f>H84*'Large Use Predicted Monthly'!$Z$14</f>
        <v>2099601.5872431691</v>
      </c>
      <c r="R84" s="18">
        <f>I84*'Large Use Predicted Monthly'!$Z$15</f>
        <v>-344616.62771173252</v>
      </c>
      <c r="S84" s="18">
        <f>J84*'Large Use Predicted Monthly'!$Z$16</f>
        <v>177799.47475552099</v>
      </c>
      <c r="T84" s="18">
        <f>K84*'Large Use Predicted Monthly'!$Z$17</f>
        <v>39084.930612984703</v>
      </c>
      <c r="U84" s="18">
        <f t="shared" ca="1" si="10"/>
        <v>2910247.7268082113</v>
      </c>
    </row>
    <row r="85" spans="1:21" x14ac:dyDescent="0.25">
      <c r="A85" s="3">
        <f>'Monthly Data'!A85</f>
        <v>44531</v>
      </c>
      <c r="B85" s="1">
        <f t="shared" si="8"/>
        <v>2021</v>
      </c>
      <c r="C85" s="1">
        <f t="shared" si="9"/>
        <v>12</v>
      </c>
      <c r="D85" s="268">
        <f>'Monthly Data'!X85</f>
        <v>3092838.0391780501</v>
      </c>
      <c r="E85" s="278">
        <f t="shared" ca="1" si="11"/>
        <v>268.92048913043476</v>
      </c>
      <c r="F85" s="278">
        <f t="shared" ca="1" si="11"/>
        <v>0</v>
      </c>
      <c r="G85" s="278">
        <f>'Monthly Data'!CC85</f>
        <v>84</v>
      </c>
      <c r="H85" s="278">
        <f>'Monthly Data'!CD85</f>
        <v>31</v>
      </c>
      <c r="I85" s="278">
        <f>'Monthly Data'!CG85</f>
        <v>0.5</v>
      </c>
      <c r="J85" s="278">
        <f>'Monthly Data'!CB85</f>
        <v>0</v>
      </c>
      <c r="K85" s="278">
        <f>'Monthly Data'!AX85</f>
        <v>18833</v>
      </c>
      <c r="M85" s="18">
        <f>'Large Use Predicted Monthly'!$Z$10</f>
        <v>877619.90234118199</v>
      </c>
      <c r="N85" s="18">
        <f ca="1">E85*'Large Use Predicted Monthly'!$Z$11</f>
        <v>113884.75870774408</v>
      </c>
      <c r="O85" s="18">
        <f ca="1">F85*'Large Use Predicted Monthly'!$Z$12</f>
        <v>0</v>
      </c>
      <c r="P85" s="18">
        <f>G85*'Large Use Predicted Monthly'!$Z$13</f>
        <v>0</v>
      </c>
      <c r="Q85" s="18">
        <f>H85*'Large Use Predicted Monthly'!$Z$14</f>
        <v>2169588.3068179414</v>
      </c>
      <c r="R85" s="18">
        <f>I85*'Large Use Predicted Monthly'!$Z$15</f>
        <v>-344616.62771173252</v>
      </c>
      <c r="S85" s="18">
        <f>J85*'Large Use Predicted Monthly'!$Z$16</f>
        <v>0</v>
      </c>
      <c r="T85" s="18">
        <f>K85*'Large Use Predicted Monthly'!$Z$17</f>
        <v>39084.930612984703</v>
      </c>
      <c r="U85" s="18">
        <f t="shared" ca="1" si="10"/>
        <v>2855561.2707681195</v>
      </c>
    </row>
    <row r="86" spans="1:21" x14ac:dyDescent="0.25">
      <c r="A86" s="3">
        <f>'Monthly Data'!A86</f>
        <v>44562</v>
      </c>
      <c r="B86" s="1">
        <f t="shared" si="8"/>
        <v>2022</v>
      </c>
      <c r="C86" s="1">
        <f t="shared" si="9"/>
        <v>1</v>
      </c>
      <c r="D86" s="268">
        <f>'Monthly Data'!X86</f>
        <v>3049438.0035374709</v>
      </c>
      <c r="E86" s="278">
        <f t="shared" ca="1" si="11"/>
        <v>387.33418478260865</v>
      </c>
      <c r="F86" s="278">
        <f t="shared" ca="1" si="11"/>
        <v>0</v>
      </c>
      <c r="G86" s="278">
        <f>'Monthly Data'!CC86</f>
        <v>85</v>
      </c>
      <c r="H86" s="278">
        <f>'Monthly Data'!CD86</f>
        <v>31</v>
      </c>
      <c r="I86" s="278">
        <f>'Monthly Data'!CG86</f>
        <v>0.25</v>
      </c>
      <c r="J86" s="278">
        <f>'Monthly Data'!CB86</f>
        <v>0</v>
      </c>
      <c r="K86" s="278">
        <f>'Monthly Data'!AX86</f>
        <v>6821</v>
      </c>
      <c r="M86" s="18">
        <f>'Large Use Predicted Monthly'!$Z$10</f>
        <v>877619.90234118199</v>
      </c>
      <c r="N86" s="18">
        <f ca="1">E86*'Large Use Predicted Monthly'!$Z$11</f>
        <v>164031.6076914196</v>
      </c>
      <c r="O86" s="18">
        <f ca="1">F86*'Large Use Predicted Monthly'!$Z$12</f>
        <v>0</v>
      </c>
      <c r="P86" s="18">
        <f>G86*'Large Use Predicted Monthly'!$Z$13</f>
        <v>0</v>
      </c>
      <c r="Q86" s="18">
        <f>H86*'Large Use Predicted Monthly'!$Z$14</f>
        <v>2169588.3068179414</v>
      </c>
      <c r="R86" s="18">
        <f>I86*'Large Use Predicted Monthly'!$Z$15</f>
        <v>-172308.31385586626</v>
      </c>
      <c r="S86" s="18">
        <f>J86*'Large Use Predicted Monthly'!$Z$16</f>
        <v>0</v>
      </c>
      <c r="T86" s="18">
        <f>K86*'Large Use Predicted Monthly'!$Z$17</f>
        <v>14155.913115869413</v>
      </c>
      <c r="U86" s="18">
        <f t="shared" ca="1" si="10"/>
        <v>3053087.4161105459</v>
      </c>
    </row>
    <row r="87" spans="1:21" x14ac:dyDescent="0.25">
      <c r="A87" s="3">
        <f>'Monthly Data'!A87</f>
        <v>44593</v>
      </c>
      <c r="B87" s="1">
        <f t="shared" si="8"/>
        <v>2022</v>
      </c>
      <c r="C87" s="1">
        <f t="shared" si="9"/>
        <v>2</v>
      </c>
      <c r="D87" s="268">
        <f>'Monthly Data'!X87</f>
        <v>2727477.014197256</v>
      </c>
      <c r="E87" s="278">
        <f t="shared" ca="1" si="11"/>
        <v>341.39751811594203</v>
      </c>
      <c r="F87" s="278">
        <f t="shared" ca="1" si="11"/>
        <v>0</v>
      </c>
      <c r="G87" s="278">
        <f>'Monthly Data'!CC87</f>
        <v>86</v>
      </c>
      <c r="H87" s="278">
        <f>'Monthly Data'!CD87</f>
        <v>28</v>
      </c>
      <c r="I87" s="278">
        <f>'Monthly Data'!CG87</f>
        <v>0.25</v>
      </c>
      <c r="J87" s="278">
        <f>'Monthly Data'!CB87</f>
        <v>0</v>
      </c>
      <c r="K87" s="278">
        <f>'Monthly Data'!AX87</f>
        <v>6821</v>
      </c>
      <c r="M87" s="18">
        <f>'Large Use Predicted Monthly'!$Z$10</f>
        <v>877619.90234118199</v>
      </c>
      <c r="N87" s="18">
        <f ca="1">E87*'Large Use Predicted Monthly'!$Z$11</f>
        <v>144577.95350505537</v>
      </c>
      <c r="O87" s="18">
        <f ca="1">F87*'Large Use Predicted Monthly'!$Z$12</f>
        <v>0</v>
      </c>
      <c r="P87" s="18">
        <f>G87*'Large Use Predicted Monthly'!$Z$13</f>
        <v>0</v>
      </c>
      <c r="Q87" s="18">
        <f>H87*'Large Use Predicted Monthly'!$Z$14</f>
        <v>1959628.1480936245</v>
      </c>
      <c r="R87" s="18">
        <f>I87*'Large Use Predicted Monthly'!$Z$15</f>
        <v>-172308.31385586626</v>
      </c>
      <c r="S87" s="18">
        <f>J87*'Large Use Predicted Monthly'!$Z$16</f>
        <v>0</v>
      </c>
      <c r="T87" s="18">
        <f>K87*'Large Use Predicted Monthly'!$Z$17</f>
        <v>14155.913115869413</v>
      </c>
      <c r="U87" s="18">
        <f t="shared" ca="1" si="10"/>
        <v>2823673.6031998647</v>
      </c>
    </row>
    <row r="88" spans="1:21" x14ac:dyDescent="0.25">
      <c r="A88" s="3">
        <f>'Monthly Data'!A88</f>
        <v>44621</v>
      </c>
      <c r="B88" s="1">
        <f t="shared" si="8"/>
        <v>2022</v>
      </c>
      <c r="C88" s="1">
        <f t="shared" si="9"/>
        <v>3</v>
      </c>
      <c r="D88" s="268">
        <f>'Monthly Data'!X88</f>
        <v>3178812.0248570414</v>
      </c>
      <c r="E88" s="278">
        <f t="shared" ca="1" si="11"/>
        <v>238.57840579710145</v>
      </c>
      <c r="F88" s="278">
        <f t="shared" ca="1" si="11"/>
        <v>0</v>
      </c>
      <c r="G88" s="278">
        <f>'Monthly Data'!CC88</f>
        <v>87</v>
      </c>
      <c r="H88" s="278">
        <f>'Monthly Data'!CD88</f>
        <v>31</v>
      </c>
      <c r="I88" s="278">
        <f>'Monthly Data'!CG88</f>
        <v>0.25</v>
      </c>
      <c r="J88" s="278">
        <f>'Monthly Data'!CB88</f>
        <v>1</v>
      </c>
      <c r="K88" s="278">
        <f>'Monthly Data'!AX88</f>
        <v>6821</v>
      </c>
      <c r="M88" s="18">
        <f>'Large Use Predicted Monthly'!$Z$10</f>
        <v>877619.90234118199</v>
      </c>
      <c r="N88" s="18">
        <f ca="1">E88*'Large Use Predicted Monthly'!$Z$11</f>
        <v>101035.23262559084</v>
      </c>
      <c r="O88" s="18">
        <f ca="1">F88*'Large Use Predicted Monthly'!$Z$12</f>
        <v>0</v>
      </c>
      <c r="P88" s="18">
        <f>G88*'Large Use Predicted Monthly'!$Z$13</f>
        <v>0</v>
      </c>
      <c r="Q88" s="18">
        <f>H88*'Large Use Predicted Monthly'!$Z$14</f>
        <v>2169588.3068179414</v>
      </c>
      <c r="R88" s="18">
        <f>I88*'Large Use Predicted Monthly'!$Z$15</f>
        <v>-172308.31385586626</v>
      </c>
      <c r="S88" s="18">
        <f>J88*'Large Use Predicted Monthly'!$Z$16</f>
        <v>177799.47475552099</v>
      </c>
      <c r="T88" s="18">
        <f>K88*'Large Use Predicted Monthly'!$Z$17</f>
        <v>14155.913115869413</v>
      </c>
      <c r="U88" s="18">
        <f t="shared" ca="1" si="10"/>
        <v>3167890.5158002381</v>
      </c>
    </row>
    <row r="89" spans="1:21" x14ac:dyDescent="0.25">
      <c r="A89" s="3">
        <f>'Monthly Data'!A89</f>
        <v>44652</v>
      </c>
      <c r="B89" s="1">
        <f t="shared" si="8"/>
        <v>2022</v>
      </c>
      <c r="C89" s="1">
        <f t="shared" si="9"/>
        <v>4</v>
      </c>
      <c r="D89" s="268">
        <f>'Monthly Data'!X89</f>
        <v>3002298.0355168269</v>
      </c>
      <c r="E89" s="278">
        <f t="shared" ca="1" si="11"/>
        <v>79.984412878787879</v>
      </c>
      <c r="F89" s="278">
        <f t="shared" ca="1" si="11"/>
        <v>2.1908333333333347</v>
      </c>
      <c r="G89" s="278">
        <f>'Monthly Data'!CC89</f>
        <v>88</v>
      </c>
      <c r="H89" s="278">
        <f>'Monthly Data'!CD89</f>
        <v>30</v>
      </c>
      <c r="I89" s="278">
        <f>'Monthly Data'!CG89</f>
        <v>0.25</v>
      </c>
      <c r="J89" s="278">
        <f>'Monthly Data'!CB89</f>
        <v>1</v>
      </c>
      <c r="K89" s="278">
        <f>'Monthly Data'!AX89</f>
        <v>6403</v>
      </c>
      <c r="M89" s="18">
        <f>'Large Use Predicted Monthly'!$Z$10</f>
        <v>877619.90234118199</v>
      </c>
      <c r="N89" s="18">
        <f ca="1">E89*'Large Use Predicted Monthly'!$Z$11</f>
        <v>33872.4862152961</v>
      </c>
      <c r="O89" s="18">
        <f ca="1">F89*'Large Use Predicted Monthly'!$Z$12</f>
        <v>3957.1480571265488</v>
      </c>
      <c r="P89" s="18">
        <f>G89*'Large Use Predicted Monthly'!$Z$13</f>
        <v>0</v>
      </c>
      <c r="Q89" s="18">
        <f>H89*'Large Use Predicted Monthly'!$Z$14</f>
        <v>2099601.5872431691</v>
      </c>
      <c r="R89" s="18">
        <f>I89*'Large Use Predicted Monthly'!$Z$15</f>
        <v>-172308.31385586626</v>
      </c>
      <c r="S89" s="18">
        <f>J89*'Large Use Predicted Monthly'!$Z$16</f>
        <v>177799.47475552099</v>
      </c>
      <c r="T89" s="18">
        <f>K89*'Large Use Predicted Monthly'!$Z$17</f>
        <v>13288.419833002763</v>
      </c>
      <c r="U89" s="18">
        <f t="shared" ca="1" si="10"/>
        <v>3033830.7045894307</v>
      </c>
    </row>
    <row r="90" spans="1:21" x14ac:dyDescent="0.25">
      <c r="A90" s="3">
        <f>'Monthly Data'!A90</f>
        <v>44682</v>
      </c>
      <c r="B90" s="1">
        <f t="shared" si="8"/>
        <v>2022</v>
      </c>
      <c r="C90" s="1">
        <f t="shared" si="9"/>
        <v>5</v>
      </c>
      <c r="D90" s="268">
        <f>'Monthly Data'!X90</f>
        <v>3110762.0461766124</v>
      </c>
      <c r="E90" s="278">
        <f t="shared" ca="1" si="11"/>
        <v>7.2018333333333331</v>
      </c>
      <c r="F90" s="278">
        <f t="shared" ca="1" si="11"/>
        <v>52.487435064935063</v>
      </c>
      <c r="G90" s="278">
        <f>'Monthly Data'!CC90</f>
        <v>89</v>
      </c>
      <c r="H90" s="278">
        <f>'Monthly Data'!CD90</f>
        <v>31</v>
      </c>
      <c r="I90" s="278">
        <f>'Monthly Data'!CG90</f>
        <v>0.25</v>
      </c>
      <c r="J90" s="278">
        <f>'Monthly Data'!CB90</f>
        <v>1</v>
      </c>
      <c r="K90" s="278">
        <f>'Monthly Data'!AX90</f>
        <v>6403</v>
      </c>
      <c r="M90" s="18">
        <f>'Large Use Predicted Monthly'!$Z$10</f>
        <v>877619.90234118199</v>
      </c>
      <c r="N90" s="18">
        <f ca="1">E90*'Large Use Predicted Monthly'!$Z$11</f>
        <v>3049.8942422428909</v>
      </c>
      <c r="O90" s="18">
        <f ca="1">F90*'Large Use Predicted Monthly'!$Z$12</f>
        <v>94804.359843634942</v>
      </c>
      <c r="P90" s="18">
        <f>G90*'Large Use Predicted Monthly'!$Z$13</f>
        <v>0</v>
      </c>
      <c r="Q90" s="18">
        <f>H90*'Large Use Predicted Monthly'!$Z$14</f>
        <v>2169588.3068179414</v>
      </c>
      <c r="R90" s="18">
        <f>I90*'Large Use Predicted Monthly'!$Z$15</f>
        <v>-172308.31385586626</v>
      </c>
      <c r="S90" s="18">
        <f>J90*'Large Use Predicted Monthly'!$Z$16</f>
        <v>177799.47475552099</v>
      </c>
      <c r="T90" s="18">
        <f>K90*'Large Use Predicted Monthly'!$Z$17</f>
        <v>13288.419833002763</v>
      </c>
      <c r="U90" s="18">
        <f t="shared" ca="1" si="10"/>
        <v>3163842.0439776583</v>
      </c>
    </row>
    <row r="91" spans="1:21" x14ac:dyDescent="0.25">
      <c r="A91" s="3">
        <f>'Monthly Data'!A91</f>
        <v>44713</v>
      </c>
      <c r="B91" s="1">
        <f t="shared" si="8"/>
        <v>2022</v>
      </c>
      <c r="C91" s="1">
        <f t="shared" si="9"/>
        <v>6</v>
      </c>
      <c r="D91" s="268">
        <f>'Monthly Data'!X91</f>
        <v>3099287.0568363979</v>
      </c>
      <c r="E91" s="278">
        <f t="shared" ca="1" si="11"/>
        <v>0</v>
      </c>
      <c r="F91" s="278">
        <f t="shared" ca="1" si="11"/>
        <v>137.65451754405018</v>
      </c>
      <c r="G91" s="278">
        <f>'Monthly Data'!CC91</f>
        <v>90</v>
      </c>
      <c r="H91" s="278">
        <f>'Monthly Data'!CD91</f>
        <v>30</v>
      </c>
      <c r="I91" s="278">
        <f>'Monthly Data'!CG91</f>
        <v>0.25</v>
      </c>
      <c r="J91" s="278">
        <f>'Monthly Data'!CB91</f>
        <v>0</v>
      </c>
      <c r="K91" s="278">
        <f>'Monthly Data'!AX91</f>
        <v>6403</v>
      </c>
      <c r="M91" s="18">
        <f>'Large Use Predicted Monthly'!$Z$10</f>
        <v>877619.90234118199</v>
      </c>
      <c r="N91" s="18">
        <f ca="1">E91*'Large Use Predicted Monthly'!$Z$11</f>
        <v>0</v>
      </c>
      <c r="O91" s="18">
        <f ca="1">F91*'Large Use Predicted Monthly'!$Z$12</f>
        <v>248635.66678773539</v>
      </c>
      <c r="P91" s="18">
        <f>G91*'Large Use Predicted Monthly'!$Z$13</f>
        <v>0</v>
      </c>
      <c r="Q91" s="18">
        <f>H91*'Large Use Predicted Monthly'!$Z$14</f>
        <v>2099601.5872431691</v>
      </c>
      <c r="R91" s="18">
        <f>I91*'Large Use Predicted Monthly'!$Z$15</f>
        <v>-172308.31385586626</v>
      </c>
      <c r="S91" s="18">
        <f>J91*'Large Use Predicted Monthly'!$Z$16</f>
        <v>0</v>
      </c>
      <c r="T91" s="18">
        <f>K91*'Large Use Predicted Monthly'!$Z$17</f>
        <v>13288.419833002763</v>
      </c>
      <c r="U91" s="18">
        <f t="shared" ca="1" si="10"/>
        <v>3066837.2623492223</v>
      </c>
    </row>
    <row r="92" spans="1:21" x14ac:dyDescent="0.25">
      <c r="A92" s="3">
        <f>'Monthly Data'!A92</f>
        <v>44743</v>
      </c>
      <c r="B92" s="1">
        <f t="shared" si="8"/>
        <v>2022</v>
      </c>
      <c r="C92" s="1">
        <f t="shared" si="9"/>
        <v>7</v>
      </c>
      <c r="D92" s="268">
        <f>'Monthly Data'!X92</f>
        <v>2815983.0674961833</v>
      </c>
      <c r="E92" s="278">
        <f t="shared" ca="1" si="11"/>
        <v>0</v>
      </c>
      <c r="F92" s="278">
        <f t="shared" ca="1" si="11"/>
        <v>235.94737858727848</v>
      </c>
      <c r="G92" s="278">
        <f>'Monthly Data'!CC92</f>
        <v>91</v>
      </c>
      <c r="H92" s="278">
        <f>'Monthly Data'!CD92</f>
        <v>31</v>
      </c>
      <c r="I92" s="278">
        <f>'Monthly Data'!CG92</f>
        <v>0.25</v>
      </c>
      <c r="J92" s="278">
        <f>'Monthly Data'!CB92</f>
        <v>0</v>
      </c>
      <c r="K92" s="278">
        <f>'Monthly Data'!AX92</f>
        <v>1358</v>
      </c>
      <c r="M92" s="18">
        <f>'Large Use Predicted Monthly'!$Z$10</f>
        <v>877619.90234118199</v>
      </c>
      <c r="N92" s="18">
        <f ca="1">E92*'Large Use Predicted Monthly'!$Z$11</f>
        <v>0</v>
      </c>
      <c r="O92" s="18">
        <f ca="1">F92*'Large Use Predicted Monthly'!$Z$12</f>
        <v>426175.14374777518</v>
      </c>
      <c r="P92" s="18">
        <f>G92*'Large Use Predicted Monthly'!$Z$13</f>
        <v>0</v>
      </c>
      <c r="Q92" s="18">
        <f>H92*'Large Use Predicted Monthly'!$Z$14</f>
        <v>2169588.3068179414</v>
      </c>
      <c r="R92" s="18">
        <f>I92*'Large Use Predicted Monthly'!$Z$15</f>
        <v>-172308.31385586626</v>
      </c>
      <c r="S92" s="18">
        <f>J92*'Large Use Predicted Monthly'!$Z$16</f>
        <v>0</v>
      </c>
      <c r="T92" s="18">
        <f>K92*'Large Use Predicted Monthly'!$Z$17</f>
        <v>2818.3154979256215</v>
      </c>
      <c r="U92" s="18">
        <f t="shared" ca="1" si="10"/>
        <v>3303893.3545489577</v>
      </c>
    </row>
    <row r="93" spans="1:21" x14ac:dyDescent="0.25">
      <c r="A93" s="3">
        <f>'Monthly Data'!A93</f>
        <v>44774</v>
      </c>
      <c r="B93" s="1">
        <f t="shared" si="8"/>
        <v>2022</v>
      </c>
      <c r="C93" s="1">
        <f t="shared" si="9"/>
        <v>8</v>
      </c>
      <c r="D93" s="268">
        <f>'Monthly Data'!X93</f>
        <v>2754259.0781559683</v>
      </c>
      <c r="E93" s="278">
        <f t="shared" ca="1" si="11"/>
        <v>0</v>
      </c>
      <c r="F93" s="278">
        <f t="shared" ca="1" si="11"/>
        <v>210.96558794466404</v>
      </c>
      <c r="G93" s="278">
        <f>'Monthly Data'!CC93</f>
        <v>92</v>
      </c>
      <c r="H93" s="278">
        <f>'Monthly Data'!CD93</f>
        <v>31</v>
      </c>
      <c r="I93" s="278">
        <f>'Monthly Data'!CG93</f>
        <v>0.25</v>
      </c>
      <c r="J93" s="278">
        <f>'Monthly Data'!CB93</f>
        <v>0</v>
      </c>
      <c r="K93" s="278">
        <f>'Monthly Data'!AX93</f>
        <v>1358</v>
      </c>
      <c r="M93" s="18">
        <f>'Large Use Predicted Monthly'!$Z$10</f>
        <v>877619.90234118199</v>
      </c>
      <c r="N93" s="18">
        <f ca="1">E93*'Large Use Predicted Monthly'!$Z$11</f>
        <v>0</v>
      </c>
      <c r="O93" s="18">
        <f ca="1">F93*'Large Use Predicted Monthly'!$Z$12</f>
        <v>381052.29355151928</v>
      </c>
      <c r="P93" s="18">
        <f>G93*'Large Use Predicted Monthly'!$Z$13</f>
        <v>0</v>
      </c>
      <c r="Q93" s="18">
        <f>H93*'Large Use Predicted Monthly'!$Z$14</f>
        <v>2169588.3068179414</v>
      </c>
      <c r="R93" s="18">
        <f>I93*'Large Use Predicted Monthly'!$Z$15</f>
        <v>-172308.31385586626</v>
      </c>
      <c r="S93" s="18">
        <f>J93*'Large Use Predicted Monthly'!$Z$16</f>
        <v>0</v>
      </c>
      <c r="T93" s="18">
        <f>K93*'Large Use Predicted Monthly'!$Z$17</f>
        <v>2818.3154979256215</v>
      </c>
      <c r="U93" s="18">
        <f t="shared" ca="1" si="10"/>
        <v>3258770.5043527018</v>
      </c>
    </row>
    <row r="94" spans="1:21" x14ac:dyDescent="0.25">
      <c r="A94" s="3">
        <f>'Monthly Data'!A94</f>
        <v>44805</v>
      </c>
      <c r="B94" s="1">
        <f t="shared" si="8"/>
        <v>2022</v>
      </c>
      <c r="C94" s="1">
        <f t="shared" si="9"/>
        <v>9</v>
      </c>
      <c r="D94" s="268">
        <f>'Monthly Data'!X94</f>
        <v>2773577.0888157538</v>
      </c>
      <c r="E94" s="278">
        <f t="shared" ca="1" si="11"/>
        <v>0</v>
      </c>
      <c r="F94" s="278">
        <f t="shared" ca="1" si="11"/>
        <v>106.4160119047619</v>
      </c>
      <c r="G94" s="278">
        <f>'Monthly Data'!CC94</f>
        <v>93</v>
      </c>
      <c r="H94" s="278">
        <f>'Monthly Data'!CD94</f>
        <v>30</v>
      </c>
      <c r="I94" s="278">
        <f>'Monthly Data'!CG94</f>
        <v>0.25</v>
      </c>
      <c r="J94" s="278">
        <f>'Monthly Data'!CB94</f>
        <v>1</v>
      </c>
      <c r="K94" s="278">
        <f>'Monthly Data'!AX94</f>
        <v>1358</v>
      </c>
      <c r="M94" s="18">
        <f>'Large Use Predicted Monthly'!$Z$10</f>
        <v>877619.90234118199</v>
      </c>
      <c r="N94" s="18">
        <f ca="1">E94*'Large Use Predicted Monthly'!$Z$11</f>
        <v>0</v>
      </c>
      <c r="O94" s="18">
        <f ca="1">F94*'Large Use Predicted Monthly'!$Z$12</f>
        <v>192211.75264636773</v>
      </c>
      <c r="P94" s="18">
        <f>G94*'Large Use Predicted Monthly'!$Z$13</f>
        <v>0</v>
      </c>
      <c r="Q94" s="18">
        <f>H94*'Large Use Predicted Monthly'!$Z$14</f>
        <v>2099601.5872431691</v>
      </c>
      <c r="R94" s="18">
        <f>I94*'Large Use Predicted Monthly'!$Z$15</f>
        <v>-172308.31385586626</v>
      </c>
      <c r="S94" s="18">
        <f>J94*'Large Use Predicted Monthly'!$Z$16</f>
        <v>177799.47475552099</v>
      </c>
      <c r="T94" s="18">
        <f>K94*'Large Use Predicted Monthly'!$Z$17</f>
        <v>2818.3154979256215</v>
      </c>
      <c r="U94" s="18">
        <f t="shared" ca="1" si="10"/>
        <v>3177742.718628299</v>
      </c>
    </row>
    <row r="95" spans="1:21" x14ac:dyDescent="0.25">
      <c r="A95" s="3">
        <f>'Monthly Data'!A95</f>
        <v>44835</v>
      </c>
      <c r="B95" s="1">
        <f t="shared" si="8"/>
        <v>2022</v>
      </c>
      <c r="C95" s="1">
        <f t="shared" si="9"/>
        <v>10</v>
      </c>
      <c r="D95" s="268">
        <f>'Monthly Data'!X95</f>
        <v>2676345.0994755393</v>
      </c>
      <c r="E95" s="278">
        <f t="shared" ref="E95:F110" ca="1" si="12">E83</f>
        <v>24.76139492753623</v>
      </c>
      <c r="F95" s="278">
        <f t="shared" ca="1" si="12"/>
        <v>17.987083333333334</v>
      </c>
      <c r="G95" s="278">
        <f>'Monthly Data'!CC95</f>
        <v>94</v>
      </c>
      <c r="H95" s="278">
        <f>'Monthly Data'!CD95</f>
        <v>31</v>
      </c>
      <c r="I95" s="278">
        <f>'Monthly Data'!CG95</f>
        <v>0.25</v>
      </c>
      <c r="J95" s="278">
        <f>'Monthly Data'!CB95</f>
        <v>1</v>
      </c>
      <c r="K95" s="278">
        <f>'Monthly Data'!AX95</f>
        <v>-950</v>
      </c>
      <c r="M95" s="18">
        <f>'Large Use Predicted Monthly'!$Z$10</f>
        <v>877619.90234118199</v>
      </c>
      <c r="N95" s="18">
        <f ca="1">E95*'Large Use Predicted Monthly'!$Z$11</f>
        <v>10486.168219119447</v>
      </c>
      <c r="O95" s="18">
        <f ca="1">F95*'Large Use Predicted Monthly'!$Z$12</f>
        <v>32488.802677462132</v>
      </c>
      <c r="P95" s="18">
        <f>G95*'Large Use Predicted Monthly'!$Z$13</f>
        <v>0</v>
      </c>
      <c r="Q95" s="18">
        <f>H95*'Large Use Predicted Monthly'!$Z$14</f>
        <v>2169588.3068179414</v>
      </c>
      <c r="R95" s="18">
        <f>I95*'Large Use Predicted Monthly'!$Z$15</f>
        <v>-172308.31385586626</v>
      </c>
      <c r="S95" s="18">
        <f>J95*'Large Use Predicted Monthly'!$Z$16</f>
        <v>177799.47475552099</v>
      </c>
      <c r="T95" s="18">
        <f>K95*'Large Use Predicted Monthly'!$Z$17</f>
        <v>-1971.5756428787483</v>
      </c>
      <c r="U95" s="18">
        <f t="shared" ca="1" si="10"/>
        <v>3093702.7653124807</v>
      </c>
    </row>
    <row r="96" spans="1:21" x14ac:dyDescent="0.25">
      <c r="A96" s="3">
        <f>'Monthly Data'!A96</f>
        <v>44866</v>
      </c>
      <c r="B96" s="1">
        <f t="shared" si="8"/>
        <v>2022</v>
      </c>
      <c r="C96" s="1">
        <f t="shared" si="9"/>
        <v>11</v>
      </c>
      <c r="D96" s="268">
        <f>'Monthly Data'!X96</f>
        <v>2618900.1101353248</v>
      </c>
      <c r="E96" s="278">
        <f t="shared" ca="1" si="12"/>
        <v>140.02366389045739</v>
      </c>
      <c r="F96" s="278">
        <f t="shared" ca="1" si="12"/>
        <v>0.8083333333333329</v>
      </c>
      <c r="G96" s="278">
        <f>'Monthly Data'!CC96</f>
        <v>95</v>
      </c>
      <c r="H96" s="278">
        <f>'Monthly Data'!CD96</f>
        <v>30</v>
      </c>
      <c r="I96" s="278">
        <f>'Monthly Data'!CG96</f>
        <v>0.25</v>
      </c>
      <c r="J96" s="278">
        <f>'Monthly Data'!CB96</f>
        <v>1</v>
      </c>
      <c r="K96" s="278">
        <f>'Monthly Data'!AX96</f>
        <v>-950</v>
      </c>
      <c r="M96" s="18">
        <f>'Large Use Predicted Monthly'!$Z$10</f>
        <v>877619.90234118199</v>
      </c>
      <c r="N96" s="18">
        <f ca="1">E96*'Large Use Predicted Monthly'!$Z$11</f>
        <v>59298.423958333726</v>
      </c>
      <c r="O96" s="18">
        <f ca="1">F96*'Large Use Predicted Monthly'!$Z$12</f>
        <v>1460.0356087534226</v>
      </c>
      <c r="P96" s="18">
        <f>G96*'Large Use Predicted Monthly'!$Z$13</f>
        <v>0</v>
      </c>
      <c r="Q96" s="18">
        <f>H96*'Large Use Predicted Monthly'!$Z$14</f>
        <v>2099601.5872431691</v>
      </c>
      <c r="R96" s="18">
        <f>I96*'Large Use Predicted Monthly'!$Z$15</f>
        <v>-172308.31385586626</v>
      </c>
      <c r="S96" s="18">
        <f>J96*'Large Use Predicted Monthly'!$Z$16</f>
        <v>177799.47475552099</v>
      </c>
      <c r="T96" s="18">
        <f>K96*'Large Use Predicted Monthly'!$Z$17</f>
        <v>-1971.5756428787483</v>
      </c>
      <c r="U96" s="18">
        <f t="shared" ca="1" si="10"/>
        <v>3041499.534408214</v>
      </c>
    </row>
    <row r="97" spans="1:24" x14ac:dyDescent="0.25">
      <c r="A97" s="3">
        <f>'Monthly Data'!A97</f>
        <v>44896</v>
      </c>
      <c r="B97" s="1">
        <f t="shared" si="8"/>
        <v>2022</v>
      </c>
      <c r="C97" s="1">
        <f t="shared" si="9"/>
        <v>12</v>
      </c>
      <c r="D97" s="268">
        <f>'Monthly Data'!X97</f>
        <v>2433934.1207951102</v>
      </c>
      <c r="E97" s="278">
        <f t="shared" ca="1" si="12"/>
        <v>268.92048913043476</v>
      </c>
      <c r="F97" s="278">
        <f t="shared" ca="1" si="12"/>
        <v>0</v>
      </c>
      <c r="G97" s="278">
        <f>'Monthly Data'!CC97</f>
        <v>96</v>
      </c>
      <c r="H97" s="278">
        <f>'Monthly Data'!CD97</f>
        <v>31</v>
      </c>
      <c r="I97" s="278">
        <f>'Monthly Data'!CG97</f>
        <v>0.25</v>
      </c>
      <c r="J97" s="278">
        <f>'Monthly Data'!CB97</f>
        <v>0</v>
      </c>
      <c r="K97" s="278">
        <f>'Monthly Data'!AX97</f>
        <v>-950</v>
      </c>
      <c r="M97" s="18">
        <f>'Large Use Predicted Monthly'!$Z$10</f>
        <v>877619.90234118199</v>
      </c>
      <c r="N97" s="18">
        <f ca="1">E97*'Large Use Predicted Monthly'!$Z$11</f>
        <v>113884.75870774408</v>
      </c>
      <c r="O97" s="18">
        <f ca="1">F97*'Large Use Predicted Monthly'!$Z$12</f>
        <v>0</v>
      </c>
      <c r="P97" s="18">
        <f>G97*'Large Use Predicted Monthly'!$Z$13</f>
        <v>0</v>
      </c>
      <c r="Q97" s="18">
        <f>H97*'Large Use Predicted Monthly'!$Z$14</f>
        <v>2169588.3068179414</v>
      </c>
      <c r="R97" s="18">
        <f>I97*'Large Use Predicted Monthly'!$Z$15</f>
        <v>-172308.31385586626</v>
      </c>
      <c r="S97" s="18">
        <f>J97*'Large Use Predicted Monthly'!$Z$16</f>
        <v>0</v>
      </c>
      <c r="T97" s="18">
        <f>K97*'Large Use Predicted Monthly'!$Z$17</f>
        <v>-1971.5756428787483</v>
      </c>
      <c r="U97" s="18">
        <f t="shared" ca="1" si="10"/>
        <v>2986813.0783681222</v>
      </c>
    </row>
    <row r="98" spans="1:24" x14ac:dyDescent="0.25">
      <c r="A98" s="3">
        <f>'Monthly Data'!A98</f>
        <v>44927</v>
      </c>
      <c r="B98" s="1">
        <f t="shared" si="8"/>
        <v>2023</v>
      </c>
      <c r="C98" s="1">
        <f t="shared" si="9"/>
        <v>1</v>
      </c>
      <c r="D98" s="268">
        <f>'Monthly Data'!X98</f>
        <v>2758482.2645629239</v>
      </c>
      <c r="E98" s="278">
        <f t="shared" ca="1" si="12"/>
        <v>387.33418478260865</v>
      </c>
      <c r="F98" s="278">
        <f t="shared" ca="1" si="12"/>
        <v>0</v>
      </c>
      <c r="G98" s="278">
        <f>'Monthly Data'!CC98</f>
        <v>97</v>
      </c>
      <c r="H98" s="278">
        <f>'Monthly Data'!CD98</f>
        <v>31</v>
      </c>
      <c r="I98" s="278">
        <f>'Monthly Data'!CG98</f>
        <v>0</v>
      </c>
      <c r="J98" s="278">
        <f>'Monthly Data'!CB98</f>
        <v>0</v>
      </c>
      <c r="K98" s="278">
        <f>'Monthly Data'!AX98</f>
        <v>8629</v>
      </c>
      <c r="M98" s="18">
        <f>'Large Use Predicted Monthly'!$Z$10</f>
        <v>877619.90234118199</v>
      </c>
      <c r="N98" s="18">
        <f ca="1">E98*'Large Use Predicted Monthly'!$Z$11</f>
        <v>164031.6076914196</v>
      </c>
      <c r="O98" s="18">
        <f ca="1">F98*'Large Use Predicted Monthly'!$Z$12</f>
        <v>0</v>
      </c>
      <c r="P98" s="18">
        <f>G98*'Large Use Predicted Monthly'!$Z$13</f>
        <v>0</v>
      </c>
      <c r="Q98" s="18">
        <f>H98*'Large Use Predicted Monthly'!$Z$14</f>
        <v>2169588.3068179414</v>
      </c>
      <c r="R98" s="18">
        <f>I98*'Large Use Predicted Monthly'!$Z$15</f>
        <v>0</v>
      </c>
      <c r="S98" s="18">
        <f>J98*'Large Use Predicted Monthly'!$Z$16</f>
        <v>0</v>
      </c>
      <c r="T98" s="18">
        <f>K98*'Large Use Predicted Monthly'!$Z$17</f>
        <v>17908.132865684969</v>
      </c>
      <c r="U98" s="18">
        <f t="shared" ca="1" si="10"/>
        <v>3229147.9497162281</v>
      </c>
    </row>
    <row r="99" spans="1:24" x14ac:dyDescent="0.25">
      <c r="A99" s="3">
        <f>'Monthly Data'!A99</f>
        <v>44958</v>
      </c>
      <c r="B99" s="1">
        <f t="shared" si="8"/>
        <v>2023</v>
      </c>
      <c r="C99" s="1">
        <f t="shared" si="9"/>
        <v>2</v>
      </c>
      <c r="D99" s="268">
        <f>'Monthly Data'!X99</f>
        <v>2616521.0488678562</v>
      </c>
      <c r="E99" s="278">
        <f t="shared" ca="1" si="12"/>
        <v>341.39751811594203</v>
      </c>
      <c r="F99" s="278">
        <f t="shared" ca="1" si="12"/>
        <v>0</v>
      </c>
      <c r="G99" s="278">
        <f>'Monthly Data'!CC99</f>
        <v>98</v>
      </c>
      <c r="H99" s="278">
        <f>'Monthly Data'!CD99</f>
        <v>28</v>
      </c>
      <c r="I99" s="278">
        <f>'Monthly Data'!CG99</f>
        <v>0</v>
      </c>
      <c r="J99" s="278">
        <f>'Monthly Data'!CB99</f>
        <v>0</v>
      </c>
      <c r="K99" s="278">
        <f>'Monthly Data'!AX99</f>
        <v>8629</v>
      </c>
      <c r="M99" s="18">
        <f>'Large Use Predicted Monthly'!$Z$10</f>
        <v>877619.90234118199</v>
      </c>
      <c r="N99" s="18">
        <f ca="1">E99*'Large Use Predicted Monthly'!$Z$11</f>
        <v>144577.95350505537</v>
      </c>
      <c r="O99" s="18">
        <f ca="1">F99*'Large Use Predicted Monthly'!$Z$12</f>
        <v>0</v>
      </c>
      <c r="P99" s="18">
        <f>G99*'Large Use Predicted Monthly'!$Z$13</f>
        <v>0</v>
      </c>
      <c r="Q99" s="18">
        <f>H99*'Large Use Predicted Monthly'!$Z$14</f>
        <v>1959628.1480936245</v>
      </c>
      <c r="R99" s="18">
        <f>I99*'Large Use Predicted Monthly'!$Z$15</f>
        <v>0</v>
      </c>
      <c r="S99" s="18">
        <f>J99*'Large Use Predicted Monthly'!$Z$16</f>
        <v>0</v>
      </c>
      <c r="T99" s="18">
        <f>K99*'Large Use Predicted Monthly'!$Z$17</f>
        <v>17908.132865684969</v>
      </c>
      <c r="U99" s="18">
        <f t="shared" ca="1" si="10"/>
        <v>2999734.1368055469</v>
      </c>
    </row>
    <row r="100" spans="1:24" x14ac:dyDescent="0.25">
      <c r="A100" s="3">
        <f>'Monthly Data'!A100</f>
        <v>44986</v>
      </c>
      <c r="B100" s="1">
        <f t="shared" si="8"/>
        <v>2023</v>
      </c>
      <c r="C100" s="1">
        <f t="shared" si="9"/>
        <v>3</v>
      </c>
      <c r="D100" s="268">
        <f>'Monthly Data'!X100</f>
        <v>2781148.9606493996</v>
      </c>
      <c r="E100" s="278">
        <f t="shared" ca="1" si="12"/>
        <v>238.57840579710145</v>
      </c>
      <c r="F100" s="278">
        <f t="shared" ca="1" si="12"/>
        <v>0</v>
      </c>
      <c r="G100" s="278">
        <f>'Monthly Data'!CC100</f>
        <v>99</v>
      </c>
      <c r="H100" s="278">
        <f>'Monthly Data'!CD100</f>
        <v>31</v>
      </c>
      <c r="I100" s="278">
        <f>'Monthly Data'!CG100</f>
        <v>0</v>
      </c>
      <c r="J100" s="278">
        <f>'Monthly Data'!CB100</f>
        <v>1</v>
      </c>
      <c r="K100" s="278">
        <f>'Monthly Data'!AX100</f>
        <v>8629</v>
      </c>
      <c r="M100" s="18">
        <f>'Large Use Predicted Monthly'!$Z$10</f>
        <v>877619.90234118199</v>
      </c>
      <c r="N100" s="18">
        <f ca="1">E100*'Large Use Predicted Monthly'!$Z$11</f>
        <v>101035.23262559084</v>
      </c>
      <c r="O100" s="18">
        <f ca="1">F100*'Large Use Predicted Monthly'!$Z$12</f>
        <v>0</v>
      </c>
      <c r="P100" s="18">
        <f>G100*'Large Use Predicted Monthly'!$Z$13</f>
        <v>0</v>
      </c>
      <c r="Q100" s="18">
        <f>H100*'Large Use Predicted Monthly'!$Z$14</f>
        <v>2169588.3068179414</v>
      </c>
      <c r="R100" s="18">
        <f>I100*'Large Use Predicted Monthly'!$Z$15</f>
        <v>0</v>
      </c>
      <c r="S100" s="18">
        <f>J100*'Large Use Predicted Monthly'!$Z$16</f>
        <v>177799.47475552099</v>
      </c>
      <c r="T100" s="18">
        <f>K100*'Large Use Predicted Monthly'!$Z$17</f>
        <v>17908.132865684969</v>
      </c>
      <c r="U100" s="18">
        <f t="shared" ca="1" si="10"/>
        <v>3343951.0494059203</v>
      </c>
      <c r="W100" s="18"/>
      <c r="X100" s="285"/>
    </row>
    <row r="101" spans="1:24" x14ac:dyDescent="0.25">
      <c r="A101" s="3">
        <f>'Monthly Data'!A101</f>
        <v>45017</v>
      </c>
      <c r="B101" s="1">
        <f t="shared" si="8"/>
        <v>2023</v>
      </c>
      <c r="C101" s="1">
        <f t="shared" si="9"/>
        <v>4</v>
      </c>
      <c r="D101" s="268">
        <f>'Monthly Data'!X101</f>
        <v>2559753.6758419713</v>
      </c>
      <c r="E101" s="278">
        <f t="shared" ca="1" si="12"/>
        <v>79.984412878787879</v>
      </c>
      <c r="F101" s="278">
        <f t="shared" ca="1" si="12"/>
        <v>2.1908333333333347</v>
      </c>
      <c r="G101" s="278">
        <f>'Monthly Data'!CC101</f>
        <v>100</v>
      </c>
      <c r="H101" s="278">
        <f>'Monthly Data'!CD101</f>
        <v>30</v>
      </c>
      <c r="I101" s="278">
        <f>'Monthly Data'!CG101</f>
        <v>0</v>
      </c>
      <c r="J101" s="278">
        <f>'Monthly Data'!CB101</f>
        <v>1</v>
      </c>
      <c r="K101" s="278">
        <f>'Monthly Data'!AX101</f>
        <v>4845</v>
      </c>
      <c r="M101" s="18">
        <f>'Large Use Predicted Monthly'!$Z$10</f>
        <v>877619.90234118199</v>
      </c>
      <c r="N101" s="18">
        <f ca="1">E101*'Large Use Predicted Monthly'!$Z$11</f>
        <v>33872.4862152961</v>
      </c>
      <c r="O101" s="18">
        <f ca="1">F101*'Large Use Predicted Monthly'!$Z$12</f>
        <v>3957.1480571265488</v>
      </c>
      <c r="P101" s="18">
        <f>G101*'Large Use Predicted Monthly'!$Z$13</f>
        <v>0</v>
      </c>
      <c r="Q101" s="18">
        <f>H101*'Large Use Predicted Monthly'!$Z$14</f>
        <v>2099601.5872431691</v>
      </c>
      <c r="R101" s="18">
        <f>I101*'Large Use Predicted Monthly'!$Z$15</f>
        <v>0</v>
      </c>
      <c r="S101" s="18">
        <f>J101*'Large Use Predicted Monthly'!$Z$16</f>
        <v>177799.47475552099</v>
      </c>
      <c r="T101" s="18">
        <f>K101*'Large Use Predicted Monthly'!$Z$17</f>
        <v>10055.035778681617</v>
      </c>
      <c r="U101" s="18">
        <f t="shared" ca="1" si="10"/>
        <v>3202905.6343909763</v>
      </c>
      <c r="W101" s="18"/>
      <c r="X101" s="285"/>
    </row>
    <row r="102" spans="1:24" x14ac:dyDescent="0.25">
      <c r="A102" s="3">
        <f>'Monthly Data'!A102</f>
        <v>45047</v>
      </c>
      <c r="B102" s="1">
        <f t="shared" si="8"/>
        <v>2023</v>
      </c>
      <c r="C102" s="1">
        <f t="shared" si="9"/>
        <v>5</v>
      </c>
      <c r="D102" s="268">
        <f>'Monthly Data'!X102</f>
        <v>2656087.4936269652</v>
      </c>
      <c r="E102" s="278">
        <f t="shared" ca="1" si="12"/>
        <v>7.2018333333333331</v>
      </c>
      <c r="F102" s="278">
        <f t="shared" ca="1" si="12"/>
        <v>52.487435064935063</v>
      </c>
      <c r="G102" s="278">
        <f>'Monthly Data'!CC102</f>
        <v>101</v>
      </c>
      <c r="H102" s="278">
        <f>'Monthly Data'!CD102</f>
        <v>31</v>
      </c>
      <c r="I102" s="278">
        <f>'Monthly Data'!CG102</f>
        <v>0</v>
      </c>
      <c r="J102" s="278">
        <f>'Monthly Data'!CB102</f>
        <v>1</v>
      </c>
      <c r="K102" s="278">
        <f>'Monthly Data'!AX102</f>
        <v>4845</v>
      </c>
      <c r="M102" s="18">
        <f>'Large Use Predicted Monthly'!$Z$10</f>
        <v>877619.90234118199</v>
      </c>
      <c r="N102" s="18">
        <f ca="1">E102*'Large Use Predicted Monthly'!$Z$11</f>
        <v>3049.8942422428909</v>
      </c>
      <c r="O102" s="18">
        <f ca="1">F102*'Large Use Predicted Monthly'!$Z$12</f>
        <v>94804.359843634942</v>
      </c>
      <c r="P102" s="18">
        <f>G102*'Large Use Predicted Monthly'!$Z$13</f>
        <v>0</v>
      </c>
      <c r="Q102" s="18">
        <f>H102*'Large Use Predicted Monthly'!$Z$14</f>
        <v>2169588.3068179414</v>
      </c>
      <c r="R102" s="18">
        <f>I102*'Large Use Predicted Monthly'!$Z$15</f>
        <v>0</v>
      </c>
      <c r="S102" s="18">
        <f>J102*'Large Use Predicted Monthly'!$Z$16</f>
        <v>177799.47475552099</v>
      </c>
      <c r="T102" s="18">
        <f>K102*'Large Use Predicted Monthly'!$Z$17</f>
        <v>10055.035778681617</v>
      </c>
      <c r="U102" s="18">
        <f t="shared" ca="1" si="10"/>
        <v>3332916.9737792038</v>
      </c>
      <c r="W102" s="18"/>
      <c r="X102" s="285"/>
    </row>
    <row r="103" spans="1:24" x14ac:dyDescent="0.25">
      <c r="A103" s="3">
        <f>'Monthly Data'!A103</f>
        <v>45078</v>
      </c>
      <c r="B103" s="1">
        <f t="shared" si="8"/>
        <v>2023</v>
      </c>
      <c r="C103" s="1">
        <f t="shared" si="9"/>
        <v>6</v>
      </c>
      <c r="D103" s="268">
        <f>'Monthly Data'!X103</f>
        <v>2596571.3173193499</v>
      </c>
      <c r="E103" s="278">
        <f t="shared" ca="1" si="12"/>
        <v>0</v>
      </c>
      <c r="F103" s="278">
        <f t="shared" ca="1" si="12"/>
        <v>137.65451754405018</v>
      </c>
      <c r="G103" s="278">
        <f>'Monthly Data'!CC103</f>
        <v>102</v>
      </c>
      <c r="H103" s="278">
        <f>'Monthly Data'!CD103</f>
        <v>30</v>
      </c>
      <c r="I103" s="278">
        <f>'Monthly Data'!CG103</f>
        <v>0</v>
      </c>
      <c r="J103" s="278">
        <f>'Monthly Data'!CB103</f>
        <v>0</v>
      </c>
      <c r="K103" s="278">
        <f>'Monthly Data'!AX103</f>
        <v>4845</v>
      </c>
      <c r="M103" s="18">
        <f>'Large Use Predicted Monthly'!$Z$10</f>
        <v>877619.90234118199</v>
      </c>
      <c r="N103" s="18">
        <f ca="1">E103*'Large Use Predicted Monthly'!$Z$11</f>
        <v>0</v>
      </c>
      <c r="O103" s="18">
        <f ca="1">F103*'Large Use Predicted Monthly'!$Z$12</f>
        <v>248635.66678773539</v>
      </c>
      <c r="P103" s="18">
        <f>G103*'Large Use Predicted Monthly'!$Z$13</f>
        <v>0</v>
      </c>
      <c r="Q103" s="18">
        <f>H103*'Large Use Predicted Monthly'!$Z$14</f>
        <v>2099601.5872431691</v>
      </c>
      <c r="R103" s="18">
        <f>I103*'Large Use Predicted Monthly'!$Z$15</f>
        <v>0</v>
      </c>
      <c r="S103" s="18">
        <f>J103*'Large Use Predicted Monthly'!$Z$16</f>
        <v>0</v>
      </c>
      <c r="T103" s="18">
        <f>K103*'Large Use Predicted Monthly'!$Z$17</f>
        <v>10055.035778681617</v>
      </c>
      <c r="U103" s="18">
        <f t="shared" ca="1" si="10"/>
        <v>3235912.1921507679</v>
      </c>
      <c r="W103" s="18"/>
      <c r="X103" s="285"/>
    </row>
    <row r="104" spans="1:24" x14ac:dyDescent="0.25">
      <c r="A104" s="3">
        <f>'Monthly Data'!A104</f>
        <v>45108</v>
      </c>
      <c r="B104" s="1">
        <f t="shared" si="8"/>
        <v>2023</v>
      </c>
      <c r="C104" s="1">
        <f t="shared" si="9"/>
        <v>7</v>
      </c>
      <c r="D104" s="268">
        <f>'Monthly Data'!X104</f>
        <v>2717050.2881612428</v>
      </c>
      <c r="E104" s="278">
        <f t="shared" ca="1" si="12"/>
        <v>0</v>
      </c>
      <c r="F104" s="278">
        <f t="shared" ca="1" si="12"/>
        <v>235.94737858727848</v>
      </c>
      <c r="G104" s="278">
        <f>'Monthly Data'!CC104</f>
        <v>103</v>
      </c>
      <c r="H104" s="278">
        <f>'Monthly Data'!CD104</f>
        <v>31</v>
      </c>
      <c r="I104" s="278">
        <f>'Monthly Data'!CG104</f>
        <v>0</v>
      </c>
      <c r="J104" s="278">
        <f>'Monthly Data'!CB104</f>
        <v>0</v>
      </c>
      <c r="K104" s="278">
        <f>'Monthly Data'!AX104</f>
        <v>2198</v>
      </c>
      <c r="M104" s="18">
        <f>'Large Use Predicted Monthly'!$Z$10</f>
        <v>877619.90234118199</v>
      </c>
      <c r="N104" s="18">
        <f ca="1">E104*'Large Use Predicted Monthly'!$Z$11</f>
        <v>0</v>
      </c>
      <c r="O104" s="18">
        <f ca="1">F104*'Large Use Predicted Monthly'!$Z$12</f>
        <v>426175.14374777518</v>
      </c>
      <c r="P104" s="18">
        <f>G104*'Large Use Predicted Monthly'!$Z$13</f>
        <v>0</v>
      </c>
      <c r="Q104" s="18">
        <f>H104*'Large Use Predicted Monthly'!$Z$14</f>
        <v>2169588.3068179414</v>
      </c>
      <c r="R104" s="18">
        <f>I104*'Large Use Predicted Monthly'!$Z$15</f>
        <v>0</v>
      </c>
      <c r="S104" s="18">
        <f>J104*'Large Use Predicted Monthly'!$Z$16</f>
        <v>0</v>
      </c>
      <c r="T104" s="18">
        <f>K104*'Large Use Predicted Monthly'!$Z$17</f>
        <v>4561.6034347868299</v>
      </c>
      <c r="U104" s="18">
        <f t="shared" ca="1" si="10"/>
        <v>3477944.9563416853</v>
      </c>
      <c r="W104" s="18"/>
      <c r="X104" s="285"/>
    </row>
    <row r="105" spans="1:24" x14ac:dyDescent="0.25">
      <c r="A105" s="3">
        <f>'Monthly Data'!A105</f>
        <v>45139</v>
      </c>
      <c r="B105" s="1">
        <f t="shared" si="8"/>
        <v>2023</v>
      </c>
      <c r="C105" s="1">
        <f t="shared" si="9"/>
        <v>8</v>
      </c>
      <c r="D105" s="268">
        <f>'Monthly Data'!X105</f>
        <v>2983763.2101783892</v>
      </c>
      <c r="E105" s="278">
        <f t="shared" ca="1" si="12"/>
        <v>0</v>
      </c>
      <c r="F105" s="278">
        <f t="shared" ca="1" si="12"/>
        <v>210.96558794466404</v>
      </c>
      <c r="G105" s="278">
        <f>'Monthly Data'!CC105</f>
        <v>104</v>
      </c>
      <c r="H105" s="278">
        <f>'Monthly Data'!CD105</f>
        <v>31</v>
      </c>
      <c r="I105" s="278">
        <f>'Monthly Data'!CG105</f>
        <v>0</v>
      </c>
      <c r="J105" s="278">
        <f>'Monthly Data'!CB105</f>
        <v>0</v>
      </c>
      <c r="K105" s="278">
        <f>'Monthly Data'!AX105</f>
        <v>2198</v>
      </c>
      <c r="M105" s="18">
        <f>'Large Use Predicted Monthly'!$Z$10</f>
        <v>877619.90234118199</v>
      </c>
      <c r="N105" s="18">
        <f ca="1">E105*'Large Use Predicted Monthly'!$Z$11</f>
        <v>0</v>
      </c>
      <c r="O105" s="18">
        <f ca="1">F105*'Large Use Predicted Monthly'!$Z$12</f>
        <v>381052.29355151928</v>
      </c>
      <c r="P105" s="18">
        <f>G105*'Large Use Predicted Monthly'!$Z$13</f>
        <v>0</v>
      </c>
      <c r="Q105" s="18">
        <f>H105*'Large Use Predicted Monthly'!$Z$14</f>
        <v>2169588.3068179414</v>
      </c>
      <c r="R105" s="18">
        <f>I105*'Large Use Predicted Monthly'!$Z$15</f>
        <v>0</v>
      </c>
      <c r="S105" s="18">
        <f>J105*'Large Use Predicted Monthly'!$Z$16</f>
        <v>0</v>
      </c>
      <c r="T105" s="18">
        <f>K105*'Large Use Predicted Monthly'!$Z$17</f>
        <v>4561.6034347868299</v>
      </c>
      <c r="U105" s="18">
        <f t="shared" ca="1" si="10"/>
        <v>3432822.1061454294</v>
      </c>
      <c r="W105" s="18"/>
      <c r="X105" s="285"/>
    </row>
    <row r="106" spans="1:24" x14ac:dyDescent="0.25">
      <c r="A106" s="3">
        <f>'Monthly Data'!A106</f>
        <v>45170</v>
      </c>
      <c r="B106" s="1">
        <f t="shared" si="8"/>
        <v>2023</v>
      </c>
      <c r="C106" s="1">
        <f t="shared" si="9"/>
        <v>9</v>
      </c>
      <c r="D106" s="268">
        <f>'Monthly Data'!X106</f>
        <v>2992173.2114858548</v>
      </c>
      <c r="E106" s="278">
        <f t="shared" ca="1" si="12"/>
        <v>0</v>
      </c>
      <c r="F106" s="278">
        <f t="shared" ca="1" si="12"/>
        <v>106.4160119047619</v>
      </c>
      <c r="G106" s="278">
        <f>'Monthly Data'!CC106</f>
        <v>105</v>
      </c>
      <c r="H106" s="278">
        <f>'Monthly Data'!CD106</f>
        <v>30</v>
      </c>
      <c r="I106" s="278">
        <f>'Monthly Data'!CG106</f>
        <v>0</v>
      </c>
      <c r="J106" s="278">
        <f>'Monthly Data'!CB106</f>
        <v>1</v>
      </c>
      <c r="K106" s="278">
        <f>'Monthly Data'!AX106</f>
        <v>2198</v>
      </c>
      <c r="M106" s="18">
        <f>'Large Use Predicted Monthly'!$Z$10</f>
        <v>877619.90234118199</v>
      </c>
      <c r="N106" s="18">
        <f ca="1">E106*'Large Use Predicted Monthly'!$Z$11</f>
        <v>0</v>
      </c>
      <c r="O106" s="18">
        <f ca="1">F106*'Large Use Predicted Monthly'!$Z$12</f>
        <v>192211.75264636773</v>
      </c>
      <c r="P106" s="18">
        <f>G106*'Large Use Predicted Monthly'!$Z$13</f>
        <v>0</v>
      </c>
      <c r="Q106" s="18">
        <f>H106*'Large Use Predicted Monthly'!$Z$14</f>
        <v>2099601.5872431691</v>
      </c>
      <c r="R106" s="18">
        <f>I106*'Large Use Predicted Monthly'!$Z$15</f>
        <v>0</v>
      </c>
      <c r="S106" s="18">
        <f>J106*'Large Use Predicted Monthly'!$Z$16</f>
        <v>177799.47475552099</v>
      </c>
      <c r="T106" s="18">
        <f>K106*'Large Use Predicted Monthly'!$Z$17</f>
        <v>4561.6034347868299</v>
      </c>
      <c r="U106" s="18">
        <f t="shared" ca="1" si="10"/>
        <v>3351794.3204210266</v>
      </c>
      <c r="W106" s="18"/>
      <c r="X106" s="285"/>
    </row>
    <row r="107" spans="1:24" x14ac:dyDescent="0.25">
      <c r="A107" s="3">
        <f>'Monthly Data'!A107</f>
        <v>45200</v>
      </c>
      <c r="B107" s="1">
        <f t="shared" si="8"/>
        <v>2023</v>
      </c>
      <c r="C107" s="1">
        <f t="shared" si="9"/>
        <v>10</v>
      </c>
      <c r="D107" s="268">
        <f>'Monthly Data'!X107</f>
        <v>2996465.4188636672</v>
      </c>
      <c r="E107" s="278">
        <f t="shared" ca="1" si="12"/>
        <v>24.76139492753623</v>
      </c>
      <c r="F107" s="278">
        <f t="shared" ca="1" si="12"/>
        <v>17.987083333333334</v>
      </c>
      <c r="G107" s="278">
        <f>'Monthly Data'!CC107</f>
        <v>106</v>
      </c>
      <c r="H107" s="278">
        <f>'Monthly Data'!CD107</f>
        <v>31</v>
      </c>
      <c r="I107" s="278">
        <f>'Monthly Data'!CG107</f>
        <v>0</v>
      </c>
      <c r="J107" s="278">
        <f>'Monthly Data'!CB107</f>
        <v>1</v>
      </c>
      <c r="K107" s="278">
        <f>'Monthly Data'!AX107</f>
        <v>1875</v>
      </c>
      <c r="M107" s="18">
        <f>'Large Use Predicted Monthly'!$Z$10</f>
        <v>877619.90234118199</v>
      </c>
      <c r="N107" s="18">
        <f ca="1">E107*'Large Use Predicted Monthly'!$Z$11</f>
        <v>10486.168219119447</v>
      </c>
      <c r="O107" s="18">
        <f ca="1">F107*'Large Use Predicted Monthly'!$Z$12</f>
        <v>32488.802677462132</v>
      </c>
      <c r="P107" s="18">
        <f>G107*'Large Use Predicted Monthly'!$Z$13</f>
        <v>0</v>
      </c>
      <c r="Q107" s="18">
        <f>H107*'Large Use Predicted Monthly'!$Z$14</f>
        <v>2169588.3068179414</v>
      </c>
      <c r="R107" s="18">
        <f>I107*'Large Use Predicted Monthly'!$Z$15</f>
        <v>0</v>
      </c>
      <c r="S107" s="18">
        <f>J107*'Large Use Predicted Monthly'!$Z$16</f>
        <v>177799.47475552099</v>
      </c>
      <c r="T107" s="18">
        <f>K107*'Large Use Predicted Monthly'!$Z$17</f>
        <v>3891.2677162080558</v>
      </c>
      <c r="U107" s="18">
        <f t="shared" ca="1" si="10"/>
        <v>3271873.9225274338</v>
      </c>
      <c r="W107" s="18"/>
      <c r="X107" s="285"/>
    </row>
    <row r="108" spans="1:24" x14ac:dyDescent="0.25">
      <c r="A108" s="3">
        <f>'Monthly Data'!A108</f>
        <v>45231</v>
      </c>
      <c r="B108" s="1">
        <f t="shared" si="8"/>
        <v>2023</v>
      </c>
      <c r="C108" s="1">
        <f t="shared" si="9"/>
        <v>11</v>
      </c>
      <c r="D108" s="268">
        <f>'Monthly Data'!X108</f>
        <v>3414621.5370895229</v>
      </c>
      <c r="E108" s="278">
        <f t="shared" ca="1" si="12"/>
        <v>140.02366389045739</v>
      </c>
      <c r="F108" s="278">
        <f t="shared" ca="1" si="12"/>
        <v>0.8083333333333329</v>
      </c>
      <c r="G108" s="278">
        <f>'Monthly Data'!CC108</f>
        <v>107</v>
      </c>
      <c r="H108" s="278">
        <f>'Monthly Data'!CD108</f>
        <v>30</v>
      </c>
      <c r="I108" s="278">
        <f>'Monthly Data'!CG108</f>
        <v>0</v>
      </c>
      <c r="J108" s="278">
        <f>'Monthly Data'!CB108</f>
        <v>1</v>
      </c>
      <c r="K108" s="278">
        <f>'Monthly Data'!AX108</f>
        <v>1875</v>
      </c>
      <c r="M108" s="18">
        <f>'Large Use Predicted Monthly'!$Z$10</f>
        <v>877619.90234118199</v>
      </c>
      <c r="N108" s="18">
        <f ca="1">E108*'Large Use Predicted Monthly'!$Z$11</f>
        <v>59298.423958333726</v>
      </c>
      <c r="O108" s="18">
        <f ca="1">F108*'Large Use Predicted Monthly'!$Z$12</f>
        <v>1460.0356087534226</v>
      </c>
      <c r="P108" s="18">
        <f>G108*'Large Use Predicted Monthly'!$Z$13</f>
        <v>0</v>
      </c>
      <c r="Q108" s="18">
        <f>H108*'Large Use Predicted Monthly'!$Z$14</f>
        <v>2099601.5872431691</v>
      </c>
      <c r="R108" s="18">
        <f>I108*'Large Use Predicted Monthly'!$Z$15</f>
        <v>0</v>
      </c>
      <c r="S108" s="18">
        <f>J108*'Large Use Predicted Monthly'!$Z$16</f>
        <v>177799.47475552099</v>
      </c>
      <c r="T108" s="18">
        <f>K108*'Large Use Predicted Monthly'!$Z$17</f>
        <v>3891.2677162080558</v>
      </c>
      <c r="U108" s="18">
        <f t="shared" ca="1" si="10"/>
        <v>3219670.6916231671</v>
      </c>
      <c r="W108" s="18"/>
      <c r="X108" s="285"/>
    </row>
    <row r="109" spans="1:24" x14ac:dyDescent="0.25">
      <c r="A109" s="3">
        <f>'Monthly Data'!A109</f>
        <v>45261</v>
      </c>
      <c r="B109" s="1">
        <f t="shared" si="8"/>
        <v>2023</v>
      </c>
      <c r="C109" s="1">
        <f t="shared" si="9"/>
        <v>12</v>
      </c>
      <c r="D109" s="268">
        <f>'Monthly Data'!X109</f>
        <v>3312670.9716701088</v>
      </c>
      <c r="E109" s="278">
        <f t="shared" ca="1" si="12"/>
        <v>268.92048913043476</v>
      </c>
      <c r="F109" s="278">
        <f t="shared" ca="1" si="12"/>
        <v>0</v>
      </c>
      <c r="G109" s="278">
        <f>'Monthly Data'!CC109</f>
        <v>108</v>
      </c>
      <c r="H109" s="278">
        <f>'Monthly Data'!CD109</f>
        <v>31</v>
      </c>
      <c r="I109" s="278">
        <f>'Monthly Data'!CG109</f>
        <v>0</v>
      </c>
      <c r="J109" s="278">
        <f>'Monthly Data'!CB109</f>
        <v>0</v>
      </c>
      <c r="K109" s="278">
        <f>'Monthly Data'!AX109</f>
        <v>1875</v>
      </c>
      <c r="M109" s="18">
        <f>'Large Use Predicted Monthly'!$Z$10</f>
        <v>877619.90234118199</v>
      </c>
      <c r="N109" s="18">
        <f ca="1">E109*'Large Use Predicted Monthly'!$Z$11</f>
        <v>113884.75870774408</v>
      </c>
      <c r="O109" s="18">
        <f ca="1">F109*'Large Use Predicted Monthly'!$Z$12</f>
        <v>0</v>
      </c>
      <c r="P109" s="18">
        <f>G109*'Large Use Predicted Monthly'!$Z$13</f>
        <v>0</v>
      </c>
      <c r="Q109" s="18">
        <f>H109*'Large Use Predicted Monthly'!$Z$14</f>
        <v>2169588.3068179414</v>
      </c>
      <c r="R109" s="18">
        <f>I109*'Large Use Predicted Monthly'!$Z$15</f>
        <v>0</v>
      </c>
      <c r="S109" s="18">
        <f>J109*'Large Use Predicted Monthly'!$Z$16</f>
        <v>0</v>
      </c>
      <c r="T109" s="18">
        <f>K109*'Large Use Predicted Monthly'!$Z$17</f>
        <v>3891.2677162080558</v>
      </c>
      <c r="U109" s="18">
        <f t="shared" ca="1" si="10"/>
        <v>3164984.2355830753</v>
      </c>
      <c r="V109" s="268"/>
      <c r="W109" s="18"/>
      <c r="X109" s="285"/>
    </row>
    <row r="110" spans="1:24" x14ac:dyDescent="0.25">
      <c r="A110" s="3">
        <f>'Monthly Data'!A110</f>
        <v>45292</v>
      </c>
      <c r="B110" s="1">
        <f t="shared" si="8"/>
        <v>2024</v>
      </c>
      <c r="C110" s="1">
        <f t="shared" si="9"/>
        <v>1</v>
      </c>
      <c r="D110" s="268">
        <f>'Monthly Data'!X110</f>
        <v>3544718.830319657</v>
      </c>
      <c r="E110" s="278">
        <f t="shared" ca="1" si="12"/>
        <v>387.33418478260865</v>
      </c>
      <c r="F110" s="278">
        <f t="shared" ca="1" si="12"/>
        <v>0</v>
      </c>
      <c r="G110" s="278">
        <f>'Monthly Data'!CC110</f>
        <v>109</v>
      </c>
      <c r="H110" s="278">
        <f>'Monthly Data'!CD110</f>
        <v>31</v>
      </c>
      <c r="I110" s="278">
        <f>'Monthly Data'!CG110</f>
        <v>0</v>
      </c>
      <c r="J110" s="278">
        <f>'Monthly Data'!CB110</f>
        <v>0</v>
      </c>
      <c r="K110" s="278">
        <f>'Monthly Data'!AX110</f>
        <v>4826</v>
      </c>
      <c r="M110" s="18">
        <f>'Large Use Predicted Monthly'!$Z$10</f>
        <v>877619.90234118199</v>
      </c>
      <c r="N110" s="18">
        <f ca="1">E110*'Large Use Predicted Monthly'!$Z$11</f>
        <v>164031.6076914196</v>
      </c>
      <c r="O110" s="18">
        <f ca="1">F110*'Large Use Predicted Monthly'!$Z$12</f>
        <v>0</v>
      </c>
      <c r="P110" s="18">
        <f>G110*'Large Use Predicted Monthly'!$Z$13</f>
        <v>0</v>
      </c>
      <c r="Q110" s="18">
        <f>H110*'Large Use Predicted Monthly'!$Z$14</f>
        <v>2169588.3068179414</v>
      </c>
      <c r="R110" s="18">
        <f>I110*'Large Use Predicted Monthly'!$Z$15</f>
        <v>0</v>
      </c>
      <c r="S110" s="18">
        <f>J110*'Large Use Predicted Monthly'!$Z$16</f>
        <v>0</v>
      </c>
      <c r="T110" s="18">
        <f>K110*'Large Use Predicted Monthly'!$Z$17</f>
        <v>10015.604265824042</v>
      </c>
      <c r="U110" s="18">
        <f t="shared" ca="1" si="10"/>
        <v>3221255.421116367</v>
      </c>
      <c r="V110" s="268"/>
      <c r="W110" s="18"/>
      <c r="X110" s="285"/>
    </row>
    <row r="111" spans="1:24" x14ac:dyDescent="0.25">
      <c r="A111" s="3">
        <f>'Monthly Data'!A111</f>
        <v>45323</v>
      </c>
      <c r="B111" s="1">
        <f t="shared" si="8"/>
        <v>2024</v>
      </c>
      <c r="C111" s="1">
        <f t="shared" si="9"/>
        <v>2</v>
      </c>
      <c r="D111" s="268">
        <f>'Monthly Data'!X111</f>
        <v>3378375.6366031975</v>
      </c>
      <c r="E111" s="278">
        <f t="shared" ref="E111:F126" ca="1" si="13">E99</f>
        <v>341.39751811594203</v>
      </c>
      <c r="F111" s="278">
        <f t="shared" ca="1" si="13"/>
        <v>0</v>
      </c>
      <c r="G111" s="278">
        <f>'Monthly Data'!CC111</f>
        <v>110</v>
      </c>
      <c r="H111" s="278">
        <f>'Monthly Data'!CD111</f>
        <v>29</v>
      </c>
      <c r="I111" s="278">
        <f>'Monthly Data'!CG111</f>
        <v>0</v>
      </c>
      <c r="J111" s="278">
        <f>'Monthly Data'!CB111</f>
        <v>0</v>
      </c>
      <c r="K111" s="278">
        <f>'Monthly Data'!AX111</f>
        <v>4826</v>
      </c>
      <c r="M111" s="18">
        <f>'Large Use Predicted Monthly'!$Z$10</f>
        <v>877619.90234118199</v>
      </c>
      <c r="N111" s="18">
        <f ca="1">E111*'Large Use Predicted Monthly'!$Z$11</f>
        <v>144577.95350505537</v>
      </c>
      <c r="O111" s="18">
        <f ca="1">F111*'Large Use Predicted Monthly'!$Z$12</f>
        <v>0</v>
      </c>
      <c r="P111" s="18">
        <f>G111*'Large Use Predicted Monthly'!$Z$13</f>
        <v>0</v>
      </c>
      <c r="Q111" s="18">
        <f>H111*'Large Use Predicted Monthly'!$Z$14</f>
        <v>2029614.8676683968</v>
      </c>
      <c r="R111" s="18">
        <f>I111*'Large Use Predicted Monthly'!$Z$15</f>
        <v>0</v>
      </c>
      <c r="S111" s="18">
        <f>J111*'Large Use Predicted Monthly'!$Z$16</f>
        <v>0</v>
      </c>
      <c r="T111" s="18">
        <f>K111*'Large Use Predicted Monthly'!$Z$17</f>
        <v>10015.604265824042</v>
      </c>
      <c r="U111" s="18">
        <f t="shared" ca="1" si="10"/>
        <v>3061828.3277804581</v>
      </c>
      <c r="V111" s="268"/>
      <c r="W111" s="18"/>
      <c r="X111" s="285"/>
    </row>
    <row r="112" spans="1:24" x14ac:dyDescent="0.25">
      <c r="A112" s="3">
        <f>'Monthly Data'!A112</f>
        <v>45352</v>
      </c>
      <c r="B112" s="1">
        <f t="shared" si="8"/>
        <v>2024</v>
      </c>
      <c r="C112" s="1">
        <f t="shared" si="9"/>
        <v>3</v>
      </c>
      <c r="D112" s="268">
        <f>'Monthly Data'!X112</f>
        <v>3523856.4428867381</v>
      </c>
      <c r="E112" s="278">
        <f t="shared" ca="1" si="13"/>
        <v>238.57840579710145</v>
      </c>
      <c r="F112" s="278">
        <f t="shared" ca="1" si="13"/>
        <v>0</v>
      </c>
      <c r="G112" s="278">
        <f>'Monthly Data'!CC112</f>
        <v>111</v>
      </c>
      <c r="H112" s="278">
        <f>'Monthly Data'!CD112</f>
        <v>31</v>
      </c>
      <c r="I112" s="278">
        <f>'Monthly Data'!CG112</f>
        <v>0</v>
      </c>
      <c r="J112" s="278">
        <f>'Monthly Data'!CB112</f>
        <v>1</v>
      </c>
      <c r="K112" s="278">
        <f>'Monthly Data'!AX112</f>
        <v>4826</v>
      </c>
      <c r="M112" s="18">
        <f>'Large Use Predicted Monthly'!$Z$10</f>
        <v>877619.90234118199</v>
      </c>
      <c r="N112" s="18">
        <f ca="1">E112*'Large Use Predicted Monthly'!$Z$11</f>
        <v>101035.23262559084</v>
      </c>
      <c r="O112" s="18">
        <f ca="1">F112*'Large Use Predicted Monthly'!$Z$12</f>
        <v>0</v>
      </c>
      <c r="P112" s="18">
        <f>G112*'Large Use Predicted Monthly'!$Z$13</f>
        <v>0</v>
      </c>
      <c r="Q112" s="18">
        <f>H112*'Large Use Predicted Monthly'!$Z$14</f>
        <v>2169588.3068179414</v>
      </c>
      <c r="R112" s="18">
        <f>I112*'Large Use Predicted Monthly'!$Z$15</f>
        <v>0</v>
      </c>
      <c r="S112" s="18">
        <f>J112*'Large Use Predicted Monthly'!$Z$16</f>
        <v>177799.47475552099</v>
      </c>
      <c r="T112" s="18">
        <f>K112*'Large Use Predicted Monthly'!$Z$17</f>
        <v>10015.604265824042</v>
      </c>
      <c r="U112" s="18">
        <f t="shared" ca="1" si="10"/>
        <v>3336058.5208060592</v>
      </c>
      <c r="V112" s="268"/>
    </row>
    <row r="113" spans="1:23" x14ac:dyDescent="0.25">
      <c r="A113" s="3">
        <f>'Monthly Data'!A113</f>
        <v>45383</v>
      </c>
      <c r="B113" s="1">
        <f t="shared" si="8"/>
        <v>2024</v>
      </c>
      <c r="C113" s="1">
        <f t="shared" si="9"/>
        <v>4</v>
      </c>
      <c r="D113" s="268">
        <f>'Monthly Data'!X113</f>
        <v>3248621.2491702782</v>
      </c>
      <c r="E113" s="278">
        <f t="shared" ca="1" si="13"/>
        <v>79.984412878787879</v>
      </c>
      <c r="F113" s="278">
        <f t="shared" ca="1" si="13"/>
        <v>2.1908333333333347</v>
      </c>
      <c r="G113" s="278">
        <f>'Monthly Data'!CC113</f>
        <v>112</v>
      </c>
      <c r="H113" s="278">
        <f>'Monthly Data'!CD113</f>
        <v>30</v>
      </c>
      <c r="I113" s="278">
        <f>'Monthly Data'!CG113</f>
        <v>0</v>
      </c>
      <c r="J113" s="278">
        <f>'Monthly Data'!CB113</f>
        <v>1</v>
      </c>
      <c r="K113" s="278">
        <f>'Monthly Data'!AX113</f>
        <v>2733</v>
      </c>
      <c r="M113" s="18">
        <f>'Large Use Predicted Monthly'!$Z$10</f>
        <v>877619.90234118199</v>
      </c>
      <c r="N113" s="18">
        <f ca="1">E113*'Large Use Predicted Monthly'!$Z$11</f>
        <v>33872.4862152961</v>
      </c>
      <c r="O113" s="18">
        <f ca="1">F113*'Large Use Predicted Monthly'!$Z$12</f>
        <v>3957.1480571265488</v>
      </c>
      <c r="P113" s="18">
        <f>G113*'Large Use Predicted Monthly'!$Z$13</f>
        <v>0</v>
      </c>
      <c r="Q113" s="18">
        <f>H113*'Large Use Predicted Monthly'!$Z$14</f>
        <v>2099601.5872431691</v>
      </c>
      <c r="R113" s="18">
        <f>I113*'Large Use Predicted Monthly'!$Z$15</f>
        <v>0</v>
      </c>
      <c r="S113" s="18">
        <f>J113*'Large Use Predicted Monthly'!$Z$16</f>
        <v>177799.47475552099</v>
      </c>
      <c r="T113" s="18">
        <f>K113*'Large Use Predicted Monthly'!$Z$17</f>
        <v>5671.911823144862</v>
      </c>
      <c r="U113" s="18">
        <f t="shared" ca="1" si="10"/>
        <v>3198522.5104354392</v>
      </c>
      <c r="V113" s="268"/>
      <c r="W113" s="18"/>
    </row>
    <row r="114" spans="1:23" x14ac:dyDescent="0.25">
      <c r="A114" s="3">
        <f>'Monthly Data'!A114</f>
        <v>45413</v>
      </c>
      <c r="B114" s="1">
        <f t="shared" si="8"/>
        <v>2024</v>
      </c>
      <c r="C114" s="1">
        <f t="shared" si="9"/>
        <v>5</v>
      </c>
      <c r="D114" s="268">
        <f>'Monthly Data'!X114</f>
        <v>3425904.0554538188</v>
      </c>
      <c r="E114" s="278">
        <f t="shared" ca="1" si="13"/>
        <v>7.2018333333333331</v>
      </c>
      <c r="F114" s="278">
        <f t="shared" ca="1" si="13"/>
        <v>52.487435064935063</v>
      </c>
      <c r="G114" s="278">
        <f>'Monthly Data'!CC114</f>
        <v>113</v>
      </c>
      <c r="H114" s="278">
        <f>'Monthly Data'!CD114</f>
        <v>31</v>
      </c>
      <c r="I114" s="278">
        <f>'Monthly Data'!CG114</f>
        <v>0</v>
      </c>
      <c r="J114" s="278">
        <f>'Monthly Data'!CB114</f>
        <v>1</v>
      </c>
      <c r="K114" s="278">
        <f>'Monthly Data'!AX114</f>
        <v>2733</v>
      </c>
      <c r="M114" s="18">
        <f>'Large Use Predicted Monthly'!$Z$10</f>
        <v>877619.90234118199</v>
      </c>
      <c r="N114" s="18">
        <f ca="1">E114*'Large Use Predicted Monthly'!$Z$11</f>
        <v>3049.8942422428909</v>
      </c>
      <c r="O114" s="18">
        <f ca="1">F114*'Large Use Predicted Monthly'!$Z$12</f>
        <v>94804.359843634942</v>
      </c>
      <c r="P114" s="18">
        <f>G114*'Large Use Predicted Monthly'!$Z$13</f>
        <v>0</v>
      </c>
      <c r="Q114" s="18">
        <f>H114*'Large Use Predicted Monthly'!$Z$14</f>
        <v>2169588.3068179414</v>
      </c>
      <c r="R114" s="18">
        <f>I114*'Large Use Predicted Monthly'!$Z$15</f>
        <v>0</v>
      </c>
      <c r="S114" s="18">
        <f>J114*'Large Use Predicted Monthly'!$Z$16</f>
        <v>177799.47475552099</v>
      </c>
      <c r="T114" s="18">
        <f>K114*'Large Use Predicted Monthly'!$Z$17</f>
        <v>5671.911823144862</v>
      </c>
      <c r="U114" s="18">
        <f t="shared" ca="1" si="10"/>
        <v>3328533.8498236667</v>
      </c>
      <c r="V114" s="268"/>
      <c r="W114" s="18"/>
    </row>
    <row r="115" spans="1:23" x14ac:dyDescent="0.25">
      <c r="A115" s="3">
        <f>'Monthly Data'!A115</f>
        <v>45444</v>
      </c>
      <c r="B115" s="1">
        <f t="shared" si="8"/>
        <v>2024</v>
      </c>
      <c r="C115" s="1">
        <f t="shared" si="9"/>
        <v>6</v>
      </c>
      <c r="D115" s="268">
        <f>'Monthly Data'!X115</f>
        <v>3335143.8617373593</v>
      </c>
      <c r="E115" s="278">
        <f t="shared" ca="1" si="13"/>
        <v>0</v>
      </c>
      <c r="F115" s="278">
        <f t="shared" ca="1" si="13"/>
        <v>137.65451754405018</v>
      </c>
      <c r="G115" s="278">
        <f>'Monthly Data'!CC115</f>
        <v>114</v>
      </c>
      <c r="H115" s="278">
        <f>'Monthly Data'!CD115</f>
        <v>30</v>
      </c>
      <c r="I115" s="278">
        <f>'Monthly Data'!CG115</f>
        <v>0</v>
      </c>
      <c r="J115" s="278">
        <f>'Monthly Data'!CB115</f>
        <v>0</v>
      </c>
      <c r="K115" s="278">
        <f>'Monthly Data'!AX115</f>
        <v>2733</v>
      </c>
      <c r="M115" s="18">
        <f>'Large Use Predicted Monthly'!$Z$10</f>
        <v>877619.90234118199</v>
      </c>
      <c r="N115" s="18">
        <f ca="1">E115*'Large Use Predicted Monthly'!$Z$11</f>
        <v>0</v>
      </c>
      <c r="O115" s="18">
        <f ca="1">F115*'Large Use Predicted Monthly'!$Z$12</f>
        <v>248635.66678773539</v>
      </c>
      <c r="P115" s="18">
        <f>G115*'Large Use Predicted Monthly'!$Z$13</f>
        <v>0</v>
      </c>
      <c r="Q115" s="18">
        <f>H115*'Large Use Predicted Monthly'!$Z$14</f>
        <v>2099601.5872431691</v>
      </c>
      <c r="R115" s="18">
        <f>I115*'Large Use Predicted Monthly'!$Z$15</f>
        <v>0</v>
      </c>
      <c r="S115" s="18">
        <f>J115*'Large Use Predicted Monthly'!$Z$16</f>
        <v>0</v>
      </c>
      <c r="T115" s="18">
        <f>K115*'Large Use Predicted Monthly'!$Z$17</f>
        <v>5671.911823144862</v>
      </c>
      <c r="U115" s="18">
        <f t="shared" ca="1" si="10"/>
        <v>3231529.0681952308</v>
      </c>
      <c r="V115" s="268"/>
      <c r="W115" s="18"/>
    </row>
    <row r="116" spans="1:23" x14ac:dyDescent="0.25">
      <c r="A116" s="3">
        <v>45474</v>
      </c>
      <c r="B116" s="1">
        <f t="shared" si="8"/>
        <v>2024</v>
      </c>
      <c r="C116" s="1">
        <f t="shared" si="9"/>
        <v>7</v>
      </c>
      <c r="D116" s="268">
        <f>'Monthly Data'!X116</f>
        <v>3414589.6680208994</v>
      </c>
      <c r="E116" s="278">
        <f t="shared" ca="1" si="13"/>
        <v>0</v>
      </c>
      <c r="F116" s="278">
        <f t="shared" ca="1" si="13"/>
        <v>235.94737858727848</v>
      </c>
      <c r="G116" s="278">
        <f>'Monthly Data'!CC116</f>
        <v>115</v>
      </c>
      <c r="H116" s="278">
        <f>'Monthly Data'!CD116</f>
        <v>31</v>
      </c>
      <c r="I116" s="278">
        <f>'Monthly Data'!CG116</f>
        <v>0</v>
      </c>
      <c r="J116" s="278">
        <f>'Monthly Data'!CB116</f>
        <v>0</v>
      </c>
      <c r="K116" s="278">
        <f>'Monthly Data'!AX116</f>
        <v>730</v>
      </c>
      <c r="M116" s="18">
        <f>'Large Use Predicted Monthly'!$Z$10</f>
        <v>877619.90234118199</v>
      </c>
      <c r="N116" s="18">
        <f ca="1">E116*'Large Use Predicted Monthly'!$Z$11</f>
        <v>0</v>
      </c>
      <c r="O116" s="18">
        <f ca="1">F116*'Large Use Predicted Monthly'!$Z$12</f>
        <v>426175.14374777518</v>
      </c>
      <c r="P116" s="18">
        <f>G116*'Large Use Predicted Monthly'!$Z$13</f>
        <v>0</v>
      </c>
      <c r="Q116" s="18">
        <f>H116*'Large Use Predicted Monthly'!$Z$14</f>
        <v>2169588.3068179414</v>
      </c>
      <c r="R116" s="18">
        <f>I116*'Large Use Predicted Monthly'!$Z$15</f>
        <v>0</v>
      </c>
      <c r="S116" s="18">
        <f>J116*'Large Use Predicted Monthly'!$Z$16</f>
        <v>0</v>
      </c>
      <c r="T116" s="18">
        <f>K116*'Large Use Predicted Monthly'!$Z$17</f>
        <v>1515.0002308436697</v>
      </c>
      <c r="U116" s="18">
        <f t="shared" ca="1" si="10"/>
        <v>3474898.3531377423</v>
      </c>
      <c r="V116" s="268"/>
      <c r="W116" s="18"/>
    </row>
    <row r="117" spans="1:23" x14ac:dyDescent="0.25">
      <c r="A117" s="3">
        <v>45505</v>
      </c>
      <c r="B117" s="1">
        <f t="shared" si="8"/>
        <v>2024</v>
      </c>
      <c r="C117" s="1">
        <f t="shared" si="9"/>
        <v>8</v>
      </c>
      <c r="D117" s="268">
        <f>'Monthly Data'!X117</f>
        <v>3378420.47430444</v>
      </c>
      <c r="E117" s="278">
        <f t="shared" ca="1" si="13"/>
        <v>0</v>
      </c>
      <c r="F117" s="278">
        <f t="shared" ca="1" si="13"/>
        <v>210.96558794466404</v>
      </c>
      <c r="G117" s="278">
        <f>'Monthly Data'!CC117</f>
        <v>116</v>
      </c>
      <c r="H117" s="278">
        <f>'Monthly Data'!CD117</f>
        <v>31</v>
      </c>
      <c r="I117" s="278">
        <f>'Monthly Data'!CG117</f>
        <v>0</v>
      </c>
      <c r="J117" s="278">
        <f>'Monthly Data'!CB117</f>
        <v>0</v>
      </c>
      <c r="K117" s="278">
        <f>'Monthly Data'!AX117</f>
        <v>730</v>
      </c>
      <c r="M117" s="18">
        <f>'Large Use Predicted Monthly'!$Z$10</f>
        <v>877619.90234118199</v>
      </c>
      <c r="N117" s="18">
        <f ca="1">E117*'Large Use Predicted Monthly'!$Z$11</f>
        <v>0</v>
      </c>
      <c r="O117" s="18">
        <f ca="1">F117*'Large Use Predicted Monthly'!$Z$12</f>
        <v>381052.29355151928</v>
      </c>
      <c r="P117" s="18">
        <f>G117*'Large Use Predicted Monthly'!$Z$13</f>
        <v>0</v>
      </c>
      <c r="Q117" s="18">
        <f>H117*'Large Use Predicted Monthly'!$Z$14</f>
        <v>2169588.3068179414</v>
      </c>
      <c r="R117" s="18">
        <f>I117*'Large Use Predicted Monthly'!$Z$15</f>
        <v>0</v>
      </c>
      <c r="S117" s="18">
        <f>J117*'Large Use Predicted Monthly'!$Z$16</f>
        <v>0</v>
      </c>
      <c r="T117" s="18">
        <f>K117*'Large Use Predicted Monthly'!$Z$17</f>
        <v>1515.0002308436697</v>
      </c>
      <c r="U117" s="18">
        <f t="shared" ca="1" si="10"/>
        <v>3429775.5029414864</v>
      </c>
      <c r="W117" s="18"/>
    </row>
    <row r="118" spans="1:23" x14ac:dyDescent="0.25">
      <c r="A118" s="3">
        <v>45536</v>
      </c>
      <c r="B118" s="1">
        <f t="shared" si="8"/>
        <v>2024</v>
      </c>
      <c r="C118" s="1">
        <f t="shared" si="9"/>
        <v>9</v>
      </c>
      <c r="D118" s="268">
        <f>'Monthly Data'!X118</f>
        <v>3376509.2805879805</v>
      </c>
      <c r="E118" s="278">
        <f t="shared" ca="1" si="13"/>
        <v>0</v>
      </c>
      <c r="F118" s="278">
        <f t="shared" ca="1" si="13"/>
        <v>106.4160119047619</v>
      </c>
      <c r="G118" s="278">
        <f>'Monthly Data'!CC118</f>
        <v>117</v>
      </c>
      <c r="H118" s="278">
        <f>'Monthly Data'!CD118</f>
        <v>30</v>
      </c>
      <c r="I118" s="278">
        <f>'Monthly Data'!CG118</f>
        <v>0</v>
      </c>
      <c r="J118" s="278">
        <f>'Monthly Data'!CB118</f>
        <v>1</v>
      </c>
      <c r="K118" s="278">
        <f>'Monthly Data'!AX118</f>
        <v>730</v>
      </c>
      <c r="M118" s="18">
        <f>'Large Use Predicted Monthly'!$Z$10</f>
        <v>877619.90234118199</v>
      </c>
      <c r="N118" s="18">
        <f ca="1">E118*'Large Use Predicted Monthly'!$Z$11</f>
        <v>0</v>
      </c>
      <c r="O118" s="18">
        <f ca="1">F118*'Large Use Predicted Monthly'!$Z$12</f>
        <v>192211.75264636773</v>
      </c>
      <c r="P118" s="18">
        <f>G118*'Large Use Predicted Monthly'!$Z$13</f>
        <v>0</v>
      </c>
      <c r="Q118" s="18">
        <f>H118*'Large Use Predicted Monthly'!$Z$14</f>
        <v>2099601.5872431691</v>
      </c>
      <c r="R118" s="18">
        <f>I118*'Large Use Predicted Monthly'!$Z$15</f>
        <v>0</v>
      </c>
      <c r="S118" s="18">
        <f>J118*'Large Use Predicted Monthly'!$Z$16</f>
        <v>177799.47475552099</v>
      </c>
      <c r="T118" s="18">
        <f>K118*'Large Use Predicted Monthly'!$Z$17</f>
        <v>1515.0002308436697</v>
      </c>
      <c r="U118" s="18">
        <f t="shared" ca="1" si="10"/>
        <v>3348747.7172170836</v>
      </c>
      <c r="W118" s="18"/>
    </row>
    <row r="119" spans="1:23" x14ac:dyDescent="0.25">
      <c r="A119" s="3">
        <v>45566</v>
      </c>
      <c r="B119" s="1">
        <f t="shared" si="8"/>
        <v>2024</v>
      </c>
      <c r="C119" s="1">
        <f t="shared" si="9"/>
        <v>10</v>
      </c>
      <c r="D119" s="268">
        <f>'Monthly Data'!X119</f>
        <v>3343927.0868715206</v>
      </c>
      <c r="E119" s="278">
        <f t="shared" ca="1" si="13"/>
        <v>24.76139492753623</v>
      </c>
      <c r="F119" s="278">
        <f t="shared" ca="1" si="13"/>
        <v>17.987083333333334</v>
      </c>
      <c r="G119" s="278">
        <f>'Monthly Data'!CC119</f>
        <v>118</v>
      </c>
      <c r="H119" s="278">
        <f>'Monthly Data'!CD119</f>
        <v>31</v>
      </c>
      <c r="I119" s="278">
        <f>'Monthly Data'!CG119</f>
        <v>0</v>
      </c>
      <c r="J119" s="278">
        <f>'Monthly Data'!CB119</f>
        <v>1</v>
      </c>
      <c r="K119" s="278">
        <f>'Monthly Data'!AX119</f>
        <v>4319.8519999999553</v>
      </c>
      <c r="M119" s="18">
        <f>'Large Use Predicted Monthly'!$Z$10</f>
        <v>877619.90234118199</v>
      </c>
      <c r="N119" s="18">
        <f ca="1">E119*'Large Use Predicted Monthly'!$Z$11</f>
        <v>10486.168219119447</v>
      </c>
      <c r="O119" s="18">
        <f ca="1">F119*'Large Use Predicted Monthly'!$Z$12</f>
        <v>32488.802677462132</v>
      </c>
      <c r="P119" s="18">
        <f>G119*'Large Use Predicted Monthly'!$Z$13</f>
        <v>0</v>
      </c>
      <c r="Q119" s="18">
        <f>H119*'Large Use Predicted Monthly'!$Z$14</f>
        <v>2169588.3068179414</v>
      </c>
      <c r="R119" s="18">
        <f>I119*'Large Use Predicted Monthly'!$Z$15</f>
        <v>0</v>
      </c>
      <c r="S119" s="18">
        <f>J119*'Large Use Predicted Monthly'!$Z$16</f>
        <v>177799.47475552099</v>
      </c>
      <c r="T119" s="18">
        <f>K119*'Large Use Predicted Monthly'!$Z$17</f>
        <v>8965.1736674115346</v>
      </c>
      <c r="U119" s="18">
        <f t="shared" ca="1" si="10"/>
        <v>3276947.8284786372</v>
      </c>
      <c r="W119" s="18"/>
    </row>
    <row r="120" spans="1:23" x14ac:dyDescent="0.25">
      <c r="A120" s="3">
        <v>45597</v>
      </c>
      <c r="B120" s="1">
        <f t="shared" si="8"/>
        <v>2024</v>
      </c>
      <c r="C120" s="1">
        <f t="shared" si="9"/>
        <v>11</v>
      </c>
      <c r="D120" s="268">
        <f>'Monthly Data'!X120</f>
        <v>3274693.8931550612</v>
      </c>
      <c r="E120" s="278">
        <f t="shared" ca="1" si="13"/>
        <v>140.02366389045739</v>
      </c>
      <c r="F120" s="278">
        <f t="shared" ca="1" si="13"/>
        <v>0.8083333333333329</v>
      </c>
      <c r="G120" s="278">
        <f>'Monthly Data'!CC120</f>
        <v>119</v>
      </c>
      <c r="H120" s="278">
        <f>'Monthly Data'!CD120</f>
        <v>30</v>
      </c>
      <c r="I120" s="278">
        <f>'Monthly Data'!CG120</f>
        <v>0</v>
      </c>
      <c r="J120" s="278">
        <f>'Monthly Data'!CB120</f>
        <v>1</v>
      </c>
      <c r="K120" s="278">
        <f>'Monthly Data'!AX120</f>
        <v>4319.8519999999553</v>
      </c>
      <c r="M120" s="18">
        <f>'Large Use Predicted Monthly'!$Z$10</f>
        <v>877619.90234118199</v>
      </c>
      <c r="N120" s="18">
        <f ca="1">E120*'Large Use Predicted Monthly'!$Z$11</f>
        <v>59298.423958333726</v>
      </c>
      <c r="O120" s="18">
        <f ca="1">F120*'Large Use Predicted Monthly'!$Z$12</f>
        <v>1460.0356087534226</v>
      </c>
      <c r="P120" s="18">
        <f>G120*'Large Use Predicted Monthly'!$Z$13</f>
        <v>0</v>
      </c>
      <c r="Q120" s="18">
        <f>H120*'Large Use Predicted Monthly'!$Z$14</f>
        <v>2099601.5872431691</v>
      </c>
      <c r="R120" s="18">
        <f>I120*'Large Use Predicted Monthly'!$Z$15</f>
        <v>0</v>
      </c>
      <c r="S120" s="18">
        <f>J120*'Large Use Predicted Monthly'!$Z$16</f>
        <v>177799.47475552099</v>
      </c>
      <c r="T120" s="18">
        <f>K120*'Large Use Predicted Monthly'!$Z$17</f>
        <v>8965.1736674115346</v>
      </c>
      <c r="U120" s="18">
        <f t="shared" ca="1" si="10"/>
        <v>3224744.5975743704</v>
      </c>
      <c r="W120" s="18"/>
    </row>
    <row r="121" spans="1:23" x14ac:dyDescent="0.25">
      <c r="A121" s="3">
        <v>45627</v>
      </c>
      <c r="B121" s="1">
        <f t="shared" si="8"/>
        <v>2024</v>
      </c>
      <c r="C121" s="1">
        <f t="shared" si="9"/>
        <v>12</v>
      </c>
      <c r="D121" s="268">
        <f>'Monthly Data'!X121</f>
        <v>3200268.6994386017</v>
      </c>
      <c r="E121" s="278">
        <f t="shared" ca="1" si="13"/>
        <v>268.92048913043476</v>
      </c>
      <c r="F121" s="278">
        <f t="shared" ca="1" si="13"/>
        <v>0</v>
      </c>
      <c r="G121" s="278">
        <f>'Monthly Data'!CC121</f>
        <v>120</v>
      </c>
      <c r="H121" s="278">
        <f>'Monthly Data'!CD121</f>
        <v>31</v>
      </c>
      <c r="I121" s="278">
        <f>'Monthly Data'!CG121</f>
        <v>0</v>
      </c>
      <c r="J121" s="278">
        <f>'Monthly Data'!CB121</f>
        <v>0</v>
      </c>
      <c r="K121" s="278">
        <f>'Monthly Data'!AX121</f>
        <v>4319.8519999999553</v>
      </c>
      <c r="M121" s="18">
        <f>'Large Use Predicted Monthly'!$Z$10</f>
        <v>877619.90234118199</v>
      </c>
      <c r="N121" s="18">
        <f ca="1">E121*'Large Use Predicted Monthly'!$Z$11</f>
        <v>113884.75870774408</v>
      </c>
      <c r="O121" s="18">
        <f ca="1">F121*'Large Use Predicted Monthly'!$Z$12</f>
        <v>0</v>
      </c>
      <c r="P121" s="18">
        <f>G121*'Large Use Predicted Monthly'!$Z$13</f>
        <v>0</v>
      </c>
      <c r="Q121" s="18">
        <f>H121*'Large Use Predicted Monthly'!$Z$14</f>
        <v>2169588.3068179414</v>
      </c>
      <c r="R121" s="18">
        <f>I121*'Large Use Predicted Monthly'!$Z$15</f>
        <v>0</v>
      </c>
      <c r="S121" s="18">
        <f>J121*'Large Use Predicted Monthly'!$Z$16</f>
        <v>0</v>
      </c>
      <c r="T121" s="18">
        <f>K121*'Large Use Predicted Monthly'!$Z$17</f>
        <v>8965.1736674115346</v>
      </c>
      <c r="U121" s="18">
        <f t="shared" ca="1" si="10"/>
        <v>3170058.1415342786</v>
      </c>
      <c r="W121" s="18"/>
    </row>
    <row r="122" spans="1:23" x14ac:dyDescent="0.25">
      <c r="A122" s="3">
        <v>45658</v>
      </c>
      <c r="B122" s="1">
        <f t="shared" si="8"/>
        <v>2025</v>
      </c>
      <c r="C122" s="1">
        <f t="shared" si="9"/>
        <v>1</v>
      </c>
      <c r="D122" s="268"/>
      <c r="E122" s="278">
        <f t="shared" ca="1" si="13"/>
        <v>387.33418478260865</v>
      </c>
      <c r="F122" s="278">
        <f t="shared" ca="1" si="13"/>
        <v>0</v>
      </c>
      <c r="G122" s="278">
        <f>G121+1</f>
        <v>121</v>
      </c>
      <c r="H122" s="278">
        <f>H74</f>
        <v>31</v>
      </c>
      <c r="I122" s="278"/>
      <c r="J122" s="278">
        <f>J110</f>
        <v>0</v>
      </c>
      <c r="K122" s="278">
        <f>Economic!S121</f>
        <v>4319.8519999999553</v>
      </c>
      <c r="M122" s="18">
        <f>'Large Use Predicted Monthly'!$Z$10</f>
        <v>877619.90234118199</v>
      </c>
      <c r="N122" s="18">
        <f ca="1">E122*'Large Use Predicted Monthly'!$Z$11</f>
        <v>164031.6076914196</v>
      </c>
      <c r="O122" s="18">
        <f ca="1">F122*'Large Use Predicted Monthly'!$Z$12</f>
        <v>0</v>
      </c>
      <c r="P122" s="18">
        <f>G122*'Large Use Predicted Monthly'!$Z$13</f>
        <v>0</v>
      </c>
      <c r="Q122" s="18">
        <f>H122*'Large Use Predicted Monthly'!$Z$14</f>
        <v>2169588.3068179414</v>
      </c>
      <c r="R122" s="18">
        <f>I122*'Large Use Predicted Monthly'!$Z$15</f>
        <v>0</v>
      </c>
      <c r="S122" s="18">
        <f>J122*'Large Use Predicted Monthly'!$Z$16</f>
        <v>0</v>
      </c>
      <c r="T122" s="18">
        <f>K122*'Large Use Predicted Monthly'!$Z$17</f>
        <v>8965.1736674115346</v>
      </c>
      <c r="U122" s="18">
        <f t="shared" ca="1" si="10"/>
        <v>3220204.9905179543</v>
      </c>
      <c r="W122" s="18"/>
    </row>
    <row r="123" spans="1:23" x14ac:dyDescent="0.25">
      <c r="A123" s="3">
        <v>45689</v>
      </c>
      <c r="B123" s="1">
        <f t="shared" si="8"/>
        <v>2025</v>
      </c>
      <c r="C123" s="1">
        <f t="shared" si="9"/>
        <v>2</v>
      </c>
      <c r="D123" s="268"/>
      <c r="E123" s="278">
        <f t="shared" ca="1" si="13"/>
        <v>341.39751811594203</v>
      </c>
      <c r="F123" s="278">
        <f t="shared" ca="1" si="13"/>
        <v>0</v>
      </c>
      <c r="G123" s="278">
        <f t="shared" ref="G123:G145" si="14">G122+1</f>
        <v>122</v>
      </c>
      <c r="H123" s="278">
        <f t="shared" ref="H123:H145" si="15">H75</f>
        <v>28</v>
      </c>
      <c r="I123" s="278"/>
      <c r="J123" s="278">
        <f t="shared" ref="J123:J145" si="16">J111</f>
        <v>0</v>
      </c>
      <c r="K123" s="278">
        <f>Economic!S122</f>
        <v>4319.8519999999553</v>
      </c>
      <c r="M123" s="18">
        <f>'Large Use Predicted Monthly'!$Z$10</f>
        <v>877619.90234118199</v>
      </c>
      <c r="N123" s="18">
        <f ca="1">E123*'Large Use Predicted Monthly'!$Z$11</f>
        <v>144577.95350505537</v>
      </c>
      <c r="O123" s="18">
        <f ca="1">F123*'Large Use Predicted Monthly'!$Z$12</f>
        <v>0</v>
      </c>
      <c r="P123" s="18">
        <f>G123*'Large Use Predicted Monthly'!$Z$13</f>
        <v>0</v>
      </c>
      <c r="Q123" s="18">
        <f>H123*'Large Use Predicted Monthly'!$Z$14</f>
        <v>1959628.1480936245</v>
      </c>
      <c r="R123" s="18">
        <f>I123*'Large Use Predicted Monthly'!$Z$15</f>
        <v>0</v>
      </c>
      <c r="S123" s="18">
        <f>J123*'Large Use Predicted Monthly'!$Z$16</f>
        <v>0</v>
      </c>
      <c r="T123" s="18">
        <f>K123*'Large Use Predicted Monthly'!$Z$17</f>
        <v>8965.1736674115346</v>
      </c>
      <c r="U123" s="18">
        <f t="shared" ca="1" si="10"/>
        <v>2990791.1776072732</v>
      </c>
      <c r="W123" s="18"/>
    </row>
    <row r="124" spans="1:23" x14ac:dyDescent="0.25">
      <c r="A124" s="3">
        <v>45717</v>
      </c>
      <c r="B124" s="1">
        <f t="shared" si="8"/>
        <v>2025</v>
      </c>
      <c r="C124" s="1">
        <f t="shared" si="9"/>
        <v>3</v>
      </c>
      <c r="D124" s="268"/>
      <c r="E124" s="278">
        <f t="shared" ca="1" si="13"/>
        <v>238.57840579710145</v>
      </c>
      <c r="F124" s="278">
        <f t="shared" ca="1" si="13"/>
        <v>0</v>
      </c>
      <c r="G124" s="278">
        <f t="shared" si="14"/>
        <v>123</v>
      </c>
      <c r="H124" s="278">
        <f t="shared" si="15"/>
        <v>31</v>
      </c>
      <c r="I124" s="278"/>
      <c r="J124" s="278">
        <f t="shared" si="16"/>
        <v>1</v>
      </c>
      <c r="K124" s="278">
        <f>Economic!S123</f>
        <v>4319.8519999999553</v>
      </c>
      <c r="M124" s="18">
        <f>'Large Use Predicted Monthly'!$Z$10</f>
        <v>877619.90234118199</v>
      </c>
      <c r="N124" s="18">
        <f ca="1">E124*'Large Use Predicted Monthly'!$Z$11</f>
        <v>101035.23262559084</v>
      </c>
      <c r="O124" s="18">
        <f ca="1">F124*'Large Use Predicted Monthly'!$Z$12</f>
        <v>0</v>
      </c>
      <c r="P124" s="18">
        <f>G124*'Large Use Predicted Monthly'!$Z$13</f>
        <v>0</v>
      </c>
      <c r="Q124" s="18">
        <f>H124*'Large Use Predicted Monthly'!$Z$14</f>
        <v>2169588.3068179414</v>
      </c>
      <c r="R124" s="18">
        <f>I124*'Large Use Predicted Monthly'!$Z$15</f>
        <v>0</v>
      </c>
      <c r="S124" s="18">
        <f>J124*'Large Use Predicted Monthly'!$Z$16</f>
        <v>177799.47475552099</v>
      </c>
      <c r="T124" s="18">
        <f>K124*'Large Use Predicted Monthly'!$Z$17</f>
        <v>8965.1736674115346</v>
      </c>
      <c r="U124" s="18">
        <f t="shared" ca="1" si="10"/>
        <v>3335008.0902076466</v>
      </c>
      <c r="W124" s="18"/>
    </row>
    <row r="125" spans="1:23" x14ac:dyDescent="0.25">
      <c r="A125" s="3">
        <v>45748</v>
      </c>
      <c r="B125" s="1">
        <f t="shared" si="8"/>
        <v>2025</v>
      </c>
      <c r="C125" s="1">
        <f t="shared" si="9"/>
        <v>4</v>
      </c>
      <c r="D125" s="268"/>
      <c r="E125" s="278">
        <f t="shared" ca="1" si="13"/>
        <v>79.984412878787879</v>
      </c>
      <c r="F125" s="278">
        <f t="shared" ca="1" si="13"/>
        <v>2.1908333333333347</v>
      </c>
      <c r="G125" s="278">
        <f t="shared" si="14"/>
        <v>124</v>
      </c>
      <c r="H125" s="278">
        <f t="shared" si="15"/>
        <v>30</v>
      </c>
      <c r="I125" s="278"/>
      <c r="J125" s="278">
        <f t="shared" si="16"/>
        <v>1</v>
      </c>
      <c r="K125" s="278">
        <f>Economic!S124</f>
        <v>86.765999999945052</v>
      </c>
      <c r="M125" s="18">
        <f>'Large Use Predicted Monthly'!$Z$10</f>
        <v>877619.90234118199</v>
      </c>
      <c r="N125" s="18">
        <f ca="1">E125*'Large Use Predicted Monthly'!$Z$11</f>
        <v>33872.4862152961</v>
      </c>
      <c r="O125" s="18">
        <f ca="1">F125*'Large Use Predicted Monthly'!$Z$12</f>
        <v>3957.1480571265488</v>
      </c>
      <c r="P125" s="18">
        <f>G125*'Large Use Predicted Monthly'!$Z$13</f>
        <v>0</v>
      </c>
      <c r="Q125" s="18">
        <f>H125*'Large Use Predicted Monthly'!$Z$14</f>
        <v>2099601.5872431691</v>
      </c>
      <c r="R125" s="18">
        <f>I125*'Large Use Predicted Monthly'!$Z$15</f>
        <v>0</v>
      </c>
      <c r="S125" s="18">
        <f>J125*'Large Use Predicted Monthly'!$Z$16</f>
        <v>177799.47475552099</v>
      </c>
      <c r="T125" s="18">
        <f>K125*'Large Use Predicted Monthly'!$Z$17</f>
        <v>180.069191820957</v>
      </c>
      <c r="U125" s="18">
        <f t="shared" ca="1" si="10"/>
        <v>3193030.6678041155</v>
      </c>
    </row>
    <row r="126" spans="1:23" x14ac:dyDescent="0.25">
      <c r="A126" s="3">
        <v>45778</v>
      </c>
      <c r="B126" s="1">
        <f t="shared" si="8"/>
        <v>2025</v>
      </c>
      <c r="C126" s="1">
        <f t="shared" si="9"/>
        <v>5</v>
      </c>
      <c r="D126" s="268"/>
      <c r="E126" s="278">
        <f t="shared" ca="1" si="13"/>
        <v>7.2018333333333331</v>
      </c>
      <c r="F126" s="278">
        <f t="shared" ca="1" si="13"/>
        <v>52.487435064935063</v>
      </c>
      <c r="G126" s="278">
        <f t="shared" si="14"/>
        <v>125</v>
      </c>
      <c r="H126" s="278">
        <f t="shared" si="15"/>
        <v>31</v>
      </c>
      <c r="I126" s="278"/>
      <c r="J126" s="278">
        <f t="shared" si="16"/>
        <v>1</v>
      </c>
      <c r="K126" s="278">
        <f>Economic!S125</f>
        <v>86.765999999945052</v>
      </c>
      <c r="M126" s="18">
        <f>'Large Use Predicted Monthly'!$Z$10</f>
        <v>877619.90234118199</v>
      </c>
      <c r="N126" s="18">
        <f ca="1">E126*'Large Use Predicted Monthly'!$Z$11</f>
        <v>3049.8942422428909</v>
      </c>
      <c r="O126" s="18">
        <f ca="1">F126*'Large Use Predicted Monthly'!$Z$12</f>
        <v>94804.359843634942</v>
      </c>
      <c r="P126" s="18">
        <f>G126*'Large Use Predicted Monthly'!$Z$13</f>
        <v>0</v>
      </c>
      <c r="Q126" s="18">
        <f>H126*'Large Use Predicted Monthly'!$Z$14</f>
        <v>2169588.3068179414</v>
      </c>
      <c r="R126" s="18">
        <f>I126*'Large Use Predicted Monthly'!$Z$15</f>
        <v>0</v>
      </c>
      <c r="S126" s="18">
        <f>J126*'Large Use Predicted Monthly'!$Z$16</f>
        <v>177799.47475552099</v>
      </c>
      <c r="T126" s="18">
        <f>K126*'Large Use Predicted Monthly'!$Z$17</f>
        <v>180.069191820957</v>
      </c>
      <c r="U126" s="18">
        <f t="shared" ca="1" si="10"/>
        <v>3323042.007192343</v>
      </c>
    </row>
    <row r="127" spans="1:23" x14ac:dyDescent="0.25">
      <c r="A127" s="3">
        <v>45809</v>
      </c>
      <c r="B127" s="1">
        <f t="shared" si="8"/>
        <v>2025</v>
      </c>
      <c r="C127" s="1">
        <f t="shared" si="9"/>
        <v>6</v>
      </c>
      <c r="D127" s="268"/>
      <c r="E127" s="278">
        <f t="shared" ref="E127:F142" ca="1" si="17">E115</f>
        <v>0</v>
      </c>
      <c r="F127" s="278">
        <f t="shared" ca="1" si="17"/>
        <v>137.65451754405018</v>
      </c>
      <c r="G127" s="278">
        <f t="shared" si="14"/>
        <v>126</v>
      </c>
      <c r="H127" s="278">
        <f t="shared" si="15"/>
        <v>30</v>
      </c>
      <c r="I127" s="278"/>
      <c r="J127" s="278">
        <f t="shared" si="16"/>
        <v>0</v>
      </c>
      <c r="K127" s="278">
        <f>Economic!S126</f>
        <v>86.765999999945052</v>
      </c>
      <c r="M127" s="18">
        <f>'Large Use Predicted Monthly'!$Z$10</f>
        <v>877619.90234118199</v>
      </c>
      <c r="N127" s="18">
        <f ca="1">E127*'Large Use Predicted Monthly'!$Z$11</f>
        <v>0</v>
      </c>
      <c r="O127" s="18">
        <f ca="1">F127*'Large Use Predicted Monthly'!$Z$12</f>
        <v>248635.66678773539</v>
      </c>
      <c r="P127" s="18">
        <f>G127*'Large Use Predicted Monthly'!$Z$13</f>
        <v>0</v>
      </c>
      <c r="Q127" s="18">
        <f>H127*'Large Use Predicted Monthly'!$Z$14</f>
        <v>2099601.5872431691</v>
      </c>
      <c r="R127" s="18">
        <f>I127*'Large Use Predicted Monthly'!$Z$15</f>
        <v>0</v>
      </c>
      <c r="S127" s="18">
        <f>J127*'Large Use Predicted Monthly'!$Z$16</f>
        <v>0</v>
      </c>
      <c r="T127" s="18">
        <f>K127*'Large Use Predicted Monthly'!$Z$17</f>
        <v>180.069191820957</v>
      </c>
      <c r="U127" s="18">
        <f t="shared" ca="1" si="10"/>
        <v>3226037.2255639071</v>
      </c>
    </row>
    <row r="128" spans="1:23" x14ac:dyDescent="0.25">
      <c r="A128" s="3">
        <v>45839</v>
      </c>
      <c r="B128" s="1">
        <f t="shared" si="8"/>
        <v>2025</v>
      </c>
      <c r="C128" s="1">
        <f t="shared" si="9"/>
        <v>7</v>
      </c>
      <c r="D128" s="268"/>
      <c r="E128" s="278">
        <f t="shared" ca="1" si="17"/>
        <v>0</v>
      </c>
      <c r="F128" s="278">
        <f t="shared" ca="1" si="17"/>
        <v>235.94737858727848</v>
      </c>
      <c r="G128" s="278">
        <f t="shared" si="14"/>
        <v>127</v>
      </c>
      <c r="H128" s="278">
        <f t="shared" si="15"/>
        <v>31</v>
      </c>
      <c r="I128" s="278"/>
      <c r="J128" s="278">
        <f t="shared" si="16"/>
        <v>0</v>
      </c>
      <c r="K128" s="278">
        <f>Economic!S127</f>
        <v>2757.5970000000671</v>
      </c>
      <c r="M128" s="18">
        <f>'Large Use Predicted Monthly'!$Z$10</f>
        <v>877619.90234118199</v>
      </c>
      <c r="N128" s="18">
        <f ca="1">E128*'Large Use Predicted Monthly'!$Z$11</f>
        <v>0</v>
      </c>
      <c r="O128" s="18">
        <f ca="1">F128*'Large Use Predicted Monthly'!$Z$12</f>
        <v>426175.14374777518</v>
      </c>
      <c r="P128" s="18">
        <f>G128*'Large Use Predicted Monthly'!$Z$13</f>
        <v>0</v>
      </c>
      <c r="Q128" s="18">
        <f>H128*'Large Use Predicted Monthly'!$Z$14</f>
        <v>2169588.3068179414</v>
      </c>
      <c r="R128" s="18">
        <f>I128*'Large Use Predicted Monthly'!$Z$15</f>
        <v>0</v>
      </c>
      <c r="S128" s="18">
        <f>J128*'Large Use Predicted Monthly'!$Z$16</f>
        <v>0</v>
      </c>
      <c r="T128" s="18">
        <f>K128*'Large Use Predicted Monthly'!$Z$17</f>
        <v>5722.9590295533053</v>
      </c>
      <c r="U128" s="18">
        <f t="shared" ca="1" si="10"/>
        <v>3479106.3119364521</v>
      </c>
    </row>
    <row r="129" spans="1:21" x14ac:dyDescent="0.25">
      <c r="A129" s="3">
        <v>45870</v>
      </c>
      <c r="B129" s="1">
        <f t="shared" si="8"/>
        <v>2025</v>
      </c>
      <c r="C129" s="1">
        <f t="shared" si="9"/>
        <v>8</v>
      </c>
      <c r="D129" s="268"/>
      <c r="E129" s="278">
        <f t="shared" ca="1" si="17"/>
        <v>0</v>
      </c>
      <c r="F129" s="278">
        <f t="shared" ca="1" si="17"/>
        <v>210.96558794466404</v>
      </c>
      <c r="G129" s="278">
        <f t="shared" si="14"/>
        <v>128</v>
      </c>
      <c r="H129" s="278">
        <f t="shared" si="15"/>
        <v>31</v>
      </c>
      <c r="I129" s="278"/>
      <c r="J129" s="278">
        <f t="shared" si="16"/>
        <v>0</v>
      </c>
      <c r="K129" s="278">
        <f>Economic!S128</f>
        <v>2757.5970000000671</v>
      </c>
      <c r="M129" s="18">
        <f>'Large Use Predicted Monthly'!$Z$10</f>
        <v>877619.90234118199</v>
      </c>
      <c r="N129" s="18">
        <f ca="1">E129*'Large Use Predicted Monthly'!$Z$11</f>
        <v>0</v>
      </c>
      <c r="O129" s="18">
        <f ca="1">F129*'Large Use Predicted Monthly'!$Z$12</f>
        <v>381052.29355151928</v>
      </c>
      <c r="P129" s="18">
        <f>G129*'Large Use Predicted Monthly'!$Z$13</f>
        <v>0</v>
      </c>
      <c r="Q129" s="18">
        <f>H129*'Large Use Predicted Monthly'!$Z$14</f>
        <v>2169588.3068179414</v>
      </c>
      <c r="R129" s="18">
        <f>I129*'Large Use Predicted Monthly'!$Z$15</f>
        <v>0</v>
      </c>
      <c r="S129" s="18">
        <f>J129*'Large Use Predicted Monthly'!$Z$16</f>
        <v>0</v>
      </c>
      <c r="T129" s="18">
        <f>K129*'Large Use Predicted Monthly'!$Z$17</f>
        <v>5722.9590295533053</v>
      </c>
      <c r="U129" s="18">
        <f t="shared" ca="1" si="10"/>
        <v>3433983.4617401962</v>
      </c>
    </row>
    <row r="130" spans="1:21" x14ac:dyDescent="0.25">
      <c r="A130" s="3">
        <v>45901</v>
      </c>
      <c r="B130" s="1">
        <f t="shared" ref="B130:B145" si="18">YEAR(A130)</f>
        <v>2025</v>
      </c>
      <c r="C130" s="1">
        <f t="shared" ref="C130:C145" si="19">MONTH(A130)</f>
        <v>9</v>
      </c>
      <c r="D130" s="268"/>
      <c r="E130" s="278">
        <f t="shared" ca="1" si="17"/>
        <v>0</v>
      </c>
      <c r="F130" s="278">
        <f t="shared" ca="1" si="17"/>
        <v>106.4160119047619</v>
      </c>
      <c r="G130" s="278">
        <f t="shared" si="14"/>
        <v>129</v>
      </c>
      <c r="H130" s="278">
        <f t="shared" si="15"/>
        <v>30</v>
      </c>
      <c r="I130" s="278"/>
      <c r="J130" s="278">
        <f t="shared" si="16"/>
        <v>1</v>
      </c>
      <c r="K130" s="278">
        <f>Economic!S129</f>
        <v>2757.5970000000671</v>
      </c>
      <c r="M130" s="18">
        <f>'Large Use Predicted Monthly'!$Z$10</f>
        <v>877619.90234118199</v>
      </c>
      <c r="N130" s="18">
        <f ca="1">E130*'Large Use Predicted Monthly'!$Z$11</f>
        <v>0</v>
      </c>
      <c r="O130" s="18">
        <f ca="1">F130*'Large Use Predicted Monthly'!$Z$12</f>
        <v>192211.75264636773</v>
      </c>
      <c r="P130" s="18">
        <f>G130*'Large Use Predicted Monthly'!$Z$13</f>
        <v>0</v>
      </c>
      <c r="Q130" s="18">
        <f>H130*'Large Use Predicted Monthly'!$Z$14</f>
        <v>2099601.5872431691</v>
      </c>
      <c r="R130" s="18">
        <f>I130*'Large Use Predicted Monthly'!$Z$15</f>
        <v>0</v>
      </c>
      <c r="S130" s="18">
        <f>J130*'Large Use Predicted Monthly'!$Z$16</f>
        <v>177799.47475552099</v>
      </c>
      <c r="T130" s="18">
        <f>K130*'Large Use Predicted Monthly'!$Z$17</f>
        <v>5722.9590295533053</v>
      </c>
      <c r="U130" s="18">
        <f t="shared" ca="1" si="10"/>
        <v>3352955.6760157933</v>
      </c>
    </row>
    <row r="131" spans="1:21" x14ac:dyDescent="0.25">
      <c r="A131" s="3">
        <v>45931</v>
      </c>
      <c r="B131" s="1">
        <f t="shared" si="18"/>
        <v>2025</v>
      </c>
      <c r="C131" s="1">
        <f t="shared" si="19"/>
        <v>10</v>
      </c>
      <c r="D131" s="268"/>
      <c r="E131" s="278">
        <f t="shared" ca="1" si="17"/>
        <v>24.76139492753623</v>
      </c>
      <c r="F131" s="278">
        <f t="shared" ca="1" si="17"/>
        <v>17.987083333333334</v>
      </c>
      <c r="G131" s="278">
        <f t="shared" si="14"/>
        <v>130</v>
      </c>
      <c r="H131" s="278">
        <f t="shared" si="15"/>
        <v>31</v>
      </c>
      <c r="I131" s="278"/>
      <c r="J131" s="278">
        <f t="shared" si="16"/>
        <v>1</v>
      </c>
      <c r="K131" s="278">
        <f>Economic!S130</f>
        <v>736.56999999994878</v>
      </c>
      <c r="M131" s="18">
        <f>'Large Use Predicted Monthly'!$Z$10</f>
        <v>877619.90234118199</v>
      </c>
      <c r="N131" s="18">
        <f ca="1">E131*'Large Use Predicted Monthly'!$Z$11</f>
        <v>10486.168219119447</v>
      </c>
      <c r="O131" s="18">
        <f ca="1">F131*'Large Use Predicted Monthly'!$Z$12</f>
        <v>32488.802677462132</v>
      </c>
      <c r="P131" s="18">
        <f>G131*'Large Use Predicted Monthly'!$Z$13</f>
        <v>0</v>
      </c>
      <c r="Q131" s="18">
        <f>H131*'Large Use Predicted Monthly'!$Z$14</f>
        <v>2169588.3068179414</v>
      </c>
      <c r="R131" s="18">
        <f>I131*'Large Use Predicted Monthly'!$Z$15</f>
        <v>0</v>
      </c>
      <c r="S131" s="18">
        <f>J131*'Large Use Predicted Monthly'!$Z$16</f>
        <v>177799.47475552099</v>
      </c>
      <c r="T131" s="18">
        <f>K131*'Large Use Predicted Monthly'!$Z$17</f>
        <v>1528.6352329211566</v>
      </c>
      <c r="U131" s="18">
        <f t="shared" ref="U131:U145" ca="1" si="20">SUM(M131:T131)</f>
        <v>3269511.2900441471</v>
      </c>
    </row>
    <row r="132" spans="1:21" x14ac:dyDescent="0.25">
      <c r="A132" s="3">
        <v>45962</v>
      </c>
      <c r="B132" s="1">
        <f t="shared" si="18"/>
        <v>2025</v>
      </c>
      <c r="C132" s="1">
        <f t="shared" si="19"/>
        <v>11</v>
      </c>
      <c r="D132" s="268"/>
      <c r="E132" s="278">
        <f t="shared" ca="1" si="17"/>
        <v>140.02366389045739</v>
      </c>
      <c r="F132" s="278">
        <f t="shared" ca="1" si="17"/>
        <v>0.8083333333333329</v>
      </c>
      <c r="G132" s="278">
        <f t="shared" si="14"/>
        <v>131</v>
      </c>
      <c r="H132" s="278">
        <f t="shared" si="15"/>
        <v>30</v>
      </c>
      <c r="I132" s="278"/>
      <c r="J132" s="278">
        <f t="shared" si="16"/>
        <v>1</v>
      </c>
      <c r="K132" s="278">
        <f>Economic!S131</f>
        <v>736.56999999994878</v>
      </c>
      <c r="M132" s="18">
        <f>'Large Use Predicted Monthly'!$Z$10</f>
        <v>877619.90234118199</v>
      </c>
      <c r="N132" s="18">
        <f ca="1">E132*'Large Use Predicted Monthly'!$Z$11</f>
        <v>59298.423958333726</v>
      </c>
      <c r="O132" s="18">
        <f ca="1">F132*'Large Use Predicted Monthly'!$Z$12</f>
        <v>1460.0356087534226</v>
      </c>
      <c r="P132" s="18">
        <f>G132*'Large Use Predicted Monthly'!$Z$13</f>
        <v>0</v>
      </c>
      <c r="Q132" s="18">
        <f>H132*'Large Use Predicted Monthly'!$Z$14</f>
        <v>2099601.5872431691</v>
      </c>
      <c r="R132" s="18">
        <f>I132*'Large Use Predicted Monthly'!$Z$15</f>
        <v>0</v>
      </c>
      <c r="S132" s="18">
        <f>J132*'Large Use Predicted Monthly'!$Z$16</f>
        <v>177799.47475552099</v>
      </c>
      <c r="T132" s="18">
        <f>K132*'Large Use Predicted Monthly'!$Z$17</f>
        <v>1528.6352329211566</v>
      </c>
      <c r="U132" s="18">
        <f t="shared" ca="1" si="20"/>
        <v>3217308.0591398804</v>
      </c>
    </row>
    <row r="133" spans="1:21" x14ac:dyDescent="0.25">
      <c r="A133" s="3">
        <v>45992</v>
      </c>
      <c r="B133" s="1">
        <f t="shared" si="18"/>
        <v>2025</v>
      </c>
      <c r="C133" s="1">
        <f t="shared" si="19"/>
        <v>12</v>
      </c>
      <c r="D133" s="268"/>
      <c r="E133" s="278">
        <f t="shared" ca="1" si="17"/>
        <v>268.92048913043476</v>
      </c>
      <c r="F133" s="278">
        <f t="shared" ca="1" si="17"/>
        <v>0</v>
      </c>
      <c r="G133" s="278">
        <f t="shared" si="14"/>
        <v>132</v>
      </c>
      <c r="H133" s="278">
        <f t="shared" si="15"/>
        <v>31</v>
      </c>
      <c r="I133" s="278"/>
      <c r="J133" s="278">
        <f t="shared" si="16"/>
        <v>0</v>
      </c>
      <c r="K133" s="278">
        <f>Economic!S132</f>
        <v>736.56999999994878</v>
      </c>
      <c r="M133" s="18">
        <f>'Large Use Predicted Monthly'!$Z$10</f>
        <v>877619.90234118199</v>
      </c>
      <c r="N133" s="18">
        <f ca="1">E133*'Large Use Predicted Monthly'!$Z$11</f>
        <v>113884.75870774408</v>
      </c>
      <c r="O133" s="18">
        <f ca="1">F133*'Large Use Predicted Monthly'!$Z$12</f>
        <v>0</v>
      </c>
      <c r="P133" s="18">
        <f>G133*'Large Use Predicted Monthly'!$Z$13</f>
        <v>0</v>
      </c>
      <c r="Q133" s="18">
        <f>H133*'Large Use Predicted Monthly'!$Z$14</f>
        <v>2169588.3068179414</v>
      </c>
      <c r="R133" s="18">
        <f>I133*'Large Use Predicted Monthly'!$Z$15</f>
        <v>0</v>
      </c>
      <c r="S133" s="18">
        <f>J133*'Large Use Predicted Monthly'!$Z$16</f>
        <v>0</v>
      </c>
      <c r="T133" s="18">
        <f>K133*'Large Use Predicted Monthly'!$Z$17</f>
        <v>1528.6352329211566</v>
      </c>
      <c r="U133" s="18">
        <f t="shared" ca="1" si="20"/>
        <v>3162621.6030997885</v>
      </c>
    </row>
    <row r="134" spans="1:21" x14ac:dyDescent="0.25">
      <c r="A134" s="3">
        <v>46023</v>
      </c>
      <c r="B134" s="1">
        <f t="shared" si="18"/>
        <v>2026</v>
      </c>
      <c r="C134" s="1">
        <f t="shared" si="19"/>
        <v>1</v>
      </c>
      <c r="D134" s="268"/>
      <c r="E134" s="278">
        <f t="shared" ca="1" si="17"/>
        <v>387.33418478260865</v>
      </c>
      <c r="F134" s="278">
        <f t="shared" ca="1" si="17"/>
        <v>0</v>
      </c>
      <c r="G134" s="278">
        <f t="shared" si="14"/>
        <v>133</v>
      </c>
      <c r="H134" s="278">
        <f t="shared" si="15"/>
        <v>31</v>
      </c>
      <c r="I134" s="278"/>
      <c r="J134" s="278">
        <f t="shared" si="16"/>
        <v>0</v>
      </c>
      <c r="K134" s="278">
        <f>Economic!S133</f>
        <v>4358.7306679999456</v>
      </c>
      <c r="M134" s="18">
        <f>'Large Use Predicted Monthly'!$Z$10</f>
        <v>877619.90234118199</v>
      </c>
      <c r="N134" s="18">
        <f ca="1">E134*'Large Use Predicted Monthly'!$Z$11</f>
        <v>164031.6076914196</v>
      </c>
      <c r="O134" s="18">
        <f ca="1">F134*'Large Use Predicted Monthly'!$Z$12</f>
        <v>0</v>
      </c>
      <c r="P134" s="18">
        <f>G134*'Large Use Predicted Monthly'!$Z$13</f>
        <v>0</v>
      </c>
      <c r="Q134" s="18">
        <f>H134*'Large Use Predicted Monthly'!$Z$14</f>
        <v>2169588.3068179414</v>
      </c>
      <c r="R134" s="18">
        <f>I134*'Large Use Predicted Monthly'!$Z$15</f>
        <v>0</v>
      </c>
      <c r="S134" s="18">
        <f>J134*'Large Use Predicted Monthly'!$Z$16</f>
        <v>0</v>
      </c>
      <c r="T134" s="18">
        <f>K134*'Large Use Predicted Monthly'!$Z$17</f>
        <v>9045.8602304182205</v>
      </c>
      <c r="U134" s="18">
        <f t="shared" ca="1" si="20"/>
        <v>3220285.6770809614</v>
      </c>
    </row>
    <row r="135" spans="1:21" x14ac:dyDescent="0.25">
      <c r="A135" s="3">
        <v>46054</v>
      </c>
      <c r="B135" s="1">
        <f t="shared" si="18"/>
        <v>2026</v>
      </c>
      <c r="C135" s="1">
        <f t="shared" si="19"/>
        <v>2</v>
      </c>
      <c r="D135" s="268"/>
      <c r="E135" s="278">
        <f t="shared" ca="1" si="17"/>
        <v>341.39751811594203</v>
      </c>
      <c r="F135" s="278">
        <f t="shared" ca="1" si="17"/>
        <v>0</v>
      </c>
      <c r="G135" s="278">
        <f t="shared" si="14"/>
        <v>134</v>
      </c>
      <c r="H135" s="278">
        <f t="shared" si="15"/>
        <v>28</v>
      </c>
      <c r="I135" s="278"/>
      <c r="J135" s="278">
        <f t="shared" si="16"/>
        <v>0</v>
      </c>
      <c r="K135" s="278">
        <f>Economic!S134</f>
        <v>4358.7306679999456</v>
      </c>
      <c r="M135" s="18">
        <f>'Large Use Predicted Monthly'!$Z$10</f>
        <v>877619.90234118199</v>
      </c>
      <c r="N135" s="18">
        <f ca="1">E135*'Large Use Predicted Monthly'!$Z$11</f>
        <v>144577.95350505537</v>
      </c>
      <c r="O135" s="18">
        <f ca="1">F135*'Large Use Predicted Monthly'!$Z$12</f>
        <v>0</v>
      </c>
      <c r="P135" s="18">
        <f>G135*'Large Use Predicted Monthly'!$Z$13</f>
        <v>0</v>
      </c>
      <c r="Q135" s="18">
        <f>H135*'Large Use Predicted Monthly'!$Z$14</f>
        <v>1959628.1480936245</v>
      </c>
      <c r="R135" s="18">
        <f>I135*'Large Use Predicted Monthly'!$Z$15</f>
        <v>0</v>
      </c>
      <c r="S135" s="18">
        <f>J135*'Large Use Predicted Monthly'!$Z$16</f>
        <v>0</v>
      </c>
      <c r="T135" s="18">
        <f>K135*'Large Use Predicted Monthly'!$Z$17</f>
        <v>9045.8602304182205</v>
      </c>
      <c r="U135" s="18">
        <f t="shared" ca="1" si="20"/>
        <v>2990871.8641702803</v>
      </c>
    </row>
    <row r="136" spans="1:21" x14ac:dyDescent="0.25">
      <c r="A136" s="3">
        <v>46082</v>
      </c>
      <c r="B136" s="1">
        <f t="shared" si="18"/>
        <v>2026</v>
      </c>
      <c r="C136" s="1">
        <f t="shared" si="19"/>
        <v>3</v>
      </c>
      <c r="D136" s="268"/>
      <c r="E136" s="278">
        <f t="shared" ca="1" si="17"/>
        <v>238.57840579710145</v>
      </c>
      <c r="F136" s="278">
        <f t="shared" ca="1" si="17"/>
        <v>0</v>
      </c>
      <c r="G136" s="278">
        <f t="shared" si="14"/>
        <v>135</v>
      </c>
      <c r="H136" s="278">
        <f t="shared" si="15"/>
        <v>31</v>
      </c>
      <c r="I136" s="278"/>
      <c r="J136" s="278">
        <f t="shared" si="16"/>
        <v>1</v>
      </c>
      <c r="K136" s="278">
        <f>Economic!S135</f>
        <v>4358.7306679999456</v>
      </c>
      <c r="M136" s="18">
        <f>'Large Use Predicted Monthly'!$Z$10</f>
        <v>877619.90234118199</v>
      </c>
      <c r="N136" s="18">
        <f ca="1">E136*'Large Use Predicted Monthly'!$Z$11</f>
        <v>101035.23262559084</v>
      </c>
      <c r="O136" s="18">
        <f ca="1">F136*'Large Use Predicted Monthly'!$Z$12</f>
        <v>0</v>
      </c>
      <c r="P136" s="18">
        <f>G136*'Large Use Predicted Monthly'!$Z$13</f>
        <v>0</v>
      </c>
      <c r="Q136" s="18">
        <f>H136*'Large Use Predicted Monthly'!$Z$14</f>
        <v>2169588.3068179414</v>
      </c>
      <c r="R136" s="18">
        <f>I136*'Large Use Predicted Monthly'!$Z$15</f>
        <v>0</v>
      </c>
      <c r="S136" s="18">
        <f>J136*'Large Use Predicted Monthly'!$Z$16</f>
        <v>177799.47475552099</v>
      </c>
      <c r="T136" s="18">
        <f>K136*'Large Use Predicted Monthly'!$Z$17</f>
        <v>9045.8602304182205</v>
      </c>
      <c r="U136" s="18">
        <f t="shared" ca="1" si="20"/>
        <v>3335088.7767706537</v>
      </c>
    </row>
    <row r="137" spans="1:21" x14ac:dyDescent="0.25">
      <c r="A137" s="3">
        <v>46113</v>
      </c>
      <c r="B137" s="1">
        <f t="shared" si="18"/>
        <v>2026</v>
      </c>
      <c r="C137" s="1">
        <f t="shared" si="19"/>
        <v>4</v>
      </c>
      <c r="D137" s="268"/>
      <c r="E137" s="278">
        <f t="shared" ca="1" si="17"/>
        <v>79.984412878787879</v>
      </c>
      <c r="F137" s="278">
        <f t="shared" ca="1" si="17"/>
        <v>2.1908333333333347</v>
      </c>
      <c r="G137" s="278">
        <f t="shared" si="14"/>
        <v>136</v>
      </c>
      <c r="H137" s="278">
        <f t="shared" si="15"/>
        <v>30</v>
      </c>
      <c r="I137" s="278"/>
      <c r="J137" s="278">
        <f t="shared" si="16"/>
        <v>1</v>
      </c>
      <c r="K137" s="278">
        <f>Economic!S136</f>
        <v>87.546893999911845</v>
      </c>
      <c r="M137" s="18">
        <f>'Large Use Predicted Monthly'!$Z$10</f>
        <v>877619.90234118199</v>
      </c>
      <c r="N137" s="18">
        <f ca="1">E137*'Large Use Predicted Monthly'!$Z$11</f>
        <v>33872.4862152961</v>
      </c>
      <c r="O137" s="18">
        <f ca="1">F137*'Large Use Predicted Monthly'!$Z$12</f>
        <v>3957.1480571265488</v>
      </c>
      <c r="P137" s="18">
        <f>G137*'Large Use Predicted Monthly'!$Z$13</f>
        <v>0</v>
      </c>
      <c r="Q137" s="18">
        <f>H137*'Large Use Predicted Monthly'!$Z$14</f>
        <v>2099601.5872431691</v>
      </c>
      <c r="R137" s="18">
        <f>I137*'Large Use Predicted Monthly'!$Z$15</f>
        <v>0</v>
      </c>
      <c r="S137" s="18">
        <f>J137*'Large Use Predicted Monthly'!$Z$16</f>
        <v>177799.47475552099</v>
      </c>
      <c r="T137" s="18">
        <f>K137*'Large Use Predicted Monthly'!$Z$17</f>
        <v>181.68981454727771</v>
      </c>
      <c r="U137" s="18">
        <f t="shared" ca="1" si="20"/>
        <v>3193032.2884268416</v>
      </c>
    </row>
    <row r="138" spans="1:21" x14ac:dyDescent="0.25">
      <c r="A138" s="3">
        <v>46143</v>
      </c>
      <c r="B138" s="1">
        <f t="shared" si="18"/>
        <v>2026</v>
      </c>
      <c r="C138" s="1">
        <f t="shared" si="19"/>
        <v>5</v>
      </c>
      <c r="D138" s="268"/>
      <c r="E138" s="278">
        <f t="shared" ca="1" si="17"/>
        <v>7.2018333333333331</v>
      </c>
      <c r="F138" s="278">
        <f t="shared" ca="1" si="17"/>
        <v>52.487435064935063</v>
      </c>
      <c r="G138" s="278">
        <f t="shared" si="14"/>
        <v>137</v>
      </c>
      <c r="H138" s="278">
        <f t="shared" si="15"/>
        <v>31</v>
      </c>
      <c r="I138" s="278"/>
      <c r="J138" s="278">
        <f t="shared" si="16"/>
        <v>1</v>
      </c>
      <c r="K138" s="278">
        <f>Economic!S137</f>
        <v>87.546893999911845</v>
      </c>
      <c r="M138" s="18">
        <f>'Large Use Predicted Monthly'!$Z$10</f>
        <v>877619.90234118199</v>
      </c>
      <c r="N138" s="18">
        <f ca="1">E138*'Large Use Predicted Monthly'!$Z$11</f>
        <v>3049.8942422428909</v>
      </c>
      <c r="O138" s="18">
        <f ca="1">F138*'Large Use Predicted Monthly'!$Z$12</f>
        <v>94804.359843634942</v>
      </c>
      <c r="P138" s="18">
        <f>G138*'Large Use Predicted Monthly'!$Z$13</f>
        <v>0</v>
      </c>
      <c r="Q138" s="18">
        <f>H138*'Large Use Predicted Monthly'!$Z$14</f>
        <v>2169588.3068179414</v>
      </c>
      <c r="R138" s="18">
        <f>I138*'Large Use Predicted Monthly'!$Z$15</f>
        <v>0</v>
      </c>
      <c r="S138" s="18">
        <f>J138*'Large Use Predicted Monthly'!$Z$16</f>
        <v>177799.47475552099</v>
      </c>
      <c r="T138" s="18">
        <f>K138*'Large Use Predicted Monthly'!$Z$17</f>
        <v>181.68981454727771</v>
      </c>
      <c r="U138" s="18">
        <f t="shared" ca="1" si="20"/>
        <v>3323043.6278150692</v>
      </c>
    </row>
    <row r="139" spans="1:21" x14ac:dyDescent="0.25">
      <c r="A139" s="3">
        <v>46174</v>
      </c>
      <c r="B139" s="1">
        <f t="shared" si="18"/>
        <v>2026</v>
      </c>
      <c r="C139" s="1">
        <f t="shared" si="19"/>
        <v>6</v>
      </c>
      <c r="D139" s="268"/>
      <c r="E139" s="278">
        <f t="shared" ca="1" si="17"/>
        <v>0</v>
      </c>
      <c r="F139" s="278">
        <f t="shared" ca="1" si="17"/>
        <v>137.65451754405018</v>
      </c>
      <c r="G139" s="278">
        <f t="shared" si="14"/>
        <v>138</v>
      </c>
      <c r="H139" s="278">
        <f t="shared" si="15"/>
        <v>30</v>
      </c>
      <c r="I139" s="278"/>
      <c r="J139" s="278">
        <f t="shared" si="16"/>
        <v>0</v>
      </c>
      <c r="K139" s="278">
        <f>Economic!S138</f>
        <v>87.546893999911845</v>
      </c>
      <c r="M139" s="18">
        <f>'Large Use Predicted Monthly'!$Z$10</f>
        <v>877619.90234118199</v>
      </c>
      <c r="N139" s="18">
        <f ca="1">E139*'Large Use Predicted Monthly'!$Z$11</f>
        <v>0</v>
      </c>
      <c r="O139" s="18">
        <f ca="1">F139*'Large Use Predicted Monthly'!$Z$12</f>
        <v>248635.66678773539</v>
      </c>
      <c r="P139" s="18">
        <f>G139*'Large Use Predicted Monthly'!$Z$13</f>
        <v>0</v>
      </c>
      <c r="Q139" s="18">
        <f>H139*'Large Use Predicted Monthly'!$Z$14</f>
        <v>2099601.5872431691</v>
      </c>
      <c r="R139" s="18">
        <f>I139*'Large Use Predicted Monthly'!$Z$15</f>
        <v>0</v>
      </c>
      <c r="S139" s="18">
        <f>J139*'Large Use Predicted Monthly'!$Z$16</f>
        <v>0</v>
      </c>
      <c r="T139" s="18">
        <f>K139*'Large Use Predicted Monthly'!$Z$17</f>
        <v>181.68981454727771</v>
      </c>
      <c r="U139" s="18">
        <f t="shared" ca="1" si="20"/>
        <v>3226038.8461866332</v>
      </c>
    </row>
    <row r="140" spans="1:21" x14ac:dyDescent="0.25">
      <c r="A140" s="3">
        <v>46204</v>
      </c>
      <c r="B140" s="1">
        <f t="shared" si="18"/>
        <v>2026</v>
      </c>
      <c r="C140" s="1">
        <f t="shared" si="19"/>
        <v>7</v>
      </c>
      <c r="D140" s="268"/>
      <c r="E140" s="278">
        <f t="shared" ca="1" si="17"/>
        <v>0</v>
      </c>
      <c r="F140" s="278">
        <f t="shared" ca="1" si="17"/>
        <v>235.94737858727848</v>
      </c>
      <c r="G140" s="278">
        <f t="shared" si="14"/>
        <v>139</v>
      </c>
      <c r="H140" s="278">
        <f t="shared" si="15"/>
        <v>31</v>
      </c>
      <c r="I140" s="278"/>
      <c r="J140" s="278">
        <f t="shared" si="16"/>
        <v>0</v>
      </c>
      <c r="K140" s="278">
        <f>Economic!S139</f>
        <v>2782.4153730000835</v>
      </c>
      <c r="M140" s="18">
        <f>'Large Use Predicted Monthly'!$Z$10</f>
        <v>877619.90234118199</v>
      </c>
      <c r="N140" s="18">
        <f ca="1">E140*'Large Use Predicted Monthly'!$Z$11</f>
        <v>0</v>
      </c>
      <c r="O140" s="18">
        <f ca="1">F140*'Large Use Predicted Monthly'!$Z$12</f>
        <v>426175.14374777518</v>
      </c>
      <c r="P140" s="18">
        <f>G140*'Large Use Predicted Monthly'!$Z$13</f>
        <v>0</v>
      </c>
      <c r="Q140" s="18">
        <f>H140*'Large Use Predicted Monthly'!$Z$14</f>
        <v>2169588.3068179414</v>
      </c>
      <c r="R140" s="18">
        <f>I140*'Large Use Predicted Monthly'!$Z$15</f>
        <v>0</v>
      </c>
      <c r="S140" s="18">
        <f>J140*'Large Use Predicted Monthly'!$Z$16</f>
        <v>0</v>
      </c>
      <c r="T140" s="18">
        <f>K140*'Large Use Predicted Monthly'!$Z$17</f>
        <v>5774.4656608193181</v>
      </c>
      <c r="U140" s="18">
        <f t="shared" ca="1" si="20"/>
        <v>3479157.8185677179</v>
      </c>
    </row>
    <row r="141" spans="1:21" x14ac:dyDescent="0.25">
      <c r="A141" s="3">
        <v>46235</v>
      </c>
      <c r="B141" s="1">
        <f t="shared" si="18"/>
        <v>2026</v>
      </c>
      <c r="C141" s="1">
        <f t="shared" si="19"/>
        <v>8</v>
      </c>
      <c r="D141" s="268"/>
      <c r="E141" s="278">
        <f t="shared" ca="1" si="17"/>
        <v>0</v>
      </c>
      <c r="F141" s="278">
        <f t="shared" ca="1" si="17"/>
        <v>210.96558794466404</v>
      </c>
      <c r="G141" s="278">
        <f t="shared" si="14"/>
        <v>140</v>
      </c>
      <c r="H141" s="278">
        <f t="shared" si="15"/>
        <v>31</v>
      </c>
      <c r="I141" s="278"/>
      <c r="J141" s="278">
        <f t="shared" si="16"/>
        <v>0</v>
      </c>
      <c r="K141" s="278">
        <f>Economic!S140</f>
        <v>2782.4153730000835</v>
      </c>
      <c r="M141" s="18">
        <f>'Large Use Predicted Monthly'!$Z$10</f>
        <v>877619.90234118199</v>
      </c>
      <c r="N141" s="18">
        <f ca="1">E141*'Large Use Predicted Monthly'!$Z$11</f>
        <v>0</v>
      </c>
      <c r="O141" s="18">
        <f ca="1">F141*'Large Use Predicted Monthly'!$Z$12</f>
        <v>381052.29355151928</v>
      </c>
      <c r="P141" s="18">
        <f>G141*'Large Use Predicted Monthly'!$Z$13</f>
        <v>0</v>
      </c>
      <c r="Q141" s="18">
        <f>H141*'Large Use Predicted Monthly'!$Z$14</f>
        <v>2169588.3068179414</v>
      </c>
      <c r="R141" s="18">
        <f>I141*'Large Use Predicted Monthly'!$Z$15</f>
        <v>0</v>
      </c>
      <c r="S141" s="18">
        <f>J141*'Large Use Predicted Monthly'!$Z$16</f>
        <v>0</v>
      </c>
      <c r="T141" s="18">
        <f>K141*'Large Use Predicted Monthly'!$Z$17</f>
        <v>5774.4656608193181</v>
      </c>
      <c r="U141" s="18">
        <f t="shared" ca="1" si="20"/>
        <v>3434034.9683714621</v>
      </c>
    </row>
    <row r="142" spans="1:21" x14ac:dyDescent="0.25">
      <c r="A142" s="3">
        <v>46266</v>
      </c>
      <c r="B142" s="1">
        <f t="shared" si="18"/>
        <v>2026</v>
      </c>
      <c r="C142" s="1">
        <f t="shared" si="19"/>
        <v>9</v>
      </c>
      <c r="D142" s="268"/>
      <c r="E142" s="278">
        <f t="shared" ca="1" si="17"/>
        <v>0</v>
      </c>
      <c r="F142" s="278">
        <f t="shared" ca="1" si="17"/>
        <v>106.4160119047619</v>
      </c>
      <c r="G142" s="278">
        <f t="shared" si="14"/>
        <v>141</v>
      </c>
      <c r="H142" s="278">
        <f t="shared" si="15"/>
        <v>30</v>
      </c>
      <c r="I142" s="278"/>
      <c r="J142" s="278">
        <f t="shared" si="16"/>
        <v>1</v>
      </c>
      <c r="K142" s="278">
        <f>Economic!S141</f>
        <v>2782.4153730000835</v>
      </c>
      <c r="M142" s="18">
        <f>'Large Use Predicted Monthly'!$Z$10</f>
        <v>877619.90234118199</v>
      </c>
      <c r="N142" s="18">
        <f ca="1">E142*'Large Use Predicted Monthly'!$Z$11</f>
        <v>0</v>
      </c>
      <c r="O142" s="18">
        <f ca="1">F142*'Large Use Predicted Monthly'!$Z$12</f>
        <v>192211.75264636773</v>
      </c>
      <c r="P142" s="18">
        <f>G142*'Large Use Predicted Monthly'!$Z$13</f>
        <v>0</v>
      </c>
      <c r="Q142" s="18">
        <f>H142*'Large Use Predicted Monthly'!$Z$14</f>
        <v>2099601.5872431691</v>
      </c>
      <c r="R142" s="18">
        <f>I142*'Large Use Predicted Monthly'!$Z$15</f>
        <v>0</v>
      </c>
      <c r="S142" s="18">
        <f>J142*'Large Use Predicted Monthly'!$Z$16</f>
        <v>177799.47475552099</v>
      </c>
      <c r="T142" s="18">
        <f>K142*'Large Use Predicted Monthly'!$Z$17</f>
        <v>5774.4656608193181</v>
      </c>
      <c r="U142" s="18">
        <f t="shared" ca="1" si="20"/>
        <v>3353007.1826470592</v>
      </c>
    </row>
    <row r="143" spans="1:21" x14ac:dyDescent="0.25">
      <c r="A143" s="3">
        <v>46296</v>
      </c>
      <c r="B143" s="1">
        <f t="shared" si="18"/>
        <v>2026</v>
      </c>
      <c r="C143" s="1">
        <f t="shared" si="19"/>
        <v>10</v>
      </c>
      <c r="D143" s="268"/>
      <c r="E143" s="278">
        <f t="shared" ref="E143:F145" ca="1" si="21">E131</f>
        <v>24.76139492753623</v>
      </c>
      <c r="F143" s="278">
        <f t="shared" ca="1" si="21"/>
        <v>17.987083333333334</v>
      </c>
      <c r="G143" s="278">
        <f t="shared" si="14"/>
        <v>142</v>
      </c>
      <c r="H143" s="278">
        <f t="shared" si="15"/>
        <v>31</v>
      </c>
      <c r="I143" s="278"/>
      <c r="J143" s="278">
        <f t="shared" si="16"/>
        <v>1</v>
      </c>
      <c r="K143" s="278">
        <f>Economic!S142</f>
        <v>743.1991299999645</v>
      </c>
      <c r="M143" s="18">
        <f>'Large Use Predicted Monthly'!$Z$10</f>
        <v>877619.90234118199</v>
      </c>
      <c r="N143" s="18">
        <f ca="1">E143*'Large Use Predicted Monthly'!$Z$11</f>
        <v>10486.168219119447</v>
      </c>
      <c r="O143" s="18">
        <f ca="1">F143*'Large Use Predicted Monthly'!$Z$12</f>
        <v>32488.802677462132</v>
      </c>
      <c r="P143" s="18">
        <f>G143*'Large Use Predicted Monthly'!$Z$13</f>
        <v>0</v>
      </c>
      <c r="Q143" s="18">
        <f>H143*'Large Use Predicted Monthly'!$Z$14</f>
        <v>2169588.3068179414</v>
      </c>
      <c r="R143" s="18">
        <f>I143*'Large Use Predicted Monthly'!$Z$15</f>
        <v>0</v>
      </c>
      <c r="S143" s="18">
        <f>J143*'Large Use Predicted Monthly'!$Z$16</f>
        <v>177799.47475552099</v>
      </c>
      <c r="T143" s="18">
        <f>K143*'Large Use Predicted Monthly'!$Z$17</f>
        <v>1542.3929500174804</v>
      </c>
      <c r="U143" s="18">
        <f t="shared" ca="1" si="20"/>
        <v>3269525.0477612433</v>
      </c>
    </row>
    <row r="144" spans="1:21" x14ac:dyDescent="0.25">
      <c r="A144" s="3">
        <v>46327</v>
      </c>
      <c r="B144" s="1">
        <f t="shared" si="18"/>
        <v>2026</v>
      </c>
      <c r="C144" s="1">
        <f t="shared" si="19"/>
        <v>11</v>
      </c>
      <c r="D144" s="268"/>
      <c r="E144" s="278">
        <f t="shared" ca="1" si="21"/>
        <v>140.02366389045739</v>
      </c>
      <c r="F144" s="278">
        <f t="shared" ca="1" si="21"/>
        <v>0.8083333333333329</v>
      </c>
      <c r="G144" s="278">
        <f t="shared" si="14"/>
        <v>143</v>
      </c>
      <c r="H144" s="278">
        <f t="shared" si="15"/>
        <v>30</v>
      </c>
      <c r="I144" s="278"/>
      <c r="J144" s="278">
        <f t="shared" si="16"/>
        <v>1</v>
      </c>
      <c r="K144" s="278">
        <f>Economic!S143</f>
        <v>743.1991299999645</v>
      </c>
      <c r="M144" s="18">
        <f>'Large Use Predicted Monthly'!$Z$10</f>
        <v>877619.90234118199</v>
      </c>
      <c r="N144" s="18">
        <f ca="1">E144*'Large Use Predicted Monthly'!$Z$11</f>
        <v>59298.423958333726</v>
      </c>
      <c r="O144" s="18">
        <f ca="1">F144*'Large Use Predicted Monthly'!$Z$12</f>
        <v>1460.0356087534226</v>
      </c>
      <c r="P144" s="18">
        <f>G144*'Large Use Predicted Monthly'!$Z$13</f>
        <v>0</v>
      </c>
      <c r="Q144" s="18">
        <f>H144*'Large Use Predicted Monthly'!$Z$14</f>
        <v>2099601.5872431691</v>
      </c>
      <c r="R144" s="18">
        <f>I144*'Large Use Predicted Monthly'!$Z$15</f>
        <v>0</v>
      </c>
      <c r="S144" s="18">
        <f>J144*'Large Use Predicted Monthly'!$Z$16</f>
        <v>177799.47475552099</v>
      </c>
      <c r="T144" s="18">
        <f>K144*'Large Use Predicted Monthly'!$Z$17</f>
        <v>1542.3929500174804</v>
      </c>
      <c r="U144" s="18">
        <f t="shared" ca="1" si="20"/>
        <v>3217321.8168569766</v>
      </c>
    </row>
    <row r="145" spans="1:21" x14ac:dyDescent="0.25">
      <c r="A145" s="3">
        <v>46357</v>
      </c>
      <c r="B145" s="1">
        <f t="shared" si="18"/>
        <v>2026</v>
      </c>
      <c r="C145" s="1">
        <f t="shared" si="19"/>
        <v>12</v>
      </c>
      <c r="D145" s="268"/>
      <c r="E145" s="278">
        <f t="shared" ca="1" si="21"/>
        <v>268.92048913043476</v>
      </c>
      <c r="F145" s="278">
        <f t="shared" ca="1" si="21"/>
        <v>0</v>
      </c>
      <c r="G145" s="278">
        <f t="shared" si="14"/>
        <v>144</v>
      </c>
      <c r="H145" s="278">
        <f t="shared" si="15"/>
        <v>31</v>
      </c>
      <c r="I145" s="278"/>
      <c r="J145" s="278">
        <f t="shared" si="16"/>
        <v>0</v>
      </c>
      <c r="K145" s="278">
        <f>Economic!S144</f>
        <v>743.1991299999645</v>
      </c>
      <c r="M145" s="18">
        <f>'Large Use Predicted Monthly'!$Z$10</f>
        <v>877619.90234118199</v>
      </c>
      <c r="N145" s="18">
        <f ca="1">E145*'Large Use Predicted Monthly'!$Z$11</f>
        <v>113884.75870774408</v>
      </c>
      <c r="O145" s="18">
        <f ca="1">F145*'Large Use Predicted Monthly'!$Z$12</f>
        <v>0</v>
      </c>
      <c r="P145" s="18">
        <f>G145*'Large Use Predicted Monthly'!$Z$13</f>
        <v>0</v>
      </c>
      <c r="Q145" s="18">
        <f>H145*'Large Use Predicted Monthly'!$Z$14</f>
        <v>2169588.3068179414</v>
      </c>
      <c r="R145" s="18">
        <f>I145*'Large Use Predicted Monthly'!$Z$15</f>
        <v>0</v>
      </c>
      <c r="S145" s="18">
        <f>J145*'Large Use Predicted Monthly'!$Z$16</f>
        <v>0</v>
      </c>
      <c r="T145" s="18">
        <f>K145*'Large Use Predicted Monthly'!$Z$17</f>
        <v>1542.3929500174804</v>
      </c>
      <c r="U145" s="18">
        <f t="shared" ca="1" si="20"/>
        <v>3162635.3608168848</v>
      </c>
    </row>
    <row r="195" spans="7:24" x14ac:dyDescent="0.25">
      <c r="G195" s="18"/>
      <c r="H195" s="18"/>
      <c r="I195" s="18"/>
      <c r="J195" s="18"/>
      <c r="K195" s="18"/>
      <c r="N195" s="18"/>
      <c r="O195" s="18"/>
      <c r="P195" s="18"/>
      <c r="Q195" s="18"/>
      <c r="R195" s="18"/>
      <c r="S195" s="18"/>
      <c r="T195" s="18"/>
      <c r="U195" s="18"/>
      <c r="V195" s="18"/>
      <c r="W195" s="18"/>
      <c r="X195" s="18"/>
    </row>
    <row r="196" spans="7:24" x14ac:dyDescent="0.25">
      <c r="G196" s="18"/>
      <c r="H196" s="18"/>
      <c r="I196" s="18"/>
      <c r="J196" s="18"/>
      <c r="K196" s="18"/>
      <c r="N196" s="18"/>
      <c r="O196" s="18"/>
      <c r="P196" s="18"/>
      <c r="Q196" s="18"/>
      <c r="R196" s="18"/>
      <c r="S196" s="18"/>
      <c r="T196" s="18"/>
      <c r="U196" s="18"/>
      <c r="V196" s="18"/>
      <c r="W196" s="18"/>
      <c r="X196" s="18"/>
    </row>
    <row r="197" spans="7:24" x14ac:dyDescent="0.25">
      <c r="G197" s="18"/>
      <c r="H197" s="18"/>
      <c r="I197" s="18"/>
      <c r="J197" s="18"/>
      <c r="K197" s="18"/>
      <c r="N197" s="18"/>
      <c r="O197" s="18"/>
      <c r="P197" s="18"/>
      <c r="Q197" s="18"/>
      <c r="R197" s="18"/>
      <c r="S197" s="18"/>
      <c r="T197" s="18"/>
      <c r="U197" s="18"/>
      <c r="V197" s="18"/>
      <c r="W197" s="18"/>
      <c r="X197" s="18"/>
    </row>
    <row r="198" spans="7:24" x14ac:dyDescent="0.25">
      <c r="G198" s="18"/>
      <c r="H198" s="18"/>
      <c r="I198" s="18"/>
      <c r="J198" s="18"/>
      <c r="K198" s="18"/>
      <c r="N198" s="18"/>
      <c r="O198" s="18"/>
      <c r="P198" s="18"/>
      <c r="Q198" s="18"/>
      <c r="R198" s="18"/>
      <c r="S198" s="18"/>
      <c r="T198" s="18"/>
      <c r="U198" s="18"/>
      <c r="V198" s="18"/>
      <c r="W198" s="18"/>
      <c r="X198" s="18"/>
    </row>
    <row r="199" spans="7:24" x14ac:dyDescent="0.25">
      <c r="G199" s="18"/>
      <c r="H199" s="18"/>
      <c r="I199" s="18"/>
      <c r="J199" s="18"/>
      <c r="K199" s="18"/>
      <c r="N199" s="18"/>
      <c r="O199" s="18"/>
      <c r="P199" s="18"/>
      <c r="Q199" s="18"/>
      <c r="R199" s="18"/>
      <c r="S199" s="18"/>
      <c r="T199" s="18"/>
      <c r="U199" s="18"/>
      <c r="V199" s="18"/>
      <c r="W199" s="18"/>
      <c r="X199" s="18"/>
    </row>
    <row r="200" spans="7:24" x14ac:dyDescent="0.25">
      <c r="G200" s="18"/>
      <c r="H200" s="18"/>
      <c r="I200" s="18"/>
      <c r="J200" s="18"/>
      <c r="K200" s="18"/>
      <c r="N200" s="18"/>
      <c r="O200" s="18"/>
      <c r="P200" s="18"/>
      <c r="Q200" s="18"/>
      <c r="R200" s="18"/>
      <c r="S200" s="18"/>
      <c r="T200" s="18"/>
      <c r="U200" s="18"/>
      <c r="V200" s="18"/>
      <c r="W200" s="18"/>
      <c r="X200" s="18"/>
    </row>
    <row r="201" spans="7:24" x14ac:dyDescent="0.25">
      <c r="G201" s="18"/>
      <c r="H201" s="18"/>
      <c r="I201" s="18"/>
      <c r="J201" s="18"/>
      <c r="K201" s="18"/>
      <c r="N201" s="18"/>
      <c r="O201" s="18"/>
      <c r="P201" s="18"/>
      <c r="Q201" s="18"/>
      <c r="R201" s="18"/>
      <c r="S201" s="18"/>
      <c r="T201" s="18"/>
      <c r="U201" s="18"/>
      <c r="V201" s="18"/>
      <c r="W201" s="18"/>
      <c r="X201" s="18"/>
    </row>
    <row r="202" spans="7:24" x14ac:dyDescent="0.25">
      <c r="G202" s="18"/>
      <c r="H202" s="18"/>
      <c r="I202" s="18"/>
      <c r="J202" s="18"/>
      <c r="K202" s="18"/>
      <c r="N202" s="18"/>
      <c r="O202" s="18"/>
      <c r="P202" s="18"/>
      <c r="Q202" s="18"/>
      <c r="R202" s="18"/>
      <c r="S202" s="18"/>
      <c r="T202" s="18"/>
      <c r="U202" s="18"/>
      <c r="V202" s="18"/>
      <c r="W202" s="18"/>
      <c r="X202" s="18"/>
    </row>
    <row r="204" spans="7:24" x14ac:dyDescent="0.25">
      <c r="M204" s="24"/>
      <c r="N204" s="24"/>
      <c r="O204" s="24"/>
      <c r="P204" s="24"/>
      <c r="Q204" s="24"/>
      <c r="R204" s="24"/>
      <c r="S204" s="24"/>
      <c r="T204" s="24"/>
      <c r="U204" s="24"/>
      <c r="V204" s="24"/>
      <c r="W204" s="24"/>
      <c r="X204" s="24"/>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FF0000"/>
  </sheetPr>
  <dimension ref="B2:BY58"/>
  <sheetViews>
    <sheetView topLeftCell="BC1" zoomScaleNormal="100" workbookViewId="0">
      <selection activeCell="BB41" sqref="BB41"/>
    </sheetView>
  </sheetViews>
  <sheetFormatPr defaultColWidth="8.77734375" defaultRowHeight="13.2" x14ac:dyDescent="0.25"/>
  <cols>
    <col min="1" max="1" width="8.77734375" style="1"/>
    <col min="2" max="2" width="9" style="1" bestFit="1" customWidth="1"/>
    <col min="3" max="5" width="13.109375" style="1" bestFit="1" customWidth="1"/>
    <col min="6" max="6" width="5" style="1" customWidth="1"/>
    <col min="7" max="7" width="13.77734375" style="1" customWidth="1"/>
    <col min="8" max="8" width="13" style="1" customWidth="1"/>
    <col min="9" max="11" width="15.33203125" style="1" customWidth="1"/>
    <col min="12" max="12" width="11.109375" style="1" bestFit="1" customWidth="1"/>
    <col min="13" max="13" width="7.6640625" style="1" customWidth="1"/>
    <col min="14" max="14" width="14.77734375" style="1" customWidth="1"/>
    <col min="15" max="16" width="13.109375" style="1" bestFit="1" customWidth="1"/>
    <col min="17" max="17" width="3.77734375" style="1" customWidth="1"/>
    <col min="18" max="18" width="13.77734375" style="1" bestFit="1" customWidth="1"/>
    <col min="19" max="19" width="13.109375" style="1" bestFit="1" customWidth="1"/>
    <col min="20" max="20" width="13.77734375" style="1" bestFit="1" customWidth="1"/>
    <col min="21" max="21" width="13" style="1" customWidth="1"/>
    <col min="22" max="22" width="17" style="1" customWidth="1"/>
    <col min="23" max="23" width="11.33203125" style="1" customWidth="1"/>
    <col min="24" max="24" width="5.77734375" style="1" bestFit="1" customWidth="1"/>
    <col min="25" max="25" width="14.77734375" style="1" customWidth="1"/>
    <col min="26" max="26" width="12.33203125" style="1" customWidth="1"/>
    <col min="27" max="27" width="13.109375" style="1" bestFit="1" customWidth="1"/>
    <col min="28" max="28" width="3.33203125" style="1" customWidth="1"/>
    <col min="29" max="29" width="21" style="1" bestFit="1" customWidth="1"/>
    <col min="30" max="30" width="12.33203125" style="1" customWidth="1"/>
    <col min="31" max="31" width="21" style="1" bestFit="1" customWidth="1"/>
    <col min="32" max="32" width="13.33203125" style="1" customWidth="1"/>
    <col min="33" max="33" width="16.33203125" style="1" customWidth="1"/>
    <col min="34" max="34" width="5.77734375" style="1" customWidth="1"/>
    <col min="35" max="35" width="5.109375" style="1" bestFit="1" customWidth="1"/>
    <col min="36" max="36" width="10.109375" style="1" bestFit="1" customWidth="1"/>
    <col min="37" max="37" width="13.77734375" style="1" bestFit="1" customWidth="1"/>
    <col min="38" max="38" width="13.6640625" style="1" bestFit="1" customWidth="1"/>
    <col min="39" max="39" width="3.109375" style="1" customWidth="1"/>
    <col min="40" max="40" width="15.109375" style="1" bestFit="1" customWidth="1"/>
    <col min="41" max="41" width="13.77734375" style="1" bestFit="1" customWidth="1"/>
    <col min="42" max="42" width="10.109375" style="1" bestFit="1" customWidth="1"/>
    <col min="43" max="43" width="14.109375" style="1" bestFit="1" customWidth="1"/>
    <col min="44" max="44" width="14.6640625" style="1" bestFit="1" customWidth="1"/>
    <col min="45" max="45" width="5.77734375" style="1" customWidth="1"/>
    <col min="46" max="46" width="5.109375" style="1" bestFit="1" customWidth="1"/>
    <col min="47" max="47" width="10.109375" style="1" bestFit="1" customWidth="1"/>
    <col min="48" max="48" width="13.77734375" style="1" bestFit="1" customWidth="1"/>
    <col min="49" max="49" width="13.6640625" style="1" bestFit="1" customWidth="1"/>
    <col min="50" max="50" width="4.109375" style="1" customWidth="1"/>
    <col min="51" max="51" width="15.109375" style="1" bestFit="1" customWidth="1"/>
    <col min="52" max="52" width="13.77734375" style="1" bestFit="1" customWidth="1"/>
    <col min="53" max="53" width="10.109375" style="1" bestFit="1" customWidth="1"/>
    <col min="54" max="54" width="14.109375" style="1" bestFit="1" customWidth="1"/>
    <col min="55" max="55" width="14.6640625" style="1" bestFit="1" customWidth="1"/>
    <col min="56" max="56" width="12.109375" style="1" bestFit="1" customWidth="1"/>
    <col min="57" max="57" width="14.33203125" style="1" bestFit="1" customWidth="1"/>
    <col min="58" max="58" width="11.44140625" style="1" customWidth="1"/>
    <col min="59" max="59" width="12.5546875" style="1" customWidth="1"/>
    <col min="60" max="60" width="11.33203125" style="1" customWidth="1"/>
    <col min="61" max="61" width="13.33203125" style="1" customWidth="1"/>
    <col min="62" max="62" width="8.77734375" style="1"/>
    <col min="63" max="63" width="9" style="1" bestFit="1" customWidth="1"/>
    <col min="64" max="64" width="9.109375" style="1" bestFit="1" customWidth="1"/>
    <col min="65" max="67" width="9" style="1" bestFit="1" customWidth="1"/>
    <col min="68" max="68" width="8.77734375" style="1"/>
    <col min="69" max="69" width="9" style="1" bestFit="1" customWidth="1"/>
    <col min="70" max="70" width="14.44140625" style="1" customWidth="1"/>
    <col min="71" max="71" width="13.44140625" style="1" bestFit="1" customWidth="1"/>
    <col min="72" max="72" width="12.6640625" style="1" customWidth="1"/>
    <col min="73" max="73" width="10.77734375" style="1" bestFit="1" customWidth="1"/>
    <col min="74" max="74" width="8.77734375" style="1"/>
    <col min="75" max="75" width="12.77734375" style="1" bestFit="1" customWidth="1"/>
    <col min="76" max="16384" width="8.77734375" style="1"/>
  </cols>
  <sheetData>
    <row r="2" spans="2:77" x14ac:dyDescent="0.25">
      <c r="B2" s="493" t="s">
        <v>394</v>
      </c>
      <c r="C2" s="493"/>
      <c r="D2" s="493"/>
      <c r="E2" s="493"/>
      <c r="F2" s="493"/>
      <c r="G2" s="493"/>
      <c r="H2" s="493"/>
      <c r="I2" s="493"/>
      <c r="J2" s="493"/>
      <c r="K2" s="493"/>
      <c r="M2" s="493" t="s">
        <v>415</v>
      </c>
      <c r="N2" s="493"/>
      <c r="O2" s="493"/>
      <c r="P2" s="493"/>
      <c r="Q2" s="493"/>
      <c r="R2" s="493"/>
      <c r="S2" s="493"/>
      <c r="T2" s="493"/>
      <c r="U2" s="493"/>
      <c r="V2" s="493"/>
      <c r="X2" s="493" t="s">
        <v>416</v>
      </c>
      <c r="Y2" s="493"/>
      <c r="Z2" s="493"/>
      <c r="AA2" s="493"/>
      <c r="AB2" s="493"/>
      <c r="AC2" s="493"/>
      <c r="AD2" s="493"/>
      <c r="AE2" s="493"/>
      <c r="AF2" s="493"/>
      <c r="AG2" s="493"/>
      <c r="AI2" s="493" t="s">
        <v>417</v>
      </c>
      <c r="AJ2" s="493"/>
      <c r="AK2" s="493"/>
      <c r="AL2" s="493"/>
      <c r="AM2" s="493"/>
      <c r="AN2" s="493"/>
      <c r="AO2" s="493"/>
      <c r="AP2" s="493"/>
      <c r="AQ2" s="493"/>
      <c r="AR2" s="493"/>
      <c r="AT2" s="493" t="s">
        <v>418</v>
      </c>
      <c r="AU2" s="493"/>
      <c r="AV2" s="493"/>
      <c r="AW2" s="493"/>
      <c r="AX2" s="493"/>
      <c r="AY2" s="493"/>
      <c r="AZ2" s="493"/>
      <c r="BA2" s="493"/>
      <c r="BB2" s="493"/>
      <c r="BC2" s="493"/>
      <c r="BE2" s="493" t="s">
        <v>419</v>
      </c>
      <c r="BF2" s="493"/>
      <c r="BG2" s="493"/>
      <c r="BH2" s="493"/>
      <c r="BI2" s="493"/>
      <c r="BK2" s="493" t="s">
        <v>420</v>
      </c>
      <c r="BL2" s="493"/>
      <c r="BM2" s="493"/>
      <c r="BN2" s="493"/>
      <c r="BO2" s="493"/>
      <c r="BQ2" s="493" t="s">
        <v>194</v>
      </c>
      <c r="BR2" s="493"/>
      <c r="BS2" s="493"/>
      <c r="BT2" s="493"/>
      <c r="BU2" s="493"/>
    </row>
    <row r="3" spans="2:77" s="252" customFormat="1" ht="52.8" x14ac:dyDescent="0.25">
      <c r="B3" s="169" t="s">
        <v>1</v>
      </c>
      <c r="C3" s="169" t="s">
        <v>421</v>
      </c>
      <c r="D3" s="169" t="s">
        <v>422</v>
      </c>
      <c r="E3" s="169" t="s">
        <v>423</v>
      </c>
      <c r="F3" s="169"/>
      <c r="G3" s="169" t="s">
        <v>424</v>
      </c>
      <c r="H3" s="169" t="s">
        <v>422</v>
      </c>
      <c r="I3" s="169" t="s">
        <v>425</v>
      </c>
      <c r="J3" s="169" t="s">
        <v>426</v>
      </c>
      <c r="K3" s="169" t="s">
        <v>427</v>
      </c>
      <c r="M3" s="169" t="s">
        <v>1</v>
      </c>
      <c r="N3" s="169" t="s">
        <v>421</v>
      </c>
      <c r="O3" s="169" t="s">
        <v>422</v>
      </c>
      <c r="P3" s="169" t="s">
        <v>423</v>
      </c>
      <c r="Q3" s="169"/>
      <c r="R3" s="169" t="s">
        <v>428</v>
      </c>
      <c r="S3" s="169" t="s">
        <v>422</v>
      </c>
      <c r="T3" s="169" t="s">
        <v>425</v>
      </c>
      <c r="U3" s="169" t="s">
        <v>426</v>
      </c>
      <c r="V3" s="169" t="s">
        <v>427</v>
      </c>
      <c r="X3" s="169" t="s">
        <v>1</v>
      </c>
      <c r="Y3" s="169" t="s">
        <v>421</v>
      </c>
      <c r="Z3" s="169" t="s">
        <v>422</v>
      </c>
      <c r="AA3" s="169" t="s">
        <v>423</v>
      </c>
      <c r="AB3" s="169"/>
      <c r="AC3" s="169" t="s">
        <v>424</v>
      </c>
      <c r="AD3" s="169" t="s">
        <v>422</v>
      </c>
      <c r="AE3" s="169" t="s">
        <v>425</v>
      </c>
      <c r="AF3" s="169" t="s">
        <v>429</v>
      </c>
      <c r="AG3" s="169" t="s">
        <v>427</v>
      </c>
      <c r="AH3" s="1"/>
      <c r="AI3" s="169" t="s">
        <v>1</v>
      </c>
      <c r="AJ3" s="169" t="s">
        <v>421</v>
      </c>
      <c r="AK3" s="169" t="s">
        <v>422</v>
      </c>
      <c r="AL3" s="169" t="s">
        <v>423</v>
      </c>
      <c r="AM3" s="169"/>
      <c r="AN3" s="169" t="s">
        <v>424</v>
      </c>
      <c r="AO3" s="169" t="s">
        <v>422</v>
      </c>
      <c r="AP3" s="169" t="s">
        <v>425</v>
      </c>
      <c r="AQ3" s="169" t="s">
        <v>429</v>
      </c>
      <c r="AR3" s="169" t="s">
        <v>427</v>
      </c>
      <c r="AS3" s="1"/>
      <c r="AT3" s="169" t="s">
        <v>1</v>
      </c>
      <c r="AU3" s="169" t="s">
        <v>421</v>
      </c>
      <c r="AV3" s="169" t="s">
        <v>422</v>
      </c>
      <c r="AW3" s="169" t="s">
        <v>423</v>
      </c>
      <c r="AX3" s="169"/>
      <c r="AY3" s="169" t="s">
        <v>424</v>
      </c>
      <c r="AZ3" s="169" t="s">
        <v>422</v>
      </c>
      <c r="BA3" s="169" t="s">
        <v>425</v>
      </c>
      <c r="BB3" s="169" t="s">
        <v>429</v>
      </c>
      <c r="BC3" s="169" t="s">
        <v>427</v>
      </c>
      <c r="BE3" s="170" t="s">
        <v>1</v>
      </c>
      <c r="BF3" s="171" t="s">
        <v>421</v>
      </c>
      <c r="BG3" s="171" t="s">
        <v>547</v>
      </c>
      <c r="BH3" s="171" t="s">
        <v>546</v>
      </c>
      <c r="BI3" s="171" t="s">
        <v>430</v>
      </c>
      <c r="BK3" s="170" t="s">
        <v>1</v>
      </c>
      <c r="BL3" s="171" t="s">
        <v>421</v>
      </c>
      <c r="BM3" s="171" t="s">
        <v>547</v>
      </c>
      <c r="BN3" s="171" t="s">
        <v>546</v>
      </c>
      <c r="BO3" s="171" t="s">
        <v>430</v>
      </c>
      <c r="BQ3" s="170" t="s">
        <v>1</v>
      </c>
      <c r="BR3" s="170" t="s">
        <v>421</v>
      </c>
      <c r="BS3" s="170" t="s">
        <v>547</v>
      </c>
      <c r="BT3" s="171" t="s">
        <v>546</v>
      </c>
      <c r="BU3" s="171" t="s">
        <v>430</v>
      </c>
    </row>
    <row r="4" spans="2:77" x14ac:dyDescent="0.25">
      <c r="B4" s="165"/>
      <c r="C4" s="165" t="s">
        <v>308</v>
      </c>
      <c r="D4" s="165" t="s">
        <v>310</v>
      </c>
      <c r="E4" s="165" t="s">
        <v>431</v>
      </c>
      <c r="F4" s="165"/>
      <c r="G4" s="165" t="s">
        <v>314</v>
      </c>
      <c r="H4" s="165" t="s">
        <v>432</v>
      </c>
      <c r="I4" s="165" t="s">
        <v>433</v>
      </c>
      <c r="J4" s="165" t="s">
        <v>434</v>
      </c>
      <c r="K4" s="165" t="s">
        <v>435</v>
      </c>
      <c r="M4" s="165"/>
      <c r="N4" s="165" t="s">
        <v>308</v>
      </c>
      <c r="O4" s="165" t="s">
        <v>310</v>
      </c>
      <c r="P4" s="165" t="s">
        <v>431</v>
      </c>
      <c r="Q4" s="165"/>
      <c r="R4" s="165" t="s">
        <v>314</v>
      </c>
      <c r="S4" s="165" t="s">
        <v>432</v>
      </c>
      <c r="T4" s="165" t="s">
        <v>433</v>
      </c>
      <c r="U4" s="165" t="s">
        <v>434</v>
      </c>
      <c r="V4" s="165" t="s">
        <v>435</v>
      </c>
      <c r="X4" s="165"/>
      <c r="Y4" s="165" t="s">
        <v>308</v>
      </c>
      <c r="Z4" s="165" t="s">
        <v>310</v>
      </c>
      <c r="AA4" s="165" t="s">
        <v>431</v>
      </c>
      <c r="AB4" s="165"/>
      <c r="AC4" s="165" t="s">
        <v>314</v>
      </c>
      <c r="AD4" s="165" t="s">
        <v>432</v>
      </c>
      <c r="AE4" s="165" t="s">
        <v>433</v>
      </c>
      <c r="AF4" s="165" t="s">
        <v>434</v>
      </c>
      <c r="AG4" s="165" t="s">
        <v>435</v>
      </c>
      <c r="AI4" s="210"/>
      <c r="AJ4" s="210" t="s">
        <v>308</v>
      </c>
      <c r="AK4" s="210" t="s">
        <v>310</v>
      </c>
      <c r="AL4" s="210" t="s">
        <v>431</v>
      </c>
      <c r="AM4" s="210"/>
      <c r="AN4" s="210" t="s">
        <v>314</v>
      </c>
      <c r="AO4" s="210" t="s">
        <v>432</v>
      </c>
      <c r="AP4" s="210" t="s">
        <v>433</v>
      </c>
      <c r="AQ4" s="210" t="s">
        <v>434</v>
      </c>
      <c r="AR4" s="210" t="s">
        <v>435</v>
      </c>
      <c r="AT4" s="210"/>
      <c r="AU4" s="210" t="s">
        <v>308</v>
      </c>
      <c r="AV4" s="210" t="s">
        <v>310</v>
      </c>
      <c r="AW4" s="210" t="s">
        <v>431</v>
      </c>
      <c r="AX4" s="210"/>
      <c r="AY4" s="210" t="s">
        <v>314</v>
      </c>
      <c r="AZ4" s="210" t="s">
        <v>432</v>
      </c>
      <c r="BA4" s="210" t="s">
        <v>433</v>
      </c>
      <c r="BB4" s="210" t="s">
        <v>434</v>
      </c>
      <c r="BC4" s="210" t="s">
        <v>435</v>
      </c>
      <c r="BE4" s="167"/>
      <c r="BF4" s="167" t="s">
        <v>308</v>
      </c>
      <c r="BG4" s="167" t="s">
        <v>310</v>
      </c>
      <c r="BH4" s="167" t="s">
        <v>312</v>
      </c>
      <c r="BI4" s="167" t="s">
        <v>436</v>
      </c>
      <c r="BK4" s="167"/>
      <c r="BL4" s="167" t="s">
        <v>308</v>
      </c>
      <c r="BM4" s="167" t="s">
        <v>310</v>
      </c>
      <c r="BN4" s="167" t="s">
        <v>312</v>
      </c>
      <c r="BO4" s="167" t="s">
        <v>436</v>
      </c>
      <c r="BQ4" s="167"/>
      <c r="BR4" s="167" t="s">
        <v>308</v>
      </c>
      <c r="BS4" s="167" t="s">
        <v>310</v>
      </c>
      <c r="BT4" s="167" t="s">
        <v>312</v>
      </c>
      <c r="BU4" s="167" t="s">
        <v>436</v>
      </c>
    </row>
    <row r="5" spans="2:77" x14ac:dyDescent="0.25">
      <c r="B5" s="267">
        <v>2015</v>
      </c>
      <c r="C5" s="269">
        <f>SUMIF('Monthly Data'!$B:$B,B5,'Monthly Data'!D:D)</f>
        <v>479266200.99999982</v>
      </c>
      <c r="D5" s="269">
        <f>SUMIF('Monthly Data'!$B:$B,B5,'Monthly Data'!E:E)</f>
        <v>1745859</v>
      </c>
      <c r="E5" s="269">
        <f t="shared" ref="E5:E14" si="0">C5+D5</f>
        <v>481012059.99999982</v>
      </c>
      <c r="F5" s="269"/>
      <c r="G5" s="269">
        <f ca="1">SUMIF('Res Normalized Monthly'!$B:$B,B5,'Res Normalized Monthly'!$O:$O)</f>
        <v>473842060.17339051</v>
      </c>
      <c r="H5" s="269">
        <f t="shared" ref="H5:H14" si="1">D5</f>
        <v>1745859</v>
      </c>
      <c r="I5" s="269">
        <f t="shared" ref="I5:I16" ca="1" si="2">G5-H5</f>
        <v>472096201.17339051</v>
      </c>
      <c r="J5" s="269"/>
      <c r="K5" s="269">
        <f t="shared" ref="K5:K13" ca="1" si="3">I5+J5</f>
        <v>472096201.17339051</v>
      </c>
      <c r="M5" s="267">
        <v>2015</v>
      </c>
      <c r="N5" s="269">
        <f>SUMIF('Monthly Data'!$B:$B,M5,'Monthly Data'!H:H)</f>
        <v>134383174.00000003</v>
      </c>
      <c r="O5" s="269">
        <f>SUMIF('Monthly Data'!$B:$B,M5,'Monthly Data'!I:I)</f>
        <v>515127.62000000005</v>
      </c>
      <c r="P5" s="269">
        <f t="shared" ref="P5:P14" si="4">N5+O5</f>
        <v>134898301.62000003</v>
      </c>
      <c r="Q5" s="269"/>
      <c r="R5" s="269">
        <f ca="1">SUMIF('GS&lt;50 Normalized Monthly'!$B:$B,M5,'GS&lt;50 Normalized Monthly'!Q:$Q)</f>
        <v>131241458.89510147</v>
      </c>
      <c r="S5" s="269">
        <f t="shared" ref="S5:S14" si="5">O5</f>
        <v>515127.62000000005</v>
      </c>
      <c r="T5" s="269">
        <f ca="1">R5-S5</f>
        <v>130726331.27510147</v>
      </c>
      <c r="U5" s="269"/>
      <c r="V5" s="269">
        <f t="shared" ref="V5:V13" ca="1" si="6">T5+U5</f>
        <v>130726331.27510147</v>
      </c>
      <c r="X5" s="267">
        <v>2015</v>
      </c>
      <c r="Y5" s="269">
        <f>SUMIF('Monthly Data'!$B:$B,X5,'Monthly Data'!L:L)</f>
        <v>331248131.3818177</v>
      </c>
      <c r="Z5" s="269">
        <f>SUMIF('Monthly Data'!$B:$B,X5,'Monthly Data'!M:M)</f>
        <v>718467.47000000009</v>
      </c>
      <c r="AA5" s="269">
        <f t="shared" ref="AA5:AA14" si="7">Y5+Z5</f>
        <v>331966598.85181773</v>
      </c>
      <c r="AB5" s="269"/>
      <c r="AC5" s="269">
        <f ca="1">SUMIF('GS 50-999 Normalized Monthly'!$B:$B,X5,'GS 50-999 Normalized Monthly'!$Q:$Q)</f>
        <v>331300167.66327298</v>
      </c>
      <c r="AD5" s="269">
        <f t="shared" ref="AD5:AD14" si="8">Z5</f>
        <v>718467.47000000009</v>
      </c>
      <c r="AE5" s="269">
        <f t="shared" ref="AE5:AE16" ca="1" si="9">AC5-AD5</f>
        <v>330581700.19327295</v>
      </c>
      <c r="AF5" s="269"/>
      <c r="AG5" s="269">
        <f t="shared" ref="AG5:AG13" ca="1" si="10">AE5+AF5</f>
        <v>330581700.19327295</v>
      </c>
      <c r="AI5" s="267">
        <v>2015</v>
      </c>
      <c r="AJ5" s="269">
        <f>SUMIF('Monthly Data'!$B:$B,AI5,'Monthly Data'!Q:Q)</f>
        <v>81262023.618182287</v>
      </c>
      <c r="AK5" s="269">
        <f>SUMIF('Monthly Data'!$B:$B,AI5,'Monthly Data'!R:R)</f>
        <v>4825418.41</v>
      </c>
      <c r="AL5" s="269">
        <f t="shared" ref="AL5:AL14" si="11">AJ5+AK5</f>
        <v>86087442.028182283</v>
      </c>
      <c r="AM5" s="269"/>
      <c r="AN5" s="269">
        <f ca="1">SUMIF('GS 1k-4,999 Normalized Monthly'!$B:$B,X5,'GS 1k-4,999 Normalized Monthly'!$O:$O)</f>
        <v>87589347.681368038</v>
      </c>
      <c r="AO5" s="269">
        <f>AK5</f>
        <v>4825418.41</v>
      </c>
      <c r="AP5" s="269">
        <f ca="1">AN5-AO5</f>
        <v>82763929.271368042</v>
      </c>
      <c r="AQ5" s="269"/>
      <c r="AR5" s="269">
        <f ca="1">AP5+AQ5</f>
        <v>82763929.271368042</v>
      </c>
      <c r="AT5" s="267">
        <v>2015</v>
      </c>
      <c r="AU5" s="269">
        <f>SUMIF('Monthly Data'!$B:$B,AT5,'Monthly Data'!V:V)</f>
        <v>41948975.999999993</v>
      </c>
      <c r="AV5" s="269">
        <f>SUMIF('Monthly Data'!$B:$B,AT5,'Monthly Data'!W:W)</f>
        <v>0</v>
      </c>
      <c r="AW5" s="269">
        <f t="shared" ref="AW5:AW14" si="12">AU5+AV5</f>
        <v>41948975.999999993</v>
      </c>
      <c r="AX5" s="269"/>
      <c r="AY5" s="269">
        <f ca="1">SUMIF('Large Use Normalized Monthly'!$B:$B,AT5,'Large Use Normalized Monthly'!$U:$U)</f>
        <v>39273931.115661256</v>
      </c>
      <c r="AZ5" s="269">
        <f>AV5</f>
        <v>0</v>
      </c>
      <c r="BA5" s="269">
        <f ca="1">AY5-AZ5</f>
        <v>39273931.115661256</v>
      </c>
      <c r="BB5" s="269"/>
      <c r="BC5" s="269">
        <f ca="1">BA5+BB5</f>
        <v>39273931.115661256</v>
      </c>
      <c r="BE5" s="267">
        <v>2015</v>
      </c>
      <c r="BF5" s="269">
        <f>SUMIF('Monthly Data'!$B:$B,BE5,'Monthly Data'!AA:AA)</f>
        <v>9200437</v>
      </c>
      <c r="BG5" s="269">
        <f>'Customer Count'!W4</f>
        <v>12676.166666666666</v>
      </c>
      <c r="BH5" s="269">
        <f t="shared" ref="BH5:BH13" si="13">BF5/BG5</f>
        <v>725.80593502241743</v>
      </c>
      <c r="BI5" s="269">
        <f t="shared" ref="BI5:BI16" si="14">BH5*BG5</f>
        <v>9200437</v>
      </c>
      <c r="BK5" s="267">
        <v>2015</v>
      </c>
      <c r="BL5" s="269">
        <f>SUMIF('Monthly Data'!$B:$B,BK5,'Monthly Data'!AD:AD)</f>
        <v>27388.346366584021</v>
      </c>
      <c r="BM5" s="269">
        <f>'Customer Count'!AA4</f>
        <v>25</v>
      </c>
      <c r="BN5" s="269">
        <f t="shared" ref="BN5:BN14" si="15">BL5/BM5</f>
        <v>1095.5338546633609</v>
      </c>
      <c r="BO5" s="269">
        <f t="shared" ref="BO5:BO16" si="16">BN5*BM5</f>
        <v>27388.346366584021</v>
      </c>
      <c r="BQ5" s="267">
        <v>2015</v>
      </c>
      <c r="BR5" s="269">
        <f>SUMIF('Monthly Data'!$B:$B,BQ5,'Monthly Data'!AG:AG)</f>
        <v>2509347</v>
      </c>
      <c r="BS5" s="269">
        <f>'Customer Count'!AE4</f>
        <v>257.83333333333331</v>
      </c>
      <c r="BT5" s="269">
        <f t="shared" ref="BT5:BT14" si="17">BR5/BS5</f>
        <v>9732.4382676147397</v>
      </c>
      <c r="BU5" s="269">
        <f t="shared" ref="BU5:BU16" si="18">BT5*BS5</f>
        <v>2509347</v>
      </c>
    </row>
    <row r="6" spans="2:77" x14ac:dyDescent="0.25">
      <c r="B6" s="267">
        <f t="shared" ref="B6:B14" si="19">B5+1</f>
        <v>2016</v>
      </c>
      <c r="C6" s="269">
        <f>SUMIF('Monthly Data'!$B:$B,B6,'Monthly Data'!D:D)</f>
        <v>477527824.00000006</v>
      </c>
      <c r="D6" s="269">
        <f>SUMIF('Monthly Data'!$B:$B,B6,'Monthly Data'!E:E)</f>
        <v>8129504.5</v>
      </c>
      <c r="E6" s="269">
        <f t="shared" si="0"/>
        <v>485657328.50000006</v>
      </c>
      <c r="F6" s="269"/>
      <c r="G6" s="269">
        <f ca="1">SUMIF('Res Normalized Monthly'!$B:$B,B6,'Res Normalized Monthly'!$O:$O)</f>
        <v>483035522.81232715</v>
      </c>
      <c r="H6" s="269">
        <f t="shared" si="1"/>
        <v>8129504.5</v>
      </c>
      <c r="I6" s="269">
        <f t="shared" ca="1" si="2"/>
        <v>474906018.31232715</v>
      </c>
      <c r="J6" s="269"/>
      <c r="K6" s="269">
        <f t="shared" ca="1" si="3"/>
        <v>474906018.31232715</v>
      </c>
      <c r="M6" s="267">
        <f t="shared" ref="M6:M14" si="20">M5+1</f>
        <v>2016</v>
      </c>
      <c r="N6" s="269">
        <f>SUMIF('Monthly Data'!$B:$B,M6,'Monthly Data'!H:H)</f>
        <v>131950149.00000001</v>
      </c>
      <c r="O6" s="269">
        <f>SUMIF('Monthly Data'!$B:$B,M6,'Monthly Data'!I:I)</f>
        <v>2242271.165</v>
      </c>
      <c r="P6" s="269">
        <f t="shared" si="4"/>
        <v>134192420.16500002</v>
      </c>
      <c r="Q6" s="269"/>
      <c r="R6" s="269">
        <f ca="1">SUMIF('GS&lt;50 Normalized Monthly'!$B:$B,M6,'GS&lt;50 Normalized Monthly'!Q:$Q)</f>
        <v>133887427.07799986</v>
      </c>
      <c r="S6" s="269">
        <f t="shared" si="5"/>
        <v>2242271.165</v>
      </c>
      <c r="T6" s="269">
        <f t="shared" ref="T6:T16" ca="1" si="21">R6-S6</f>
        <v>131645155.91299985</v>
      </c>
      <c r="U6" s="269"/>
      <c r="V6" s="269">
        <f t="shared" ca="1" si="6"/>
        <v>131645155.91299985</v>
      </c>
      <c r="X6" s="267">
        <f t="shared" ref="X6:X14" si="22">X5+1</f>
        <v>2016</v>
      </c>
      <c r="Y6" s="269">
        <f>SUMIF('Monthly Data'!$B:$B,X6,'Monthly Data'!L:L)</f>
        <v>336135880.18643844</v>
      </c>
      <c r="Z6" s="269">
        <f>SUMIF('Monthly Data'!$B:$B,X6,'Monthly Data'!M:M)</f>
        <v>2246980.33</v>
      </c>
      <c r="AA6" s="269">
        <f t="shared" si="7"/>
        <v>338382860.51643842</v>
      </c>
      <c r="AB6" s="269"/>
      <c r="AC6" s="269">
        <f ca="1">SUMIF('GS 50-999 Normalized Monthly'!$B:$B,X6,'GS 50-999 Normalized Monthly'!$Q:$Q)</f>
        <v>333481541.03928602</v>
      </c>
      <c r="AD6" s="269">
        <f t="shared" si="8"/>
        <v>2246980.33</v>
      </c>
      <c r="AE6" s="269">
        <f t="shared" ca="1" si="9"/>
        <v>331234560.70928603</v>
      </c>
      <c r="AF6" s="269"/>
      <c r="AG6" s="269">
        <f t="shared" ca="1" si="10"/>
        <v>331234560.70928603</v>
      </c>
      <c r="AI6" s="267">
        <f t="shared" ref="AI6:AI16" si="23">AI5+1</f>
        <v>2016</v>
      </c>
      <c r="AJ6" s="269">
        <f>SUMIF('Monthly Data'!$B:$B,AI6,'Monthly Data'!Q:Q)</f>
        <v>84479483.913561568</v>
      </c>
      <c r="AK6" s="269">
        <f>SUMIF('Monthly Data'!$B:$B,AI6,'Monthly Data'!R:R)</f>
        <v>9958131.004999999</v>
      </c>
      <c r="AL6" s="269">
        <f t="shared" si="11"/>
        <v>94437614.918561563</v>
      </c>
      <c r="AM6" s="269"/>
      <c r="AN6" s="269">
        <f ca="1">SUMIF('GS 1k-4,999 Normalized Monthly'!$B:$B,X6,'GS 1k-4,999 Normalized Monthly'!$O:$O)</f>
        <v>90087170.517099351</v>
      </c>
      <c r="AO6" s="269">
        <f t="shared" ref="AO6:AO14" si="24">AK6</f>
        <v>9958131.004999999</v>
      </c>
      <c r="AP6" s="269">
        <f t="shared" ref="AP6:AP16" ca="1" si="25">AN6-AO6</f>
        <v>80129039.512099355</v>
      </c>
      <c r="AQ6" s="269"/>
      <c r="AR6" s="269">
        <f t="shared" ref="AR6:AR16" ca="1" si="26">AP6+AQ6</f>
        <v>80129039.512099355</v>
      </c>
      <c r="AT6" s="267">
        <f t="shared" ref="AT6:AT16" si="27">AT5+1</f>
        <v>2016</v>
      </c>
      <c r="AU6" s="269">
        <f>SUMIF('Monthly Data'!$B:$B,AT6,'Monthly Data'!V:V)</f>
        <v>41438245.999999993</v>
      </c>
      <c r="AV6" s="269">
        <f>SUMIF('Monthly Data'!$B:$B,AT6,'Monthly Data'!W:W)</f>
        <v>0</v>
      </c>
      <c r="AW6" s="269">
        <f t="shared" si="12"/>
        <v>41438245.999999993</v>
      </c>
      <c r="AX6" s="269"/>
      <c r="AY6" s="269">
        <f ca="1">SUMIF('Large Use Normalized Monthly'!$B:$B,AT6,'Large Use Normalized Monthly'!$U:$U)</f>
        <v>39271689.680394858</v>
      </c>
      <c r="AZ6" s="269">
        <f t="shared" ref="AZ6:AZ14" si="28">AV6</f>
        <v>0</v>
      </c>
      <c r="BA6" s="269">
        <f t="shared" ref="BA6:BA16" ca="1" si="29">AY6-AZ6</f>
        <v>39271689.680394858</v>
      </c>
      <c r="BB6" s="269"/>
      <c r="BC6" s="269">
        <f t="shared" ref="BC6:BC16" ca="1" si="30">BA6+BB6</f>
        <v>39271689.680394858</v>
      </c>
      <c r="BE6" s="267">
        <f t="shared" ref="BE6:BE14" si="31">BE5+1</f>
        <v>2016</v>
      </c>
      <c r="BF6" s="269">
        <f>SUMIF('Monthly Data'!$B:$B,BE6,'Monthly Data'!AA:AA)</f>
        <v>9395991</v>
      </c>
      <c r="BG6" s="269">
        <f>'Customer Count'!W5</f>
        <v>12955.333333333334</v>
      </c>
      <c r="BH6" s="269">
        <f t="shared" si="13"/>
        <v>725.26045901301904</v>
      </c>
      <c r="BI6" s="269">
        <f t="shared" si="14"/>
        <v>9395991</v>
      </c>
      <c r="BK6" s="267">
        <f t="shared" ref="BK6:BK16" si="32">BK5+1</f>
        <v>2016</v>
      </c>
      <c r="BL6" s="269">
        <f>SUMIF('Monthly Data'!$B:$B,BK6,'Monthly Data'!AD:AD)</f>
        <v>25737.974442113293</v>
      </c>
      <c r="BM6" s="269">
        <f>'Customer Count'!AA5</f>
        <v>23</v>
      </c>
      <c r="BN6" s="269">
        <f t="shared" si="15"/>
        <v>1119.042367048404</v>
      </c>
      <c r="BO6" s="269">
        <f t="shared" si="16"/>
        <v>25737.974442113293</v>
      </c>
      <c r="BQ6" s="267">
        <f t="shared" ref="BQ6:BQ14" si="33">BQ5+1</f>
        <v>2016</v>
      </c>
      <c r="BR6" s="269">
        <f>SUMIF('Monthly Data'!$B:$B,BQ6,'Monthly Data'!AG:AG)</f>
        <v>2501224</v>
      </c>
      <c r="BS6" s="269">
        <f>'Customer Count'!AE5</f>
        <v>246.25</v>
      </c>
      <c r="BT6" s="269">
        <f t="shared" si="17"/>
        <v>10157.254822335026</v>
      </c>
      <c r="BU6" s="269">
        <f t="shared" si="18"/>
        <v>2501224</v>
      </c>
    </row>
    <row r="7" spans="2:77" x14ac:dyDescent="0.25">
      <c r="B7" s="267">
        <f t="shared" si="19"/>
        <v>2017</v>
      </c>
      <c r="C7" s="269">
        <f>SUMIF('Monthly Data'!$B:$B,B7,'Monthly Data'!D:D)</f>
        <v>464513659.08580053</v>
      </c>
      <c r="D7" s="269">
        <f>SUMIF('Monthly Data'!$B:$B,B7,'Monthly Data'!E:E)</f>
        <v>21218883.500000004</v>
      </c>
      <c r="E7" s="269">
        <f t="shared" si="0"/>
        <v>485732542.58580053</v>
      </c>
      <c r="F7" s="269"/>
      <c r="G7" s="269">
        <f ca="1">SUMIF('Res Normalized Monthly'!$B:$B,B7,'Res Normalized Monthly'!$O:$O)</f>
        <v>492228985.45126373</v>
      </c>
      <c r="H7" s="269">
        <f t="shared" si="1"/>
        <v>21218883.500000004</v>
      </c>
      <c r="I7" s="269">
        <f t="shared" ca="1" si="2"/>
        <v>471010101.95126373</v>
      </c>
      <c r="J7" s="269"/>
      <c r="K7" s="269">
        <f t="shared" ca="1" si="3"/>
        <v>471010101.95126373</v>
      </c>
      <c r="M7" s="267">
        <f t="shared" si="20"/>
        <v>2017</v>
      </c>
      <c r="N7" s="269">
        <f>SUMIF('Monthly Data'!$B:$B,M7,'Monthly Data'!H:H)</f>
        <v>128640162</v>
      </c>
      <c r="O7" s="269">
        <f>SUMIF('Monthly Data'!$B:$B,M7,'Monthly Data'!I:I)</f>
        <v>4711924.9122964684</v>
      </c>
      <c r="P7" s="269">
        <f t="shared" si="4"/>
        <v>133352086.91229647</v>
      </c>
      <c r="Q7" s="269"/>
      <c r="R7" s="269">
        <f ca="1">SUMIF('GS&lt;50 Normalized Monthly'!$B:$B,M7,'GS&lt;50 Normalized Monthly'!Q:$Q)</f>
        <v>133840955.4754509</v>
      </c>
      <c r="S7" s="269">
        <f t="shared" si="5"/>
        <v>4711924.9122964684</v>
      </c>
      <c r="T7" s="269">
        <f t="shared" ca="1" si="21"/>
        <v>129129030.56315443</v>
      </c>
      <c r="U7" s="269"/>
      <c r="V7" s="269">
        <f t="shared" ca="1" si="6"/>
        <v>129129030.56315443</v>
      </c>
      <c r="X7" s="267">
        <f t="shared" si="22"/>
        <v>2017</v>
      </c>
      <c r="Y7" s="269">
        <f>SUMIF('Monthly Data'!$B:$B,X7,'Monthly Data'!L:L)</f>
        <v>344049960.45204061</v>
      </c>
      <c r="Z7" s="269">
        <f>SUMIF('Monthly Data'!$B:$B,X7,'Monthly Data'!M:M)</f>
        <v>4819230.9586269651</v>
      </c>
      <c r="AA7" s="269">
        <f t="shared" si="7"/>
        <v>348869191.4106676</v>
      </c>
      <c r="AB7" s="269"/>
      <c r="AC7" s="269">
        <f ca="1">SUMIF('GS 50-999 Normalized Monthly'!$B:$B,X7,'GS 50-999 Normalized Monthly'!$Q:$Q)</f>
        <v>334474007.42960167</v>
      </c>
      <c r="AD7" s="269">
        <f t="shared" si="8"/>
        <v>4819230.9586269651</v>
      </c>
      <c r="AE7" s="269">
        <f t="shared" ca="1" si="9"/>
        <v>329654776.47097468</v>
      </c>
      <c r="AF7" s="269"/>
      <c r="AG7" s="269">
        <f t="shared" ca="1" si="10"/>
        <v>329654776.47097468</v>
      </c>
      <c r="AI7" s="267">
        <f t="shared" si="23"/>
        <v>2017</v>
      </c>
      <c r="AJ7" s="269">
        <f>SUMIF('Monthly Data'!$B:$B,AI7,'Monthly Data'!Q:Q)</f>
        <v>82458080.47410427</v>
      </c>
      <c r="AK7" s="269">
        <f>SUMIF('Monthly Data'!$B:$B,AI7,'Monthly Data'!R:R)</f>
        <v>10265409.998426484</v>
      </c>
      <c r="AL7" s="269">
        <f t="shared" si="11"/>
        <v>92723490.472530752</v>
      </c>
      <c r="AM7" s="269"/>
      <c r="AN7" s="269">
        <f ca="1">SUMIF('GS 1k-4,999 Normalized Monthly'!$B:$B,X7,'GS 1k-4,999 Normalized Monthly'!$O:$O)</f>
        <v>89743128.136980996</v>
      </c>
      <c r="AO7" s="269">
        <f t="shared" si="24"/>
        <v>10265409.998426484</v>
      </c>
      <c r="AP7" s="269">
        <f t="shared" ca="1" si="25"/>
        <v>79477718.138554513</v>
      </c>
      <c r="AQ7" s="269"/>
      <c r="AR7" s="269">
        <f t="shared" ca="1" si="26"/>
        <v>79477718.138554513</v>
      </c>
      <c r="AT7" s="267">
        <f t="shared" si="27"/>
        <v>2017</v>
      </c>
      <c r="AU7" s="269">
        <f>SUMIF('Monthly Data'!$B:$B,AT7,'Monthly Data'!V:V)</f>
        <v>37536243</v>
      </c>
      <c r="AV7" s="269">
        <f>SUMIF('Monthly Data'!$B:$B,AT7,'Monthly Data'!W:W)</f>
        <v>139443.67499999999</v>
      </c>
      <c r="AW7" s="269">
        <f t="shared" si="12"/>
        <v>37675686.674999997</v>
      </c>
      <c r="AX7" s="269"/>
      <c r="AY7" s="269">
        <f ca="1">SUMIF('Large Use Normalized Monthly'!$B:$B,AT7,'Large Use Normalized Monthly'!$U:$U)</f>
        <v>39316741.286567882</v>
      </c>
      <c r="AZ7" s="269">
        <f t="shared" si="28"/>
        <v>139443.67499999999</v>
      </c>
      <c r="BA7" s="269">
        <f t="shared" ca="1" si="29"/>
        <v>39177297.611567885</v>
      </c>
      <c r="BB7" s="269"/>
      <c r="BC7" s="269">
        <f t="shared" ca="1" si="30"/>
        <v>39177297.611567885</v>
      </c>
      <c r="BE7" s="267">
        <f t="shared" si="31"/>
        <v>2017</v>
      </c>
      <c r="BF7" s="269">
        <f>SUMIF('Monthly Data'!$B:$B,BE7,'Monthly Data'!AA:AA)</f>
        <v>4988073.9999999991</v>
      </c>
      <c r="BG7" s="269">
        <f>'Customer Count'!W6</f>
        <v>13171.25</v>
      </c>
      <c r="BH7" s="269">
        <f t="shared" si="13"/>
        <v>378.70923412736067</v>
      </c>
      <c r="BI7" s="269">
        <f t="shared" si="14"/>
        <v>4988073.9999999991</v>
      </c>
      <c r="BK7" s="267">
        <f t="shared" si="32"/>
        <v>2017</v>
      </c>
      <c r="BL7" s="269">
        <f>SUMIF('Monthly Data'!$B:$B,BK7,'Monthly Data'!AD:AD)</f>
        <v>25667.652107572001</v>
      </c>
      <c r="BM7" s="269">
        <f>'Customer Count'!AA6</f>
        <v>23</v>
      </c>
      <c r="BN7" s="269">
        <f t="shared" si="15"/>
        <v>1115.984874242261</v>
      </c>
      <c r="BO7" s="269">
        <f t="shared" si="16"/>
        <v>25667.652107572001</v>
      </c>
      <c r="BQ7" s="267">
        <f t="shared" si="33"/>
        <v>2017</v>
      </c>
      <c r="BR7" s="269">
        <f>SUMIF('Monthly Data'!$B:$B,BQ7,'Monthly Data'!AG:AG)</f>
        <v>2510071</v>
      </c>
      <c r="BS7" s="269">
        <f>'Customer Count'!AE6</f>
        <v>246.08333333333334</v>
      </c>
      <c r="BT7" s="269">
        <f t="shared" si="17"/>
        <v>10200.085336945478</v>
      </c>
      <c r="BU7" s="269">
        <f t="shared" si="18"/>
        <v>2510071</v>
      </c>
    </row>
    <row r="8" spans="2:77" x14ac:dyDescent="0.25">
      <c r="B8" s="267">
        <f t="shared" si="19"/>
        <v>2018</v>
      </c>
      <c r="C8" s="269">
        <f>SUMIF('Monthly Data'!$B:$B,B8,'Monthly Data'!D:D)</f>
        <v>483410781.91419953</v>
      </c>
      <c r="D8" s="269">
        <f>SUMIF('Monthly Data'!$B:$B,B8,'Monthly Data'!E:E)</f>
        <v>27652754.856041782</v>
      </c>
      <c r="E8" s="269">
        <f t="shared" si="0"/>
        <v>511063536.77024132</v>
      </c>
      <c r="F8" s="8"/>
      <c r="G8" s="269">
        <f ca="1">SUMIF('Res Normalized Monthly'!$B:$B,B8,'Res Normalized Monthly'!$O:$O)</f>
        <v>501422448.0902003</v>
      </c>
      <c r="H8" s="269">
        <f t="shared" si="1"/>
        <v>27652754.856041782</v>
      </c>
      <c r="I8" s="269">
        <f t="shared" ca="1" si="2"/>
        <v>473769693.23415852</v>
      </c>
      <c r="J8" s="269"/>
      <c r="K8" s="269">
        <f t="shared" ca="1" si="3"/>
        <v>473769693.23415852</v>
      </c>
      <c r="M8" s="267">
        <f t="shared" si="20"/>
        <v>2018</v>
      </c>
      <c r="N8" s="269">
        <f>SUMIF('Monthly Data'!$B:$B,M8,'Monthly Data'!H:H)</f>
        <v>134207593</v>
      </c>
      <c r="O8" s="269">
        <f>SUMIF('Monthly Data'!$B:$B,M8,'Monthly Data'!I:I)</f>
        <v>6398722.2314855205</v>
      </c>
      <c r="P8" s="269">
        <f t="shared" si="4"/>
        <v>140606315.23148552</v>
      </c>
      <c r="Q8" s="8"/>
      <c r="R8" s="269">
        <f ca="1">SUMIF('GS&lt;50 Normalized Monthly'!$B:$B,M8,'GS&lt;50 Normalized Monthly'!Q:$Q)</f>
        <v>134526318.93086892</v>
      </c>
      <c r="S8" s="269">
        <f t="shared" si="5"/>
        <v>6398722.2314855205</v>
      </c>
      <c r="T8" s="269">
        <f t="shared" ca="1" si="21"/>
        <v>128127596.69938341</v>
      </c>
      <c r="U8" s="269"/>
      <c r="V8" s="269">
        <f t="shared" ca="1" si="6"/>
        <v>128127596.69938341</v>
      </c>
      <c r="X8" s="267">
        <f t="shared" si="22"/>
        <v>2018</v>
      </c>
      <c r="Y8" s="269">
        <f>SUMIF('Monthly Data'!$B:$B,X8,'Monthly Data'!L:L)</f>
        <v>324633082.5551976</v>
      </c>
      <c r="Z8" s="269">
        <f>SUMIF('Monthly Data'!$B:$B,X8,'Monthly Data'!M:M)</f>
        <v>7226093.9416703666</v>
      </c>
      <c r="AA8" s="269">
        <f t="shared" si="7"/>
        <v>331859176.49686795</v>
      </c>
      <c r="AB8" s="8"/>
      <c r="AC8" s="269">
        <f ca="1">SUMIF('GS 50-999 Normalized Monthly'!$B:$B,X8,'GS 50-999 Normalized Monthly'!$Q:$Q)</f>
        <v>336632686.08250892</v>
      </c>
      <c r="AD8" s="269">
        <f t="shared" si="8"/>
        <v>7226093.9416703666</v>
      </c>
      <c r="AE8" s="269">
        <f t="shared" ca="1" si="9"/>
        <v>329406592.14083856</v>
      </c>
      <c r="AF8" s="269"/>
      <c r="AG8" s="269">
        <f t="shared" ca="1" si="10"/>
        <v>329406592.14083856</v>
      </c>
      <c r="AI8" s="267">
        <f t="shared" si="23"/>
        <v>2018</v>
      </c>
      <c r="AJ8" s="269">
        <f>SUMIF('Monthly Data'!$B:$B,AI8,'Monthly Data'!Q:Q)</f>
        <v>76765563.974827826</v>
      </c>
      <c r="AK8" s="269">
        <f>SUMIF('Monthly Data'!$B:$B,AI8,'Monthly Data'!R:R)</f>
        <v>10267066.018426483</v>
      </c>
      <c r="AL8" s="269">
        <f t="shared" si="11"/>
        <v>87032629.993254304</v>
      </c>
      <c r="AM8" s="269"/>
      <c r="AN8" s="269">
        <f ca="1">SUMIF('GS 1k-4,999 Normalized Monthly'!$B:$B,X8,'GS 1k-4,999 Normalized Monthly'!$O:$O)</f>
        <v>90820621.664634973</v>
      </c>
      <c r="AO8" s="269">
        <f t="shared" si="24"/>
        <v>10267066.018426483</v>
      </c>
      <c r="AP8" s="269">
        <f t="shared" ca="1" si="25"/>
        <v>80553555.646208495</v>
      </c>
      <c r="AQ8" s="269"/>
      <c r="AR8" s="269">
        <f t="shared" ca="1" si="26"/>
        <v>80553555.646208495</v>
      </c>
      <c r="AT8" s="267">
        <f t="shared" si="27"/>
        <v>2018</v>
      </c>
      <c r="AU8" s="269">
        <f>SUMIF('Monthly Data'!$B:$B,AT8,'Monthly Data'!V:V)</f>
        <v>44873420</v>
      </c>
      <c r="AV8" s="269">
        <f>SUMIF('Monthly Data'!$B:$B,AT8,'Monthly Data'!W:W)</f>
        <v>278914.11666666676</v>
      </c>
      <c r="AW8" s="269">
        <f t="shared" si="12"/>
        <v>45152334.116666667</v>
      </c>
      <c r="AX8" s="269"/>
      <c r="AY8" s="269">
        <f ca="1">SUMIF('Large Use Normalized Monthly'!$B:$B,AT8,'Large Use Normalized Monthly'!$U:$U)</f>
        <v>39329853.302264415</v>
      </c>
      <c r="AZ8" s="269">
        <f t="shared" si="28"/>
        <v>278914.11666666676</v>
      </c>
      <c r="BA8" s="269">
        <f t="shared" ca="1" si="29"/>
        <v>39050939.185597748</v>
      </c>
      <c r="BB8" s="269"/>
      <c r="BC8" s="269">
        <f t="shared" ca="1" si="30"/>
        <v>39050939.185597748</v>
      </c>
      <c r="BE8" s="267">
        <f t="shared" si="31"/>
        <v>2018</v>
      </c>
      <c r="BF8" s="269">
        <f>SUMIF('Monthly Data'!$B:$B,BE8,'Monthly Data'!AA:AA)</f>
        <v>4221567</v>
      </c>
      <c r="BG8" s="269">
        <f>'Customer Count'!W7</f>
        <v>13827.666666666666</v>
      </c>
      <c r="BH8" s="269">
        <f t="shared" si="13"/>
        <v>305.29858014126268</v>
      </c>
      <c r="BI8" s="269">
        <f t="shared" si="14"/>
        <v>4221567</v>
      </c>
      <c r="BK8" s="267">
        <f t="shared" si="32"/>
        <v>2018</v>
      </c>
      <c r="BL8" s="269">
        <f>SUMIF('Monthly Data'!$B:$B,BK8,'Monthly Data'!AD:AD)</f>
        <v>25647.396528704936</v>
      </c>
      <c r="BM8" s="269">
        <f>'Customer Count'!AA7</f>
        <v>23</v>
      </c>
      <c r="BN8" s="269">
        <f t="shared" si="15"/>
        <v>1115.1041969002147</v>
      </c>
      <c r="BO8" s="269">
        <f t="shared" si="16"/>
        <v>25647.396528704936</v>
      </c>
      <c r="BQ8" s="267">
        <f t="shared" si="33"/>
        <v>2018</v>
      </c>
      <c r="BR8" s="269">
        <f>SUMIF('Monthly Data'!$B:$B,BQ8,'Monthly Data'!AG:AG)</f>
        <v>2522886</v>
      </c>
      <c r="BS8" s="269">
        <f>'Customer Count'!AE7</f>
        <v>247.91666666666666</v>
      </c>
      <c r="BT8" s="269">
        <f t="shared" si="17"/>
        <v>10176.346890756304</v>
      </c>
      <c r="BU8" s="269">
        <f t="shared" si="18"/>
        <v>2522886</v>
      </c>
      <c r="BY8" s="240"/>
    </row>
    <row r="9" spans="2:77" x14ac:dyDescent="0.25">
      <c r="B9" s="267">
        <f t="shared" si="19"/>
        <v>2019</v>
      </c>
      <c r="C9" s="269">
        <f>SUMIF('Monthly Data'!$B:$B,B9,'Monthly Data'!D:D)</f>
        <v>482531157.99999994</v>
      </c>
      <c r="D9" s="269">
        <f>SUMIF('Monthly Data'!$B:$B,B9,'Monthly Data'!E:E)</f>
        <v>29232189.000000007</v>
      </c>
      <c r="E9" s="269">
        <f t="shared" si="0"/>
        <v>511763346.99999994</v>
      </c>
      <c r="F9" s="8"/>
      <c r="G9" s="269">
        <f ca="1">SUMIF('Res Normalized Monthly'!$B:$B,B9,'Res Normalized Monthly'!$O:$O)</f>
        <v>510615910.729137</v>
      </c>
      <c r="H9" s="269">
        <f t="shared" si="1"/>
        <v>29232189.000000007</v>
      </c>
      <c r="I9" s="269">
        <f t="shared" ca="1" si="2"/>
        <v>481383721.729137</v>
      </c>
      <c r="J9" s="269"/>
      <c r="K9" s="269">
        <f t="shared" ca="1" si="3"/>
        <v>481383721.729137</v>
      </c>
      <c r="M9" s="267">
        <f t="shared" si="20"/>
        <v>2019</v>
      </c>
      <c r="N9" s="269">
        <f>SUMIF('Monthly Data'!$B:$B,M9,'Monthly Data'!H:H)</f>
        <v>117191070.00000001</v>
      </c>
      <c r="O9" s="269">
        <f>SUMIF('Monthly Data'!$B:$B,M9,'Monthly Data'!I:I)</f>
        <v>6673753.7377930023</v>
      </c>
      <c r="P9" s="269">
        <f t="shared" si="4"/>
        <v>123864823.73779301</v>
      </c>
      <c r="Q9" s="8"/>
      <c r="R9" s="269">
        <f ca="1">SUMIF('GS&lt;50 Normalized Monthly'!$B:$B,M9,'GS&lt;50 Normalized Monthly'!Q:$Q)</f>
        <v>134443892.14558482</v>
      </c>
      <c r="S9" s="269">
        <f t="shared" si="5"/>
        <v>6673753.7377930023</v>
      </c>
      <c r="T9" s="269">
        <f t="shared" ca="1" si="21"/>
        <v>127770138.40779182</v>
      </c>
      <c r="U9" s="269"/>
      <c r="V9" s="269">
        <f t="shared" ca="1" si="6"/>
        <v>127770138.40779182</v>
      </c>
      <c r="X9" s="267">
        <f t="shared" si="22"/>
        <v>2019</v>
      </c>
      <c r="Y9" s="269">
        <f>SUMIF('Monthly Data'!$B:$B,X9,'Monthly Data'!L:L)</f>
        <v>328874818.72622365</v>
      </c>
      <c r="Z9" s="269">
        <f>SUMIF('Monthly Data'!$B:$B,X9,'Monthly Data'!M:M)</f>
        <v>7815669.4940469246</v>
      </c>
      <c r="AA9" s="269">
        <f t="shared" si="7"/>
        <v>336690488.22027057</v>
      </c>
      <c r="AB9" s="8"/>
      <c r="AC9" s="269">
        <f ca="1">SUMIF('GS 50-999 Normalized Monthly'!$B:$B,X9,'GS 50-999 Normalized Monthly'!$Q:$Q)</f>
        <v>338160627.02753115</v>
      </c>
      <c r="AD9" s="269">
        <f t="shared" si="8"/>
        <v>7815669.4940469246</v>
      </c>
      <c r="AE9" s="269">
        <f t="shared" ca="1" si="9"/>
        <v>330344957.53348422</v>
      </c>
      <c r="AF9" s="269"/>
      <c r="AG9" s="269">
        <f t="shared" ca="1" si="10"/>
        <v>330344957.53348422</v>
      </c>
      <c r="AI9" s="267">
        <f t="shared" si="23"/>
        <v>2019</v>
      </c>
      <c r="AJ9" s="269">
        <f>SUMIF('Monthly Data'!$B:$B,AI9,'Monthly Data'!Q:Q)</f>
        <v>76875274.273776412</v>
      </c>
      <c r="AK9" s="269">
        <f>SUMIF('Monthly Data'!$B:$B,AI9,'Monthly Data'!R:R)</f>
        <v>10267066.018426485</v>
      </c>
      <c r="AL9" s="269">
        <f t="shared" si="11"/>
        <v>87142340.29220289</v>
      </c>
      <c r="AM9" s="269"/>
      <c r="AN9" s="269">
        <f ca="1">SUMIF('GS 1k-4,999 Normalized Monthly'!$B:$B,X9,'GS 1k-4,999 Normalized Monthly'!$O:$O)</f>
        <v>90837514.060365275</v>
      </c>
      <c r="AO9" s="269">
        <f t="shared" si="24"/>
        <v>10267066.018426485</v>
      </c>
      <c r="AP9" s="269">
        <f t="shared" ca="1" si="25"/>
        <v>80570448.041938782</v>
      </c>
      <c r="AQ9" s="269"/>
      <c r="AR9" s="269">
        <f t="shared" ca="1" si="26"/>
        <v>80570448.041938782</v>
      </c>
      <c r="AT9" s="267">
        <f t="shared" si="27"/>
        <v>2019</v>
      </c>
      <c r="AU9" s="269">
        <f>SUMIF('Monthly Data'!$B:$B,AT9,'Monthly Data'!V:V)</f>
        <v>38878938</v>
      </c>
      <c r="AV9" s="269">
        <f>SUMIF('Monthly Data'!$B:$B,AT9,'Monthly Data'!W:W)</f>
        <v>278694.2333333334</v>
      </c>
      <c r="AW9" s="269">
        <f t="shared" si="12"/>
        <v>39157632.233333334</v>
      </c>
      <c r="AX9" s="269"/>
      <c r="AY9" s="269">
        <f ca="1">SUMIF('Large Use Normalized Monthly'!$B:$B,AT9,'Large Use Normalized Monthly'!$U:$U)</f>
        <v>39227659.27299428</v>
      </c>
      <c r="AZ9" s="269">
        <f t="shared" si="28"/>
        <v>278694.2333333334</v>
      </c>
      <c r="BA9" s="269">
        <f t="shared" ca="1" si="29"/>
        <v>38948965.039660946</v>
      </c>
      <c r="BB9" s="269"/>
      <c r="BC9" s="269">
        <f t="shared" ca="1" si="30"/>
        <v>38948965.039660946</v>
      </c>
      <c r="BE9" s="267">
        <f t="shared" si="31"/>
        <v>2019</v>
      </c>
      <c r="BF9" s="269">
        <f>SUMIF('Monthly Data'!$B:$B,BE9,'Monthly Data'!AA:AA)</f>
        <v>4294351.9999999991</v>
      </c>
      <c r="BG9" s="269">
        <f>'Customer Count'!W8</f>
        <v>13934</v>
      </c>
      <c r="BH9" s="269">
        <f t="shared" si="13"/>
        <v>308.19233529496188</v>
      </c>
      <c r="BI9" s="269">
        <f t="shared" ref="BI9:BI14" si="34">BH9*BG9</f>
        <v>4294351.9999999991</v>
      </c>
      <c r="BK9" s="267">
        <f t="shared" si="32"/>
        <v>2019</v>
      </c>
      <c r="BL9" s="269">
        <f>SUMIF('Monthly Data'!$B:$B,BK9,'Monthly Data'!AD:AD)</f>
        <v>25815.827469006294</v>
      </c>
      <c r="BM9" s="269">
        <f>'Customer Count'!AA8</f>
        <v>19</v>
      </c>
      <c r="BN9" s="269">
        <f t="shared" si="15"/>
        <v>1358.7277615266471</v>
      </c>
      <c r="BO9" s="269">
        <f t="shared" si="16"/>
        <v>25815.827469006294</v>
      </c>
      <c r="BQ9" s="267">
        <f t="shared" si="33"/>
        <v>2019</v>
      </c>
      <c r="BR9" s="269">
        <f>SUMIF('Monthly Data'!$B:$B,BQ9,'Monthly Data'!AG:AG)</f>
        <v>2551978</v>
      </c>
      <c r="BS9" s="269">
        <f>'Customer Count'!AE8</f>
        <v>246.75</v>
      </c>
      <c r="BT9" s="269">
        <f t="shared" si="17"/>
        <v>10342.362715298885</v>
      </c>
      <c r="BU9" s="269">
        <f t="shared" si="18"/>
        <v>2551978</v>
      </c>
      <c r="BY9" s="240"/>
    </row>
    <row r="10" spans="2:77" x14ac:dyDescent="0.25">
      <c r="B10" s="267">
        <f t="shared" si="19"/>
        <v>2020</v>
      </c>
      <c r="C10" s="269">
        <f>SUMIF('Monthly Data'!$B:$B,B10,'Monthly Data'!D:D)</f>
        <v>515808015</v>
      </c>
      <c r="D10" s="269">
        <f>SUMIF('Monthly Data'!$B:$B,B10,'Monthly Data'!E:E)</f>
        <v>29230323.999999996</v>
      </c>
      <c r="E10" s="269">
        <f t="shared" si="0"/>
        <v>545038339</v>
      </c>
      <c r="F10" s="269"/>
      <c r="G10" s="269">
        <f ca="1">SUMIF('Res Normalized Monthly'!$B:$B,B10,'Res Normalized Monthly'!$O:$O)</f>
        <v>536226562.29113418</v>
      </c>
      <c r="H10" s="269">
        <f t="shared" si="1"/>
        <v>29230323.999999996</v>
      </c>
      <c r="I10" s="269">
        <f t="shared" ca="1" si="2"/>
        <v>506996238.29113418</v>
      </c>
      <c r="J10" s="269"/>
      <c r="K10" s="269">
        <f t="shared" ca="1" si="3"/>
        <v>506996238.29113418</v>
      </c>
      <c r="M10" s="267">
        <f t="shared" si="20"/>
        <v>2020</v>
      </c>
      <c r="N10" s="269">
        <f>SUMIF('Monthly Data'!$B:$B,M10,'Monthly Data'!H:H)</f>
        <v>115055107</v>
      </c>
      <c r="O10" s="269">
        <f>SUMIF('Monthly Data'!$B:$B,M10,'Monthly Data'!I:I)</f>
        <v>6585301.5072964681</v>
      </c>
      <c r="P10" s="269">
        <f t="shared" si="4"/>
        <v>121640408.50729647</v>
      </c>
      <c r="Q10" s="269"/>
      <c r="R10" s="269">
        <f ca="1">SUMIF('GS&lt;50 Normalized Monthly'!$B:$B,M10,'GS&lt;50 Normalized Monthly'!Q:$Q)</f>
        <v>125545712.95080134</v>
      </c>
      <c r="S10" s="269">
        <f t="shared" si="5"/>
        <v>6585301.5072964681</v>
      </c>
      <c r="T10" s="269">
        <f ca="1">R10-S10</f>
        <v>118960411.44350487</v>
      </c>
      <c r="U10" s="269"/>
      <c r="V10" s="269">
        <f t="shared" ca="1" si="6"/>
        <v>118960411.44350487</v>
      </c>
      <c r="X10" s="267">
        <f t="shared" si="22"/>
        <v>2020</v>
      </c>
      <c r="Y10" s="269">
        <f>SUMIF('Monthly Data'!$B:$B,X10,'Monthly Data'!L:L)</f>
        <v>304515885.12731272</v>
      </c>
      <c r="Z10" s="269">
        <f>SUMIF('Monthly Data'!$B:$B,X10,'Monthly Data'!M:M)</f>
        <v>7784984.8386269622</v>
      </c>
      <c r="AA10" s="269">
        <f t="shared" si="7"/>
        <v>312300869.9659397</v>
      </c>
      <c r="AB10" s="269"/>
      <c r="AC10" s="269">
        <f ca="1">SUMIF('GS 50-999 Normalized Monthly'!$B:$B,X10,'GS 50-999 Normalized Monthly'!$Q:$Q)</f>
        <v>318619167.53592741</v>
      </c>
      <c r="AD10" s="269">
        <f t="shared" si="8"/>
        <v>7784984.8386269622</v>
      </c>
      <c r="AE10" s="269">
        <f t="shared" ca="1" si="9"/>
        <v>310834182.69730043</v>
      </c>
      <c r="AF10" s="269"/>
      <c r="AG10" s="269">
        <f t="shared" ca="1" si="10"/>
        <v>310834182.69730043</v>
      </c>
      <c r="AI10" s="267">
        <f t="shared" si="23"/>
        <v>2020</v>
      </c>
      <c r="AJ10" s="269">
        <f>SUMIF('Monthly Data'!$B:$B,AI10,'Monthly Data'!Q:Q)</f>
        <v>70871831.87268728</v>
      </c>
      <c r="AK10" s="269">
        <f>SUMIF('Monthly Data'!$B:$B,AI10,'Monthly Data'!R:R)</f>
        <v>10266934.348426484</v>
      </c>
      <c r="AL10" s="269">
        <f t="shared" si="11"/>
        <v>81138766.221113771</v>
      </c>
      <c r="AM10" s="269"/>
      <c r="AN10" s="269">
        <f ca="1">SUMIF('GS 1k-4,999 Normalized Monthly'!$B:$B,X10,'GS 1k-4,999 Normalized Monthly'!$O:$O)</f>
        <v>81173833.144376099</v>
      </c>
      <c r="AO10" s="269">
        <f t="shared" si="24"/>
        <v>10266934.348426484</v>
      </c>
      <c r="AP10" s="269">
        <f t="shared" ca="1" si="25"/>
        <v>70906898.795949608</v>
      </c>
      <c r="AQ10" s="269"/>
      <c r="AR10" s="269">
        <f t="shared" ca="1" si="26"/>
        <v>70906898.795949608</v>
      </c>
      <c r="AT10" s="267">
        <f t="shared" si="27"/>
        <v>2020</v>
      </c>
      <c r="AU10" s="269">
        <f>SUMIF('Monthly Data'!$B:$B,AT10,'Monthly Data'!V:V)</f>
        <v>30798516</v>
      </c>
      <c r="AV10" s="269">
        <f>SUMIF('Monthly Data'!$B:$B,AT10,'Monthly Data'!W:W)</f>
        <v>278474.34999999998</v>
      </c>
      <c r="AW10" s="269">
        <f t="shared" si="12"/>
        <v>31076990.350000001</v>
      </c>
      <c r="AX10" s="269"/>
      <c r="AY10" s="269">
        <f ca="1">SUMIF('Large Use Normalized Monthly'!$B:$B,AT10,'Large Use Normalized Monthly'!$U:$U)</f>
        <v>34992381.728666171</v>
      </c>
      <c r="AZ10" s="269">
        <f t="shared" si="28"/>
        <v>278474.34999999998</v>
      </c>
      <c r="BA10" s="269">
        <f t="shared" ca="1" si="29"/>
        <v>34713907.37866617</v>
      </c>
      <c r="BB10" s="269"/>
      <c r="BC10" s="269">
        <f t="shared" ca="1" si="30"/>
        <v>34713907.37866617</v>
      </c>
      <c r="BE10" s="267">
        <f t="shared" si="31"/>
        <v>2020</v>
      </c>
      <c r="BF10" s="269">
        <f>SUMIF('Monthly Data'!$B:$B,BE10,'Monthly Data'!AA:AA)</f>
        <v>4357194.0000000009</v>
      </c>
      <c r="BG10" s="269">
        <f>'Customer Count'!W9</f>
        <v>13979.416666666666</v>
      </c>
      <c r="BH10" s="269">
        <f t="shared" si="13"/>
        <v>311.68639607041314</v>
      </c>
      <c r="BI10" s="269">
        <f t="shared" si="34"/>
        <v>4357194.0000000009</v>
      </c>
      <c r="BK10" s="267">
        <f t="shared" si="32"/>
        <v>2020</v>
      </c>
      <c r="BL10" s="269">
        <f>SUMIF('Monthly Data'!$B:$B,BK10,'Monthly Data'!AD:AD)</f>
        <v>26988.839999999997</v>
      </c>
      <c r="BM10" s="269">
        <f>'Customer Count'!AA9</f>
        <v>19</v>
      </c>
      <c r="BN10" s="269">
        <f t="shared" si="15"/>
        <v>1420.4652631578945</v>
      </c>
      <c r="BO10" s="269">
        <f t="shared" si="16"/>
        <v>26988.839999999997</v>
      </c>
      <c r="BQ10" s="267">
        <f t="shared" si="33"/>
        <v>2020</v>
      </c>
      <c r="BR10" s="269">
        <f>SUMIF('Monthly Data'!$B:$B,BQ10,'Monthly Data'!AG:AG)</f>
        <v>2565642</v>
      </c>
      <c r="BS10" s="269">
        <f>'Customer Count'!AE9</f>
        <v>253.16666666666666</v>
      </c>
      <c r="BT10" s="269">
        <f t="shared" si="17"/>
        <v>10134.201448321264</v>
      </c>
      <c r="BU10" s="269">
        <f t="shared" si="18"/>
        <v>2565642</v>
      </c>
      <c r="BY10" s="240"/>
    </row>
    <row r="11" spans="2:77" x14ac:dyDescent="0.25">
      <c r="B11" s="267">
        <f t="shared" si="19"/>
        <v>2021</v>
      </c>
      <c r="C11" s="269">
        <f>SUMIF('Monthly Data'!$B:$B,B11,'Monthly Data'!D:D)</f>
        <v>512708990.99999994</v>
      </c>
      <c r="D11" s="269">
        <f>SUMIF('Monthly Data'!$B:$B,B11,'Monthly Data'!E:E)</f>
        <v>29305871.934940301</v>
      </c>
      <c r="E11" s="269">
        <f t="shared" si="0"/>
        <v>542014862.93494022</v>
      </c>
      <c r="F11" s="8"/>
      <c r="G11" s="269">
        <f ca="1">SUMIF('Res Normalized Monthly'!$B:$B,B11,'Res Normalized Monthly'!$O:$O)</f>
        <v>542040485.32489407</v>
      </c>
      <c r="H11" s="269">
        <f t="shared" si="1"/>
        <v>29305871.934940301</v>
      </c>
      <c r="I11" s="269">
        <f t="shared" ca="1" si="2"/>
        <v>512734613.38995379</v>
      </c>
      <c r="J11" s="269"/>
      <c r="K11" s="269">
        <f t="shared" ca="1" si="3"/>
        <v>512734613.38995379</v>
      </c>
      <c r="M11" s="267">
        <f t="shared" si="20"/>
        <v>2021</v>
      </c>
      <c r="N11" s="269">
        <f>SUMIF('Monthly Data'!$B:$B,M11,'Monthly Data'!H:H)</f>
        <v>119245755.00000001</v>
      </c>
      <c r="O11" s="269">
        <f>SUMIF('Monthly Data'!$B:$B,M11,'Monthly Data'!I:I)</f>
        <v>6723203.5239578728</v>
      </c>
      <c r="P11" s="269">
        <f t="shared" si="4"/>
        <v>125968958.52395789</v>
      </c>
      <c r="Q11" s="8"/>
      <c r="R11" s="269">
        <f ca="1">SUMIF('GS&lt;50 Normalized Monthly'!$B:$B,M11,'GS&lt;50 Normalized Monthly'!Q:$Q)</f>
        <v>126364722.59373572</v>
      </c>
      <c r="S11" s="269">
        <f t="shared" si="5"/>
        <v>6723203.5239578728</v>
      </c>
      <c r="T11" s="269">
        <f ca="1">R11-S11</f>
        <v>119641519.06977785</v>
      </c>
      <c r="U11" s="269"/>
      <c r="V11" s="269">
        <f t="shared" ca="1" si="6"/>
        <v>119641519.06977785</v>
      </c>
      <c r="X11" s="267">
        <f t="shared" si="22"/>
        <v>2021</v>
      </c>
      <c r="Y11" s="269">
        <f>SUMIF('Monthly Data'!$B:$B,X11,'Monthly Data'!L:L)</f>
        <v>310470030.40933514</v>
      </c>
      <c r="Z11" s="269">
        <f>SUMIF('Monthly Data'!$B:$B,X11,'Monthly Data'!M:M)</f>
        <v>8419069.7081180345</v>
      </c>
      <c r="AA11" s="269">
        <f t="shared" si="7"/>
        <v>318889100.11745316</v>
      </c>
      <c r="AB11" s="8"/>
      <c r="AC11" s="269">
        <f ca="1">SUMIF('GS 50-999 Normalized Monthly'!$B:$B,X11,'GS 50-999 Normalized Monthly'!$Q:$Q)</f>
        <v>321922566.29352939</v>
      </c>
      <c r="AD11" s="269">
        <f t="shared" si="8"/>
        <v>8419069.7081180345</v>
      </c>
      <c r="AE11" s="269">
        <f t="shared" ca="1" si="9"/>
        <v>313503496.58541137</v>
      </c>
      <c r="AF11" s="269"/>
      <c r="AG11" s="269">
        <f t="shared" ca="1" si="10"/>
        <v>313503496.58541137</v>
      </c>
      <c r="AI11" s="267">
        <f t="shared" si="23"/>
        <v>2021</v>
      </c>
      <c r="AJ11" s="269">
        <f>SUMIF('Monthly Data'!$B:$B,AI11,'Monthly Data'!Q:Q)</f>
        <v>70260671.590664953</v>
      </c>
      <c r="AK11" s="269">
        <f>SUMIF('Monthly Data'!$B:$B,AI11,'Monthly Data'!R:R)</f>
        <v>10384797.871148594</v>
      </c>
      <c r="AL11" s="269">
        <f t="shared" si="11"/>
        <v>80645469.461813539</v>
      </c>
      <c r="AM11" s="269"/>
      <c r="AN11" s="269">
        <f ca="1">SUMIF('GS 1k-4,999 Normalized Monthly'!$B:$B,X11,'GS 1k-4,999 Normalized Monthly'!$O:$O)</f>
        <v>81795070.520274743</v>
      </c>
      <c r="AO11" s="269">
        <f t="shared" si="24"/>
        <v>10384797.871148594</v>
      </c>
      <c r="AP11" s="269">
        <f t="shared" ca="1" si="25"/>
        <v>71410272.649126142</v>
      </c>
      <c r="AQ11" s="269"/>
      <c r="AR11" s="269">
        <f t="shared" ca="1" si="26"/>
        <v>71410272.649126142</v>
      </c>
      <c r="AT11" s="267">
        <f t="shared" si="27"/>
        <v>2021</v>
      </c>
      <c r="AU11" s="269">
        <f>SUMIF('Monthly Data'!$B:$B,AT11,'Monthly Data'!V:V)</f>
        <v>36146632</v>
      </c>
      <c r="AV11" s="269">
        <f>SUMIF('Monthly Data'!$B:$B,AT11,'Monthly Data'!W:W)</f>
        <v>314471.08306896273</v>
      </c>
      <c r="AW11" s="269">
        <f t="shared" si="12"/>
        <v>36461103.083068959</v>
      </c>
      <c r="AX11" s="269"/>
      <c r="AY11" s="269">
        <f ca="1">SUMIF('Large Use Normalized Monthly'!$B:$B,AT11,'Large Use Normalized Monthly'!$U:$U)</f>
        <v>35283728.790175959</v>
      </c>
      <c r="AZ11" s="269">
        <f t="shared" si="28"/>
        <v>314471.08306896273</v>
      </c>
      <c r="BA11" s="269">
        <f t="shared" ca="1" si="29"/>
        <v>34969257.707107</v>
      </c>
      <c r="BB11" s="269"/>
      <c r="BC11" s="269">
        <f t="shared" ca="1" si="30"/>
        <v>34969257.707107</v>
      </c>
      <c r="BE11" s="267">
        <f t="shared" si="31"/>
        <v>2021</v>
      </c>
      <c r="BF11" s="269">
        <f>SUMIF('Monthly Data'!$B:$B,BE11,'Monthly Data'!AA:AA)</f>
        <v>4352366.9999999981</v>
      </c>
      <c r="BG11" s="269">
        <f>'Customer Count'!W10</f>
        <v>14037.833333333334</v>
      </c>
      <c r="BH11" s="269">
        <f t="shared" si="13"/>
        <v>310.0454960998253</v>
      </c>
      <c r="BI11" s="269">
        <f t="shared" si="34"/>
        <v>4352366.9999999981</v>
      </c>
      <c r="BK11" s="267">
        <f t="shared" si="32"/>
        <v>2021</v>
      </c>
      <c r="BL11" s="269">
        <f>SUMIF('Monthly Data'!$B:$B,BK11,'Monthly Data'!AD:AD)</f>
        <v>26915.1</v>
      </c>
      <c r="BM11" s="269">
        <f>'Customer Count'!AA10</f>
        <v>19</v>
      </c>
      <c r="BN11" s="269">
        <f t="shared" si="15"/>
        <v>1416.5842105263157</v>
      </c>
      <c r="BO11" s="269">
        <f t="shared" si="16"/>
        <v>26915.1</v>
      </c>
      <c r="BQ11" s="267">
        <f t="shared" si="33"/>
        <v>2021</v>
      </c>
      <c r="BR11" s="269">
        <f>SUMIF('Monthly Data'!$B:$B,BQ11,'Monthly Data'!AG:AG)</f>
        <v>2615361</v>
      </c>
      <c r="BS11" s="269">
        <f>'Customer Count'!AE10</f>
        <v>251.41666666666666</v>
      </c>
      <c r="BT11" s="269">
        <f t="shared" si="17"/>
        <v>10402.496519721579</v>
      </c>
      <c r="BU11" s="269">
        <f t="shared" si="18"/>
        <v>2615361</v>
      </c>
      <c r="BY11" s="240"/>
    </row>
    <row r="12" spans="2:77" x14ac:dyDescent="0.25">
      <c r="B12" s="267">
        <f t="shared" si="19"/>
        <v>2022</v>
      </c>
      <c r="C12" s="269">
        <f>SUMIF('Monthly Data'!$B:$B,B12,'Monthly Data'!D:D)</f>
        <v>507634502.00000006</v>
      </c>
      <c r="D12" s="269">
        <f>SUMIF('Monthly Data'!$B:$B,B12,'Monthly Data'!E:E)</f>
        <v>29517005.58162735</v>
      </c>
      <c r="E12" s="269">
        <f t="shared" si="0"/>
        <v>537151507.58162737</v>
      </c>
      <c r="F12" s="8"/>
      <c r="G12" s="269">
        <f ca="1">SUMIF('Res Normalized Monthly'!$B:$B,B12,'Res Normalized Monthly'!$O:$O)</f>
        <v>545963146.00522375</v>
      </c>
      <c r="H12" s="269">
        <f t="shared" si="1"/>
        <v>29517005.58162735</v>
      </c>
      <c r="I12" s="269">
        <f t="shared" ca="1" si="2"/>
        <v>516446140.42359638</v>
      </c>
      <c r="J12" s="269"/>
      <c r="K12" s="269">
        <f t="shared" ca="1" si="3"/>
        <v>516446140.42359638</v>
      </c>
      <c r="M12" s="267">
        <f t="shared" si="20"/>
        <v>2022</v>
      </c>
      <c r="N12" s="269">
        <f>SUMIF('Monthly Data'!$B:$B,M12,'Monthly Data'!H:H)</f>
        <v>126198741.00000001</v>
      </c>
      <c r="O12" s="269">
        <f>SUMIF('Monthly Data'!$B:$B,M12,'Monthly Data'!I:I)</f>
        <v>7633814.9046583204</v>
      </c>
      <c r="P12" s="269">
        <f t="shared" si="4"/>
        <v>133832555.90465833</v>
      </c>
      <c r="Q12" s="8"/>
      <c r="R12" s="269">
        <f ca="1">SUMIF('GS&lt;50 Normalized Monthly'!$B:$B,M12,'GS&lt;50 Normalized Monthly'!Q:$Q)</f>
        <v>131720846.30128177</v>
      </c>
      <c r="S12" s="269">
        <f t="shared" si="5"/>
        <v>7633814.9046583204</v>
      </c>
      <c r="T12" s="269">
        <f ca="1">R12-S12</f>
        <v>124087031.39662345</v>
      </c>
      <c r="U12" s="269"/>
      <c r="V12" s="269">
        <f t="shared" ca="1" si="6"/>
        <v>124087031.39662345</v>
      </c>
      <c r="X12" s="267">
        <f t="shared" si="22"/>
        <v>2022</v>
      </c>
      <c r="Y12" s="269">
        <f>SUMIF('Monthly Data'!$B:$B,X12,'Monthly Data'!L:L)</f>
        <v>342060680.01827008</v>
      </c>
      <c r="Z12" s="269">
        <f>SUMIF('Monthly Data'!$B:$B,X12,'Monthly Data'!M:M)</f>
        <v>10123383.733097071</v>
      </c>
      <c r="AA12" s="269">
        <f t="shared" si="7"/>
        <v>352184063.75136715</v>
      </c>
      <c r="AB12" s="8"/>
      <c r="AC12" s="269">
        <f ca="1">SUMIF('GS 50-999 Normalized Monthly'!$B:$B,X12,'GS 50-999 Normalized Monthly'!$Q:$Q)</f>
        <v>333330520.16981894</v>
      </c>
      <c r="AD12" s="269">
        <f t="shared" si="8"/>
        <v>10123383.733097071</v>
      </c>
      <c r="AE12" s="269">
        <f t="shared" ca="1" si="9"/>
        <v>323207136.43672186</v>
      </c>
      <c r="AF12" s="269"/>
      <c r="AG12" s="269">
        <f t="shared" ca="1" si="10"/>
        <v>323207136.43672186</v>
      </c>
      <c r="AI12" s="267">
        <f t="shared" si="23"/>
        <v>2022</v>
      </c>
      <c r="AJ12" s="269">
        <f>SUMIF('Monthly Data'!$B:$B,AI12,'Monthly Data'!Q:Q)</f>
        <v>81816679.460561812</v>
      </c>
      <c r="AK12" s="269">
        <f>SUMIF('Monthly Data'!$B:$B,AI12,'Monthly Data'!R:R)</f>
        <v>10735595.671786766</v>
      </c>
      <c r="AL12" s="269">
        <f t="shared" si="11"/>
        <v>92552275.132348582</v>
      </c>
      <c r="AM12" s="269"/>
      <c r="AN12" s="269">
        <f ca="1">SUMIF('GS 1k-4,999 Normalized Monthly'!$B:$B,X12,'GS 1k-4,999 Normalized Monthly'!$O:$O)</f>
        <v>88286669.592289746</v>
      </c>
      <c r="AO12" s="269">
        <f t="shared" si="24"/>
        <v>10735595.671786766</v>
      </c>
      <c r="AP12" s="269">
        <f t="shared" ca="1" si="25"/>
        <v>77551073.920502976</v>
      </c>
      <c r="AQ12" s="269"/>
      <c r="AR12" s="269">
        <f t="shared" ca="1" si="26"/>
        <v>77551073.920502976</v>
      </c>
      <c r="AT12" s="267">
        <f t="shared" si="27"/>
        <v>2022</v>
      </c>
      <c r="AU12" s="269">
        <f>SUMIF('Monthly Data'!$B:$B,AT12,'Monthly Data'!V:V)</f>
        <v>33850160</v>
      </c>
      <c r="AV12" s="269">
        <f>SUMIF('Monthly Data'!$B:$B,AT12,'Monthly Data'!W:W)</f>
        <v>390912.74599548522</v>
      </c>
      <c r="AW12" s="269">
        <f t="shared" si="12"/>
        <v>34241072.745995484</v>
      </c>
      <c r="AX12" s="269"/>
      <c r="AY12" s="269">
        <f ca="1">SUMIF('Large Use Normalized Monthly'!$B:$B,AT12,'Large Use Normalized Monthly'!$U:$U)</f>
        <v>37171583.501645729</v>
      </c>
      <c r="AZ12" s="269">
        <f t="shared" si="28"/>
        <v>390912.74599548522</v>
      </c>
      <c r="BA12" s="269">
        <f t="shared" ca="1" si="29"/>
        <v>36780670.755650245</v>
      </c>
      <c r="BB12" s="269"/>
      <c r="BC12" s="269">
        <f t="shared" ca="1" si="30"/>
        <v>36780670.755650245</v>
      </c>
      <c r="BE12" s="267">
        <f t="shared" si="31"/>
        <v>2022</v>
      </c>
      <c r="BF12" s="269">
        <f>SUMIF('Monthly Data'!$B:$B,BE12,'Monthly Data'!AA:AA)</f>
        <v>4432743</v>
      </c>
      <c r="BG12" s="269">
        <f>'Customer Count'!W11</f>
        <v>14204</v>
      </c>
      <c r="BH12" s="269">
        <f t="shared" si="13"/>
        <v>312.07709096029288</v>
      </c>
      <c r="BI12" s="269">
        <f t="shared" si="34"/>
        <v>4432743</v>
      </c>
      <c r="BK12" s="267">
        <f t="shared" si="32"/>
        <v>2022</v>
      </c>
      <c r="BL12" s="269">
        <f>SUMIF('Monthly Data'!$B:$B,BK12,'Monthly Data'!AD:AD)</f>
        <v>26915.1</v>
      </c>
      <c r="BM12" s="269">
        <f>'Customer Count'!AA11</f>
        <v>19</v>
      </c>
      <c r="BN12" s="269">
        <f t="shared" si="15"/>
        <v>1416.5842105263157</v>
      </c>
      <c r="BO12" s="269">
        <f t="shared" si="16"/>
        <v>26915.1</v>
      </c>
      <c r="BQ12" s="267">
        <f t="shared" si="33"/>
        <v>2022</v>
      </c>
      <c r="BR12" s="269">
        <f>SUMIF('Monthly Data'!$B:$B,BQ12,'Monthly Data'!AG:AG)</f>
        <v>2750057</v>
      </c>
      <c r="BS12" s="269">
        <f>'Customer Count'!AE11</f>
        <v>252.66666666666666</v>
      </c>
      <c r="BT12" s="269">
        <f t="shared" si="17"/>
        <v>10884.130606860159</v>
      </c>
      <c r="BU12" s="269">
        <f t="shared" si="18"/>
        <v>2750057</v>
      </c>
      <c r="BY12" s="240"/>
    </row>
    <row r="13" spans="2:77" x14ac:dyDescent="0.25">
      <c r="B13" s="267">
        <f t="shared" si="19"/>
        <v>2023</v>
      </c>
      <c r="C13" s="269">
        <f>SUMIF('Monthly Data'!$B:$B,B13,'Monthly Data'!D:D)</f>
        <v>515036055.76324266</v>
      </c>
      <c r="D13" s="269">
        <f>SUMIF('Monthly Data'!$B:$B,B13,'Monthly Data'!E:E)</f>
        <v>30133809.976284716</v>
      </c>
      <c r="E13" s="269">
        <f t="shared" si="0"/>
        <v>545169865.73952734</v>
      </c>
      <c r="F13" s="269"/>
      <c r="G13" s="269">
        <f ca="1">SUMIF('Res Normalized Monthly'!$B:$B,B13,'Res Normalized Monthly'!$O:$O)</f>
        <v>551283744.56158209</v>
      </c>
      <c r="H13" s="269">
        <f t="shared" si="1"/>
        <v>30133809.976284716</v>
      </c>
      <c r="I13" s="269">
        <f t="shared" ca="1" si="2"/>
        <v>521149934.58529735</v>
      </c>
      <c r="J13" s="269"/>
      <c r="K13" s="269">
        <f t="shared" ca="1" si="3"/>
        <v>521149934.58529735</v>
      </c>
      <c r="M13" s="267">
        <f t="shared" si="20"/>
        <v>2023</v>
      </c>
      <c r="N13" s="269">
        <f>SUMIF('Monthly Data'!$B:$B,M13,'Monthly Data'!H:H)</f>
        <v>126694932.13</v>
      </c>
      <c r="O13" s="269">
        <f>SUMIF('Monthly Data'!$B:$B,M13,'Monthly Data'!I:I)</f>
        <v>8863502.7297288366</v>
      </c>
      <c r="P13" s="269">
        <f t="shared" si="4"/>
        <v>135558434.85972884</v>
      </c>
      <c r="Q13" s="269"/>
      <c r="R13" s="269">
        <f ca="1">SUMIF('GS&lt;50 Normalized Monthly'!$B:$B,M13,'GS&lt;50 Normalized Monthly'!Q:$Q)</f>
        <v>138081355.65173441</v>
      </c>
      <c r="S13" s="269">
        <f t="shared" si="5"/>
        <v>8863502.7297288366</v>
      </c>
      <c r="T13" s="269">
        <f ca="1">R13-S13</f>
        <v>129217852.92200558</v>
      </c>
      <c r="U13" s="269"/>
      <c r="V13" s="269">
        <f t="shared" ca="1" si="6"/>
        <v>129217852.92200558</v>
      </c>
      <c r="X13" s="267">
        <f t="shared" si="22"/>
        <v>2023</v>
      </c>
      <c r="Y13" s="269">
        <f>SUMIF('Monthly Data'!$B:$B,X13,'Monthly Data'!L:L)</f>
        <v>321367374.95395875</v>
      </c>
      <c r="Z13" s="269">
        <f>SUMIF('Monthly Data'!$B:$B,X13,'Monthly Data'!M:M)</f>
        <v>12359708.990371948</v>
      </c>
      <c r="AA13" s="269">
        <f t="shared" si="7"/>
        <v>333727083.94433069</v>
      </c>
      <c r="AB13" s="269"/>
      <c r="AC13" s="269">
        <f ca="1">SUMIF('GS 50-999 Normalized Monthly'!$B:$B,X13,'GS 50-999 Normalized Monthly'!$Q:$Q)</f>
        <v>343205753.6434235</v>
      </c>
      <c r="AD13" s="269">
        <f t="shared" si="8"/>
        <v>12359708.990371948</v>
      </c>
      <c r="AE13" s="269">
        <f t="shared" ca="1" si="9"/>
        <v>330846044.65305156</v>
      </c>
      <c r="AF13" s="269"/>
      <c r="AG13" s="269">
        <f t="shared" ca="1" si="10"/>
        <v>330846044.65305156</v>
      </c>
      <c r="AI13" s="267">
        <f t="shared" si="23"/>
        <v>2023</v>
      </c>
      <c r="AJ13" s="269">
        <f>SUMIF('Monthly Data'!$B:$B,AI13,'Monthly Data'!Q:Q)</f>
        <v>77073500.362002477</v>
      </c>
      <c r="AK13" s="269">
        <f>SUMIF('Monthly Data'!$B:$B,AI13,'Monthly Data'!R:R)</f>
        <v>11776437.184313722</v>
      </c>
      <c r="AL13" s="269">
        <f t="shared" si="11"/>
        <v>88849937.546316206</v>
      </c>
      <c r="AM13" s="269"/>
      <c r="AN13" s="269">
        <f ca="1">SUMIF('GS 1k-4,999 Normalized Monthly'!$B:$B,X13,'GS 1k-4,999 Normalized Monthly'!$O:$O)</f>
        <v>92200971.71573928</v>
      </c>
      <c r="AO13" s="269">
        <f t="shared" si="24"/>
        <v>11776437.184313722</v>
      </c>
      <c r="AP13" s="269">
        <f t="shared" ca="1" si="25"/>
        <v>80424534.531425565</v>
      </c>
      <c r="AQ13" s="269"/>
      <c r="AR13" s="269">
        <f t="shared" ca="1" si="26"/>
        <v>80424534.531425565</v>
      </c>
      <c r="AT13" s="267">
        <f t="shared" si="27"/>
        <v>2023</v>
      </c>
      <c r="AU13" s="269">
        <f>SUMIF('Monthly Data'!$B:$B,AT13,'Monthly Data'!V:V)</f>
        <v>33850160.000000007</v>
      </c>
      <c r="AV13" s="269">
        <f>SUMIF('Monthly Data'!$B:$B,AT13,'Monthly Data'!W:W)</f>
        <v>535149.39831725019</v>
      </c>
      <c r="AW13" s="269">
        <f t="shared" si="12"/>
        <v>34385309.398317255</v>
      </c>
      <c r="AX13" s="269"/>
      <c r="AY13" s="269">
        <f ca="1">SUMIF('Large Use Normalized Monthly'!$B:$B,AT13,'Large Use Normalized Monthly'!$U:$U)</f>
        <v>39263658.168890461</v>
      </c>
      <c r="AZ13" s="269">
        <f t="shared" si="28"/>
        <v>535149.39831725019</v>
      </c>
      <c r="BA13" s="269">
        <f t="shared" ca="1" si="29"/>
        <v>38728508.770573214</v>
      </c>
      <c r="BB13" s="269"/>
      <c r="BC13" s="269">
        <f t="shared" ca="1" si="30"/>
        <v>38728508.770573214</v>
      </c>
      <c r="BE13" s="267">
        <f t="shared" si="31"/>
        <v>2023</v>
      </c>
      <c r="BF13" s="269">
        <f>SUMIF('Monthly Data'!$B:$B,BE13,'Monthly Data'!AA:AA)</f>
        <v>4495190.04</v>
      </c>
      <c r="BG13" s="269">
        <f>'Customer Count'!W12</f>
        <v>14384.333333333334</v>
      </c>
      <c r="BH13" s="269">
        <f t="shared" si="13"/>
        <v>312.50596992097883</v>
      </c>
      <c r="BI13" s="269">
        <f t="shared" si="34"/>
        <v>4495190.04</v>
      </c>
      <c r="BK13" s="267">
        <f t="shared" si="32"/>
        <v>2023</v>
      </c>
      <c r="BL13" s="269">
        <f>SUMIF('Monthly Data'!$B:$B,BK13,'Monthly Data'!AD:AD)</f>
        <v>26915.1</v>
      </c>
      <c r="BM13" s="269">
        <f>'Customer Count'!AA12</f>
        <v>19</v>
      </c>
      <c r="BN13" s="269">
        <f t="shared" si="15"/>
        <v>1416.5842105263157</v>
      </c>
      <c r="BO13" s="269">
        <f t="shared" si="16"/>
        <v>26915.1</v>
      </c>
      <c r="BQ13" s="267">
        <f t="shared" si="33"/>
        <v>2023</v>
      </c>
      <c r="BR13" s="269">
        <f>SUMIF('Monthly Data'!$B:$B,BQ13,'Monthly Data'!AG:AG)</f>
        <v>2811443</v>
      </c>
      <c r="BS13" s="269">
        <f>'Customer Count'!AE12</f>
        <v>259.25</v>
      </c>
      <c r="BT13" s="269">
        <f t="shared" si="17"/>
        <v>10844.524590163934</v>
      </c>
      <c r="BU13" s="269">
        <f t="shared" si="18"/>
        <v>2811443</v>
      </c>
      <c r="BY13" s="240"/>
    </row>
    <row r="14" spans="2:77" s="253" customFormat="1" x14ac:dyDescent="0.25">
      <c r="B14" s="267">
        <f t="shared" si="19"/>
        <v>2024</v>
      </c>
      <c r="C14" s="269">
        <f>SUMIF('Monthly Data'!$B:$B,B14,'Monthly Data'!D:D)</f>
        <v>521215102.08675742</v>
      </c>
      <c r="D14" s="269">
        <f>SUMIF('Monthly Data'!$B:$B,B14,'Monthly Data'!E:E)</f>
        <v>31567265.493016616</v>
      </c>
      <c r="E14" s="269">
        <f t="shared" si="0"/>
        <v>552782367.57977402</v>
      </c>
      <c r="F14" s="8"/>
      <c r="G14" s="269">
        <f ca="1">SUMIF('Res Normalized Monthly'!$B:$B,B14,'Res Normalized Monthly'!$O:$O)</f>
        <v>560731083.84336495</v>
      </c>
      <c r="H14" s="269">
        <f t="shared" si="1"/>
        <v>31567265.493016616</v>
      </c>
      <c r="I14" s="269">
        <f t="shared" ca="1" si="2"/>
        <v>529163818.35034835</v>
      </c>
      <c r="J14" s="269"/>
      <c r="K14" s="269">
        <f ca="1">I14+J14</f>
        <v>529163818.35034835</v>
      </c>
      <c r="M14" s="267">
        <f t="shared" si="20"/>
        <v>2024</v>
      </c>
      <c r="N14" s="269">
        <f>SUMIF('Monthly Data'!$B:$B,M14,'Monthly Data'!H:H)</f>
        <v>131296579</v>
      </c>
      <c r="O14" s="269">
        <f>SUMIF('Monthly Data'!$B:$B,M14,'Monthly Data'!I:I)</f>
        <v>10274097.419494292</v>
      </c>
      <c r="P14" s="269">
        <f t="shared" si="4"/>
        <v>141570676.4194943</v>
      </c>
      <c r="Q14" s="269"/>
      <c r="R14" s="269">
        <f ca="1">SUMIF('GS&lt;50 Normalized Monthly'!$B:$B,M14,'GS&lt;50 Normalized Monthly'!Q:$Q)</f>
        <v>138970412.17052108</v>
      </c>
      <c r="S14" s="269">
        <f t="shared" si="5"/>
        <v>10274097.419494292</v>
      </c>
      <c r="T14" s="269">
        <f ca="1">R14-S14</f>
        <v>128696314.75102679</v>
      </c>
      <c r="U14" s="269"/>
      <c r="V14" s="269">
        <f ca="1">T14+U14</f>
        <v>128696314.75102679</v>
      </c>
      <c r="W14" s="1"/>
      <c r="X14" s="267">
        <f t="shared" si="22"/>
        <v>2024</v>
      </c>
      <c r="Y14" s="269">
        <f>SUMIF('Monthly Data'!$B:$B,X14,'Monthly Data'!L:L)</f>
        <v>310385722.80520695</v>
      </c>
      <c r="Z14" s="269">
        <f>SUMIF('Monthly Data'!$B:$B,X14,'Monthly Data'!M:M)</f>
        <v>14642100.019155171</v>
      </c>
      <c r="AA14" s="269">
        <f t="shared" si="7"/>
        <v>325027822.8243621</v>
      </c>
      <c r="AB14" s="269"/>
      <c r="AC14" s="269">
        <f ca="1">SUMIF('GS 50-999 Normalized Monthly'!$B:$B,X14,'GS 50-999 Normalized Monthly'!$Q:$Q)</f>
        <v>345014283.07724684</v>
      </c>
      <c r="AD14" s="269">
        <f t="shared" si="8"/>
        <v>14642100.019155171</v>
      </c>
      <c r="AE14" s="269">
        <f t="shared" ca="1" si="9"/>
        <v>330372183.0580917</v>
      </c>
      <c r="AF14" s="269"/>
      <c r="AG14" s="269">
        <f ca="1">AE14+AF14</f>
        <v>330372183.0580917</v>
      </c>
      <c r="AH14" s="1"/>
      <c r="AI14" s="267">
        <f t="shared" si="23"/>
        <v>2024</v>
      </c>
      <c r="AJ14" s="269">
        <f>SUMIF('Monthly Data'!$B:$B,AI14,'Monthly Data'!Q:Q)</f>
        <v>81507757</v>
      </c>
      <c r="AK14" s="269">
        <f>SUMIF('Monthly Data'!$B:$B,AI14,'Monthly Data'!R:R)</f>
        <v>13613039.03583131</v>
      </c>
      <c r="AL14" s="269">
        <f t="shared" si="11"/>
        <v>95120796.035831302</v>
      </c>
      <c r="AM14" s="269"/>
      <c r="AN14" s="269">
        <f ca="1">SUMIF('GS 1k-4,999 Normalized Monthly'!$B:$B,X14,'GS 1k-4,999 Normalized Monthly'!$O:$O)</f>
        <v>93003521.979965717</v>
      </c>
      <c r="AO14" s="269">
        <f t="shared" si="24"/>
        <v>13613039.03583131</v>
      </c>
      <c r="AP14" s="269">
        <f t="shared" ca="1" si="25"/>
        <v>79390482.944134414</v>
      </c>
      <c r="AQ14" s="269"/>
      <c r="AR14" s="269">
        <f t="shared" ca="1" si="26"/>
        <v>79390482.944134414</v>
      </c>
      <c r="AS14" s="1"/>
      <c r="AT14" s="267">
        <f t="shared" si="27"/>
        <v>2024</v>
      </c>
      <c r="AU14" s="269">
        <f>SUMIF('Monthly Data'!$B:$B,AT14,'Monthly Data'!V:V)</f>
        <v>39718186</v>
      </c>
      <c r="AV14" s="269">
        <f>SUMIF('Monthly Data'!$B:$B,AT14,'Monthly Data'!W:W)</f>
        <v>726843.17854955222</v>
      </c>
      <c r="AW14" s="269">
        <f t="shared" si="12"/>
        <v>40445029.17854955</v>
      </c>
      <c r="AX14" s="269"/>
      <c r="AY14" s="269">
        <f ca="1">SUMIF('Large Use Normalized Monthly'!$B:$B,AT14,'Large Use Normalized Monthly'!$U:$U)</f>
        <v>39302899.839040816</v>
      </c>
      <c r="AZ14" s="269">
        <f t="shared" si="28"/>
        <v>726843.17854955222</v>
      </c>
      <c r="BA14" s="269">
        <f t="shared" ca="1" si="29"/>
        <v>38576056.660491265</v>
      </c>
      <c r="BB14" s="269"/>
      <c r="BC14" s="269">
        <f t="shared" ca="1" si="30"/>
        <v>38576056.660491265</v>
      </c>
      <c r="BD14" s="1"/>
      <c r="BE14" s="267">
        <f t="shared" si="31"/>
        <v>2024</v>
      </c>
      <c r="BF14" s="269">
        <f>SUMIF('Monthly Data'!$B:$B,BE14,'Monthly Data'!AA:AA)</f>
        <v>4596499.4919100879</v>
      </c>
      <c r="BG14" s="269">
        <f>'Customer Count'!W13</f>
        <v>14446.083333333334</v>
      </c>
      <c r="BH14" s="269">
        <f>BF14/BG14</f>
        <v>318.18309405041191</v>
      </c>
      <c r="BI14" s="269">
        <f t="shared" si="34"/>
        <v>4596499.4919100879</v>
      </c>
      <c r="BJ14" s="1"/>
      <c r="BK14" s="267">
        <f t="shared" si="32"/>
        <v>2024</v>
      </c>
      <c r="BL14" s="269">
        <f>SUMIF('Monthly Data'!$B:$B,BK14,'Monthly Data'!AD:AD)</f>
        <v>26323.559999999998</v>
      </c>
      <c r="BM14" s="269">
        <f>'Customer Count'!AA13</f>
        <v>19</v>
      </c>
      <c r="BN14" s="269">
        <f t="shared" si="15"/>
        <v>1385.4505263157894</v>
      </c>
      <c r="BO14" s="269">
        <f t="shared" si="16"/>
        <v>26323.559999999998</v>
      </c>
      <c r="BP14" s="1"/>
      <c r="BQ14" s="267">
        <f t="shared" si="33"/>
        <v>2024</v>
      </c>
      <c r="BR14" s="269">
        <f>SUMIF('Monthly Data'!$B:$B,BQ14,'Monthly Data'!AG:AG)</f>
        <v>2849870</v>
      </c>
      <c r="BS14" s="269">
        <f>'Customer Count'!AE13</f>
        <v>259.5</v>
      </c>
      <c r="BT14" s="269">
        <f t="shared" si="17"/>
        <v>10982.157996146436</v>
      </c>
      <c r="BU14" s="269">
        <f t="shared" si="18"/>
        <v>2849870</v>
      </c>
    </row>
    <row r="15" spans="2:77" s="253" customFormat="1" x14ac:dyDescent="0.25">
      <c r="B15" s="9">
        <f>B14+1</f>
        <v>2025</v>
      </c>
      <c r="C15" s="9"/>
      <c r="D15" s="9"/>
      <c r="E15" s="9"/>
      <c r="F15" s="9"/>
      <c r="G15" s="8">
        <f ca="1">SUMIF('Res Normalized Monthly'!$B:$B,B15,'Res Normalized Monthly'!$O:$O)</f>
        <v>570997299.81181824</v>
      </c>
      <c r="H15" s="8">
        <f>CDM!M28</f>
        <v>31134905.522142</v>
      </c>
      <c r="I15" s="8">
        <f t="shared" ca="1" si="2"/>
        <v>539862394.28967619</v>
      </c>
      <c r="J15" s="8">
        <f ca="1">'Total Additional-Lost Loads'!D16</f>
        <v>2660006.2374452404</v>
      </c>
      <c r="K15" s="8">
        <f ca="1">I15+J15</f>
        <v>542522400.52712142</v>
      </c>
      <c r="L15" s="254"/>
      <c r="M15" s="9">
        <f>M14+1</f>
        <v>2025</v>
      </c>
      <c r="N15" s="9"/>
      <c r="O15" s="9"/>
      <c r="P15" s="9"/>
      <c r="Q15" s="9"/>
      <c r="R15" s="8">
        <f ca="1">SUMIF('GS&lt;50 Normalized Monthly'!$B:$B,M15,'GS&lt;50 Normalized Monthly'!Q:$Q)</f>
        <v>139575293.17942873</v>
      </c>
      <c r="S15" s="8">
        <f>CDM!N28</f>
        <v>9604045.3668436669</v>
      </c>
      <c r="T15" s="8">
        <f t="shared" ca="1" si="21"/>
        <v>129971247.81258506</v>
      </c>
      <c r="U15" s="8">
        <f ca="1">'Total Additional-Lost Loads'!D17</f>
        <v>564519.02635795879</v>
      </c>
      <c r="V15" s="8">
        <f ca="1">T15+U15</f>
        <v>130535766.83894302</v>
      </c>
      <c r="X15" s="9">
        <f>X14+1</f>
        <v>2025</v>
      </c>
      <c r="Y15" s="9"/>
      <c r="Z15" s="9"/>
      <c r="AA15" s="9"/>
      <c r="AB15" s="9"/>
      <c r="AC15" s="8">
        <f ca="1">SUMIF('GS 50-999 Normalized Monthly'!$B:$B,X15,'GS 50-999 Normalized Monthly'!$Q:$Q)</f>
        <v>344922765.92203259</v>
      </c>
      <c r="AD15" s="8">
        <f>CDM!O28</f>
        <v>14028874.837089229</v>
      </c>
      <c r="AE15" s="8">
        <f t="shared" ca="1" si="9"/>
        <v>330893891.08494335</v>
      </c>
      <c r="AF15" s="8">
        <f>'Total Additional-Lost Loads'!D18</f>
        <v>107148.00320257829</v>
      </c>
      <c r="AG15" s="8">
        <f ca="1">AE15+AF15</f>
        <v>331001039.08814591</v>
      </c>
      <c r="AH15" s="1"/>
      <c r="AI15" s="9">
        <f t="shared" si="23"/>
        <v>2025</v>
      </c>
      <c r="AJ15" s="8"/>
      <c r="AK15" s="8"/>
      <c r="AL15" s="8"/>
      <c r="AM15" s="8"/>
      <c r="AN15" s="8">
        <f ca="1">SUMIF('GS 1k-4,999 Normalized Monthly'!$B:$B,X15,'GS 1k-4,999 Normalized Monthly'!$O:$O)</f>
        <v>93445528.020666704</v>
      </c>
      <c r="AO15" s="8">
        <f>CDM!P28</f>
        <v>13136830.164710363</v>
      </c>
      <c r="AP15" s="8">
        <f t="shared" ca="1" si="25"/>
        <v>80308697.855956346</v>
      </c>
      <c r="AQ15" s="8">
        <f>'Total Additional-Lost Loads'!D18</f>
        <v>107148.00320257829</v>
      </c>
      <c r="AR15" s="8">
        <f t="shared" ca="1" si="26"/>
        <v>80415845.859158918</v>
      </c>
      <c r="AT15" s="9">
        <f t="shared" si="27"/>
        <v>2025</v>
      </c>
      <c r="AU15" s="8"/>
      <c r="AV15" s="8"/>
      <c r="AW15" s="8"/>
      <c r="AX15" s="8"/>
      <c r="AY15" s="8">
        <f ca="1">SUMIF('Large Use Normalized Monthly'!$B:$B,AT15,'Large Use Normalized Monthly'!$U:$U)</f>
        <v>39203600.560869493</v>
      </c>
      <c r="AZ15" s="8">
        <f>CDM!Q28</f>
        <v>726156.48238483572</v>
      </c>
      <c r="BA15" s="8">
        <f t="shared" ca="1" si="29"/>
        <v>38477444.078484654</v>
      </c>
      <c r="BB15" s="8">
        <f>'Total Additional-Lost Loads'!D20</f>
        <v>8585.6314769100754</v>
      </c>
      <c r="BC15" s="8">
        <f t="shared" ca="1" si="30"/>
        <v>38486029.709961563</v>
      </c>
      <c r="BE15" s="9">
        <f>BE14+1</f>
        <v>2025</v>
      </c>
      <c r="BF15" s="9"/>
      <c r="BG15" s="8">
        <f>'Customer Count'!W18</f>
        <v>14644.139628111909</v>
      </c>
      <c r="BH15" s="8">
        <f>AVERAGE(BH12:BH14)</f>
        <v>314.25538497722783</v>
      </c>
      <c r="BI15" s="8">
        <f t="shared" si="14"/>
        <v>4601999.7364925863</v>
      </c>
      <c r="BK15" s="9">
        <f t="shared" si="32"/>
        <v>2025</v>
      </c>
      <c r="BL15" s="9"/>
      <c r="BM15" s="8">
        <f>'Customer Count'!AA18</f>
        <v>19</v>
      </c>
      <c r="BN15" s="8">
        <f>AVERAGE(BN12:BN14)</f>
        <v>1406.2063157894736</v>
      </c>
      <c r="BO15" s="8">
        <f>BN15*BM15</f>
        <v>26717.919999999998</v>
      </c>
      <c r="BQ15" s="9">
        <f>BQ14+1</f>
        <v>2025</v>
      </c>
      <c r="BR15" s="9"/>
      <c r="BS15" s="8">
        <f>'Customer Count'!AE18</f>
        <v>261.20541658257201</v>
      </c>
      <c r="BT15" s="8">
        <f>AVERAGE(BT12:BT14)</f>
        <v>10903.604397723509</v>
      </c>
      <c r="BU15" s="8">
        <f t="shared" si="18"/>
        <v>2848080.5289589334</v>
      </c>
    </row>
    <row r="16" spans="2:77" s="253" customFormat="1" x14ac:dyDescent="0.25">
      <c r="B16" s="9">
        <f>B15+1</f>
        <v>2026</v>
      </c>
      <c r="C16" s="9"/>
      <c r="D16" s="9"/>
      <c r="E16" s="9"/>
      <c r="F16" s="9"/>
      <c r="G16" s="8">
        <f ca="1">SUMIF('Res Normalized Monthly'!$B:$B,B16,'Res Normalized Monthly'!$O:$O)</f>
        <v>580190762.45075488</v>
      </c>
      <c r="H16" s="8">
        <f>CDM!M29</f>
        <v>30745480.285217583</v>
      </c>
      <c r="I16" s="8">
        <f t="shared" ca="1" si="2"/>
        <v>549445282.16553736</v>
      </c>
      <c r="J16" s="8">
        <f ca="1">'Total Additional-Lost Loads'!E16</f>
        <v>6300525.710585977</v>
      </c>
      <c r="K16" s="8">
        <f ca="1">I16+J16</f>
        <v>555745807.87612331</v>
      </c>
      <c r="M16" s="9">
        <f>M15+1</f>
        <v>2026</v>
      </c>
      <c r="N16" s="9"/>
      <c r="O16" s="9"/>
      <c r="P16" s="9"/>
      <c r="Q16" s="9"/>
      <c r="R16" s="8">
        <f ca="1">SUMIF('GS&lt;50 Normalized Monthly'!$B:$B,M16,'GS&lt;50 Normalized Monthly'!Q:$Q)</f>
        <v>140458875.38649058</v>
      </c>
      <c r="S16" s="8">
        <f>CDM!N29</f>
        <v>9078434.0899492577</v>
      </c>
      <c r="T16" s="8">
        <f t="shared" ca="1" si="21"/>
        <v>131380441.29654133</v>
      </c>
      <c r="U16" s="8">
        <f ca="1">'Total Additional-Lost Loads'!E17</f>
        <v>1372659.1458830875</v>
      </c>
      <c r="V16" s="8">
        <f ca="1">T16+U16</f>
        <v>132753100.44242442</v>
      </c>
      <c r="X16" s="9">
        <f>X15+1</f>
        <v>2026</v>
      </c>
      <c r="Y16" s="9"/>
      <c r="Z16" s="9"/>
      <c r="AA16" s="9"/>
      <c r="AB16" s="9"/>
      <c r="AC16" s="8">
        <f ca="1">SUMIF('GS 50-999 Normalized Monthly'!$B:$B,X16,'GS 50-999 Normalized Monthly'!$Q:$Q)</f>
        <v>345609301.00372142</v>
      </c>
      <c r="AD16" s="8">
        <f>CDM!O29</f>
        <v>13684220.734958058</v>
      </c>
      <c r="AE16" s="8">
        <f t="shared" ca="1" si="9"/>
        <v>331925080.26876336</v>
      </c>
      <c r="AF16" s="8">
        <f>'Total Additional-Lost Loads'!E18</f>
        <v>344417.15592147212</v>
      </c>
      <c r="AG16" s="8">
        <f ca="1">AE16+AF16</f>
        <v>332269497.42468482</v>
      </c>
      <c r="AH16" s="1"/>
      <c r="AI16" s="9">
        <f t="shared" si="23"/>
        <v>2026</v>
      </c>
      <c r="AJ16" s="8"/>
      <c r="AK16" s="8"/>
      <c r="AL16" s="8"/>
      <c r="AM16" s="8"/>
      <c r="AN16" s="8">
        <f ca="1">SUMIF('GS 1k-4,999 Normalized Monthly'!$B:$B,X16,'GS 1k-4,999 Normalized Monthly'!$O:$O)</f>
        <v>93841796.929235339</v>
      </c>
      <c r="AO16" s="8">
        <f>CDM!P29</f>
        <v>13059603.315362828</v>
      </c>
      <c r="AP16" s="8">
        <f t="shared" ca="1" si="25"/>
        <v>80782193.613872513</v>
      </c>
      <c r="AQ16" s="8">
        <f>'Total Additional-Lost Loads'!E19</f>
        <v>226346.37603330531</v>
      </c>
      <c r="AR16" s="8">
        <f t="shared" ca="1" si="26"/>
        <v>81008539.989905819</v>
      </c>
      <c r="AT16" s="9">
        <f t="shared" si="27"/>
        <v>2026</v>
      </c>
      <c r="AU16" s="8"/>
      <c r="AV16" s="8"/>
      <c r="AW16" s="8"/>
      <c r="AX16" s="8"/>
      <c r="AY16" s="8">
        <f ca="1">SUMIF('Large Use Normalized Monthly'!$B:$B,AT16,'Large Use Normalized Monthly'!$U:$U)</f>
        <v>39204043.275471777</v>
      </c>
      <c r="AZ16" s="8">
        <f>CDM!Q29</f>
        <v>719352.35699323611</v>
      </c>
      <c r="BA16" s="8">
        <f t="shared" ca="1" si="29"/>
        <v>38484690.918478541</v>
      </c>
      <c r="BB16" s="8">
        <f>'Total Additional-Lost Loads'!E20</f>
        <v>26678.184814463377</v>
      </c>
      <c r="BC16" s="8">
        <f t="shared" ca="1" si="30"/>
        <v>38511369.103293002</v>
      </c>
      <c r="BE16" s="9">
        <f>BE15+1</f>
        <v>2026</v>
      </c>
      <c r="BF16" s="9"/>
      <c r="BG16" s="8">
        <f>'Customer Count'!W19</f>
        <v>14844.875226620359</v>
      </c>
      <c r="BH16" s="8">
        <f>BH15</f>
        <v>314.25538497722783</v>
      </c>
      <c r="BI16" s="8">
        <f t="shared" si="14"/>
        <v>4665081.9792804932</v>
      </c>
      <c r="BK16" s="9">
        <f t="shared" si="32"/>
        <v>2026</v>
      </c>
      <c r="BL16" s="9"/>
      <c r="BM16" s="8">
        <f>'Customer Count'!AA19</f>
        <v>19</v>
      </c>
      <c r="BN16" s="8">
        <f>BN15</f>
        <v>1406.2063157894736</v>
      </c>
      <c r="BO16" s="8">
        <f t="shared" si="16"/>
        <v>26717.919999999998</v>
      </c>
      <c r="BQ16" s="9">
        <f>BQ15+1</f>
        <v>2026</v>
      </c>
      <c r="BR16" s="9"/>
      <c r="BS16" s="8">
        <f>'Customer Count'!AE19</f>
        <v>262.92223717223618</v>
      </c>
      <c r="BT16" s="8">
        <f>BT15</f>
        <v>10903.604397723509</v>
      </c>
      <c r="BU16" s="8">
        <f t="shared" si="18"/>
        <v>2866800.061490498</v>
      </c>
      <c r="BW16" s="16"/>
    </row>
    <row r="44" spans="2:56" x14ac:dyDescent="0.25">
      <c r="B44" s="493" t="s">
        <v>394</v>
      </c>
      <c r="C44" s="493"/>
      <c r="D44" s="493"/>
      <c r="E44" s="493"/>
      <c r="F44" s="493"/>
      <c r="G44" s="493"/>
      <c r="H44" s="493"/>
      <c r="I44" s="493"/>
      <c r="J44" s="493"/>
      <c r="K44" s="493"/>
      <c r="M44" s="493" t="s">
        <v>415</v>
      </c>
      <c r="N44" s="493"/>
      <c r="O44" s="493"/>
      <c r="P44" s="493"/>
      <c r="Q44" s="493"/>
      <c r="R44" s="493"/>
      <c r="S44" s="493"/>
      <c r="T44" s="493"/>
      <c r="U44" s="493"/>
      <c r="V44" s="493"/>
      <c r="X44" s="493" t="s">
        <v>437</v>
      </c>
      <c r="Y44" s="493"/>
      <c r="Z44" s="493"/>
      <c r="AA44" s="493"/>
      <c r="AB44" s="493"/>
      <c r="AC44" s="493"/>
      <c r="AD44" s="493"/>
      <c r="AE44" s="493"/>
      <c r="AF44" s="493"/>
      <c r="AG44" s="493"/>
      <c r="AI44" s="493" t="s">
        <v>417</v>
      </c>
      <c r="AJ44" s="493"/>
      <c r="AK44" s="493"/>
      <c r="AL44" s="493"/>
      <c r="AM44" s="493"/>
      <c r="AN44" s="493"/>
      <c r="AO44" s="493"/>
      <c r="AP44" s="493"/>
      <c r="AQ44" s="493"/>
      <c r="AR44" s="493"/>
      <c r="AT44" s="493" t="s">
        <v>418</v>
      </c>
      <c r="AU44" s="493"/>
      <c r="AV44" s="493"/>
      <c r="AW44" s="493"/>
      <c r="AX44" s="493"/>
      <c r="AY44" s="493"/>
      <c r="AZ44" s="493"/>
      <c r="BA44" s="493"/>
      <c r="BB44" s="493"/>
      <c r="BC44" s="493"/>
    </row>
    <row r="45" spans="2:56" ht="39.6" x14ac:dyDescent="0.25">
      <c r="B45" s="169" t="s">
        <v>1</v>
      </c>
      <c r="C45" s="169" t="s">
        <v>421</v>
      </c>
      <c r="D45" s="169" t="s">
        <v>422</v>
      </c>
      <c r="E45" s="169" t="s">
        <v>423</v>
      </c>
      <c r="F45" s="169"/>
      <c r="G45" s="169" t="s">
        <v>424</v>
      </c>
      <c r="H45" s="169" t="s">
        <v>422</v>
      </c>
      <c r="I45" s="169" t="s">
        <v>425</v>
      </c>
      <c r="J45" s="169" t="s">
        <v>426</v>
      </c>
      <c r="K45" s="169" t="s">
        <v>427</v>
      </c>
      <c r="L45" s="252"/>
      <c r="M45" s="169" t="s">
        <v>1</v>
      </c>
      <c r="N45" s="169" t="s">
        <v>421</v>
      </c>
      <c r="O45" s="169" t="s">
        <v>422</v>
      </c>
      <c r="P45" s="169" t="s">
        <v>423</v>
      </c>
      <c r="Q45" s="169"/>
      <c r="R45" s="169" t="s">
        <v>428</v>
      </c>
      <c r="S45" s="169" t="s">
        <v>422</v>
      </c>
      <c r="T45" s="169" t="s">
        <v>425</v>
      </c>
      <c r="U45" s="169" t="s">
        <v>426</v>
      </c>
      <c r="V45" s="169" t="s">
        <v>427</v>
      </c>
      <c r="W45" s="252"/>
      <c r="X45" s="169" t="s">
        <v>1</v>
      </c>
      <c r="Y45" s="169" t="s">
        <v>421</v>
      </c>
      <c r="Z45" s="169" t="s">
        <v>422</v>
      </c>
      <c r="AA45" s="169" t="s">
        <v>423</v>
      </c>
      <c r="AB45" s="169"/>
      <c r="AC45" s="169" t="s">
        <v>424</v>
      </c>
      <c r="AD45" s="169" t="s">
        <v>422</v>
      </c>
      <c r="AE45" s="169" t="s">
        <v>425</v>
      </c>
      <c r="AF45" s="169" t="s">
        <v>429</v>
      </c>
      <c r="AG45" s="169" t="s">
        <v>427</v>
      </c>
      <c r="AI45" s="169" t="s">
        <v>1</v>
      </c>
      <c r="AJ45" s="169" t="s">
        <v>421</v>
      </c>
      <c r="AK45" s="169" t="s">
        <v>422</v>
      </c>
      <c r="AL45" s="169" t="s">
        <v>423</v>
      </c>
      <c r="AM45" s="169"/>
      <c r="AN45" s="169" t="s">
        <v>424</v>
      </c>
      <c r="AO45" s="169" t="s">
        <v>422</v>
      </c>
      <c r="AP45" s="169" t="s">
        <v>425</v>
      </c>
      <c r="AQ45" s="169" t="s">
        <v>429</v>
      </c>
      <c r="AR45" s="169" t="s">
        <v>427</v>
      </c>
      <c r="AT45" s="169" t="s">
        <v>1</v>
      </c>
      <c r="AU45" s="169" t="s">
        <v>421</v>
      </c>
      <c r="AV45" s="169" t="s">
        <v>422</v>
      </c>
      <c r="AW45" s="169" t="s">
        <v>423</v>
      </c>
      <c r="AX45" s="169"/>
      <c r="AY45" s="169" t="s">
        <v>424</v>
      </c>
      <c r="AZ45" s="169" t="s">
        <v>422</v>
      </c>
      <c r="BA45" s="169" t="s">
        <v>425</v>
      </c>
      <c r="BB45" s="169" t="s">
        <v>429</v>
      </c>
      <c r="BC45" s="169" t="s">
        <v>427</v>
      </c>
    </row>
    <row r="46" spans="2:56" s="255" customFormat="1" x14ac:dyDescent="0.25">
      <c r="B46" s="210"/>
      <c r="C46" s="210" t="s">
        <v>308</v>
      </c>
      <c r="D46" s="210" t="s">
        <v>310</v>
      </c>
      <c r="E46" s="210" t="s">
        <v>431</v>
      </c>
      <c r="F46" s="210"/>
      <c r="G46" s="210" t="s">
        <v>314</v>
      </c>
      <c r="H46" s="210" t="s">
        <v>432</v>
      </c>
      <c r="I46" s="210" t="s">
        <v>433</v>
      </c>
      <c r="J46" s="210" t="s">
        <v>434</v>
      </c>
      <c r="K46" s="210" t="s">
        <v>435</v>
      </c>
      <c r="M46" s="210"/>
      <c r="N46" s="210" t="s">
        <v>308</v>
      </c>
      <c r="O46" s="210" t="s">
        <v>310</v>
      </c>
      <c r="P46" s="210" t="s">
        <v>431</v>
      </c>
      <c r="Q46" s="210"/>
      <c r="R46" s="210" t="s">
        <v>314</v>
      </c>
      <c r="S46" s="210" t="s">
        <v>432</v>
      </c>
      <c r="T46" s="210" t="s">
        <v>433</v>
      </c>
      <c r="U46" s="210" t="s">
        <v>434</v>
      </c>
      <c r="V46" s="210" t="s">
        <v>435</v>
      </c>
      <c r="X46" s="210"/>
      <c r="Y46" s="210" t="s">
        <v>308</v>
      </c>
      <c r="Z46" s="210" t="s">
        <v>310</v>
      </c>
      <c r="AA46" s="210" t="s">
        <v>431</v>
      </c>
      <c r="AB46" s="210"/>
      <c r="AC46" s="210" t="s">
        <v>314</v>
      </c>
      <c r="AD46" s="210" t="s">
        <v>432</v>
      </c>
      <c r="AE46" s="210" t="s">
        <v>433</v>
      </c>
      <c r="AF46" s="210" t="s">
        <v>434</v>
      </c>
      <c r="AG46" s="210" t="s">
        <v>435</v>
      </c>
      <c r="AH46" s="1"/>
      <c r="AI46" s="210"/>
      <c r="AJ46" s="210" t="s">
        <v>308</v>
      </c>
      <c r="AK46" s="210" t="s">
        <v>310</v>
      </c>
      <c r="AL46" s="210" t="s">
        <v>431</v>
      </c>
      <c r="AM46" s="210"/>
      <c r="AN46" s="210" t="s">
        <v>314</v>
      </c>
      <c r="AO46" s="210" t="s">
        <v>432</v>
      </c>
      <c r="AP46" s="210" t="s">
        <v>433</v>
      </c>
      <c r="AQ46" s="210" t="s">
        <v>434</v>
      </c>
      <c r="AR46" s="210" t="s">
        <v>435</v>
      </c>
      <c r="AS46" s="1"/>
      <c r="AT46" s="210"/>
      <c r="AU46" s="210" t="s">
        <v>308</v>
      </c>
      <c r="AV46" s="210" t="s">
        <v>310</v>
      </c>
      <c r="AW46" s="210" t="s">
        <v>431</v>
      </c>
      <c r="AX46" s="210"/>
      <c r="AY46" s="210" t="s">
        <v>314</v>
      </c>
      <c r="AZ46" s="210" t="s">
        <v>432</v>
      </c>
      <c r="BA46" s="210" t="s">
        <v>433</v>
      </c>
      <c r="BB46" s="210" t="s">
        <v>434</v>
      </c>
      <c r="BC46" s="210" t="s">
        <v>435</v>
      </c>
    </row>
    <row r="47" spans="2:56" x14ac:dyDescent="0.25">
      <c r="B47" s="267">
        <v>2015</v>
      </c>
      <c r="C47" s="269">
        <f>SUMIF('Monthly Data'!$B:$B,B47,'Monthly Data'!D:D)</f>
        <v>479266200.99999982</v>
      </c>
      <c r="D47" s="269">
        <f>SUMIF('Monthly Data'!$B:$B,B47,'Monthly Data'!E:E)</f>
        <v>1745859</v>
      </c>
      <c r="E47" s="269">
        <f t="shared" ref="E47:E55" si="35">C47+D47</f>
        <v>481012059.99999982</v>
      </c>
      <c r="F47" s="269"/>
      <c r="G47" s="269">
        <f ca="1">SUMIF('Res Normalized Monthly WN'!$B:$B,B47,'Res Normalized Monthly WN'!$R:$R)</f>
        <v>477932079.87261242</v>
      </c>
      <c r="H47" s="269">
        <f t="shared" ref="H47:H55" si="36">D47</f>
        <v>1745859</v>
      </c>
      <c r="I47" s="269">
        <f t="shared" ref="I47:I55" ca="1" si="37">G47-H47</f>
        <v>476186220.87261242</v>
      </c>
      <c r="J47" s="269"/>
      <c r="K47" s="269">
        <f t="shared" ref="K47:K55" ca="1" si="38">I47+J47</f>
        <v>476186220.87261242</v>
      </c>
      <c r="L47" s="4"/>
      <c r="M47" s="267">
        <v>2015</v>
      </c>
      <c r="N47" s="269">
        <f>SUMIF('Monthly Data'!$B:$B,M47,'Monthly Data'!H:H)</f>
        <v>134383174.00000003</v>
      </c>
      <c r="O47" s="269">
        <f>SUMIF('Monthly Data'!$B:$B,M47,'Monthly Data'!I:I)</f>
        <v>515127.62000000005</v>
      </c>
      <c r="P47" s="269">
        <f t="shared" ref="P47:P55" si="39">N47+O47</f>
        <v>134898301.62000003</v>
      </c>
      <c r="Q47" s="269"/>
      <c r="R47" s="269">
        <f ca="1">SUMIF('GS&lt;50 Normalized Monthly WN'!$B:$B,M47,'GS&lt;50 Normalized Monthly WN'!S:$S)</f>
        <v>134831660.61994633</v>
      </c>
      <c r="S47" s="269">
        <f t="shared" ref="S47:S54" si="40">O47</f>
        <v>515127.62000000005</v>
      </c>
      <c r="T47" s="269">
        <f t="shared" ref="T47:T58" ca="1" si="41">R47-S47</f>
        <v>134316532.99994633</v>
      </c>
      <c r="U47" s="269"/>
      <c r="V47" s="269">
        <f t="shared" ref="V47:V55" ca="1" si="42">T47+U47</f>
        <v>134316532.99994633</v>
      </c>
      <c r="W47" s="4"/>
      <c r="X47" s="267">
        <v>2015</v>
      </c>
      <c r="Y47" s="269">
        <f>SUMIF('Monthly Data'!$B:$B,X47,'Monthly Data'!L:L)</f>
        <v>331248131.3818177</v>
      </c>
      <c r="Z47" s="269">
        <f>SUMIF('Monthly Data'!$B:$B,X47,'Monthly Data'!M:M)</f>
        <v>718467.47000000009</v>
      </c>
      <c r="AA47" s="269">
        <f t="shared" ref="AA47:AA55" si="43">Y47+Z47</f>
        <v>331966598.85181773</v>
      </c>
      <c r="AB47" s="269"/>
      <c r="AC47" s="269">
        <f ca="1">SUMIF('GS50-999 Normalized Monthly WN'!$B:$B,X47,'GS50-999 Normalized Monthly WN'!$S:$S)</f>
        <v>321895054.25788909</v>
      </c>
      <c r="AD47" s="269">
        <f t="shared" ref="AD47:AD55" si="44">Z47</f>
        <v>718467.47000000009</v>
      </c>
      <c r="AE47" s="269">
        <f t="shared" ref="AE47:AE55" ca="1" si="45">AC47-AD47</f>
        <v>321176586.78788906</v>
      </c>
      <c r="AF47" s="269"/>
      <c r="AG47" s="269">
        <f t="shared" ref="AG47:AG55" ca="1" si="46">AE47+AF47</f>
        <v>321176586.78788906</v>
      </c>
      <c r="AI47" s="267">
        <v>2015</v>
      </c>
      <c r="AJ47" s="269">
        <f>SUMIF('Monthly Data'!$B:$B,AI47,'Monthly Data'!Q:Q)</f>
        <v>81262023.618182287</v>
      </c>
      <c r="AK47" s="269">
        <f>SUMIF('Monthly Data'!$B:$B,AI47,'Monthly Data'!R:R)</f>
        <v>4825418.41</v>
      </c>
      <c r="AL47" s="269">
        <f t="shared" ref="AL47:AL56" si="47">AJ47+AK47</f>
        <v>86087442.028182283</v>
      </c>
      <c r="AM47" s="269"/>
      <c r="AN47" s="269">
        <f ca="1">SUMIF('GS 1k-4,999 Normalized Mont WN'!$B:$B,X47,'GS 1k-4,999 Normalized Mont WN'!$P:$P)</f>
        <v>86902671.626182184</v>
      </c>
      <c r="AO47" s="269">
        <f>AK47</f>
        <v>4825418.41</v>
      </c>
      <c r="AP47" s="269">
        <f ca="1">AN47-AO47</f>
        <v>82077253.216182187</v>
      </c>
      <c r="AQ47" s="269"/>
      <c r="AR47" s="269">
        <f ca="1">AP47+AQ47</f>
        <v>82077253.216182187</v>
      </c>
      <c r="AT47" s="267">
        <v>2015</v>
      </c>
      <c r="AU47" s="269">
        <f>SUMIF('Monthly Data'!$B:$B,AT47,'Monthly Data'!V:V)</f>
        <v>41948975.999999993</v>
      </c>
      <c r="AV47" s="269">
        <f>SUMIF('Monthly Data'!$B:$B,AT47,'Monthly Data'!W:W)</f>
        <v>0</v>
      </c>
      <c r="AW47" s="269">
        <f t="shared" ref="AW47:AW56" si="48">AU47+AV47</f>
        <v>41948975.999999993</v>
      </c>
      <c r="AX47" s="269"/>
      <c r="AY47" s="269">
        <f ca="1">SUMIF('Large Use Normalized Monthl WN'!$B:$B,AT47,'Large Use Normalized Monthl WN'!$W:$W)</f>
        <v>42009045.545392573</v>
      </c>
      <c r="AZ47" s="269">
        <f>AV47</f>
        <v>0</v>
      </c>
      <c r="BA47" s="269">
        <f ca="1">AY47-AZ47</f>
        <v>42009045.545392573</v>
      </c>
      <c r="BB47" s="269"/>
      <c r="BC47" s="269">
        <f ca="1">BA47+BB47</f>
        <v>42009045.545392573</v>
      </c>
      <c r="BD47" s="4"/>
    </row>
    <row r="48" spans="2:56" x14ac:dyDescent="0.25">
      <c r="B48" s="267">
        <f t="shared" ref="B48:B56" si="49">B47+1</f>
        <v>2016</v>
      </c>
      <c r="C48" s="269">
        <f>SUMIF('Monthly Data'!$B:$B,B48,'Monthly Data'!D:D)</f>
        <v>477527824.00000006</v>
      </c>
      <c r="D48" s="269">
        <f>SUMIF('Monthly Data'!$B:$B,B48,'Monthly Data'!E:E)</f>
        <v>8129504.5</v>
      </c>
      <c r="E48" s="269">
        <f t="shared" si="35"/>
        <v>485657328.50000006</v>
      </c>
      <c r="F48" s="269"/>
      <c r="G48" s="269">
        <f ca="1">SUMIF('Res Normalized Monthly WN'!$B:$B,B48,'Res Normalized Monthly WN'!$R:$R)</f>
        <v>479975603.28116345</v>
      </c>
      <c r="H48" s="269">
        <f t="shared" si="36"/>
        <v>8129504.5</v>
      </c>
      <c r="I48" s="269">
        <f t="shared" ca="1" si="37"/>
        <v>471846098.78116345</v>
      </c>
      <c r="J48" s="269"/>
      <c r="K48" s="269">
        <f t="shared" ca="1" si="38"/>
        <v>471846098.78116345</v>
      </c>
      <c r="L48" s="4"/>
      <c r="M48" s="267">
        <f t="shared" ref="M48:M56" si="50">M47+1</f>
        <v>2016</v>
      </c>
      <c r="N48" s="269">
        <f>SUMIF('Monthly Data'!$B:$B,M48,'Monthly Data'!H:H)</f>
        <v>131950149.00000001</v>
      </c>
      <c r="O48" s="269">
        <f>SUMIF('Monthly Data'!$B:$B,M48,'Monthly Data'!I:I)</f>
        <v>2242271.165</v>
      </c>
      <c r="P48" s="269">
        <f t="shared" si="39"/>
        <v>134192420.16500002</v>
      </c>
      <c r="Q48" s="269"/>
      <c r="R48" s="269">
        <f ca="1">SUMIF('GS&lt;50 Normalized Monthly WN'!$B:$B,M48,'GS&lt;50 Normalized Monthly WN'!S:$S)</f>
        <v>133025662.65027331</v>
      </c>
      <c r="S48" s="269">
        <f t="shared" si="40"/>
        <v>2242271.165</v>
      </c>
      <c r="T48" s="269">
        <f t="shared" ca="1" si="41"/>
        <v>130783391.4852733</v>
      </c>
      <c r="U48" s="269"/>
      <c r="V48" s="269">
        <f t="shared" ca="1" si="42"/>
        <v>130783391.4852733</v>
      </c>
      <c r="W48" s="4"/>
      <c r="X48" s="267">
        <f t="shared" ref="X48:X56" si="51">X47+1</f>
        <v>2016</v>
      </c>
      <c r="Y48" s="269">
        <f>SUMIF('Monthly Data'!$B:$B,X48,'Monthly Data'!L:L)</f>
        <v>336135880.18643844</v>
      </c>
      <c r="Z48" s="269">
        <f>SUMIF('Monthly Data'!$B:$B,X48,'Monthly Data'!M:M)</f>
        <v>2246980.33</v>
      </c>
      <c r="AA48" s="269">
        <f t="shared" si="43"/>
        <v>338382860.51643842</v>
      </c>
      <c r="AB48" s="269"/>
      <c r="AC48" s="269">
        <f ca="1">SUMIF('GS50-999 Normalized Monthly WN'!$B:$B,X48,'GS50-999 Normalized Monthly WN'!$S:$S)</f>
        <v>327641153.11355215</v>
      </c>
      <c r="AD48" s="269">
        <f t="shared" si="44"/>
        <v>2246980.33</v>
      </c>
      <c r="AE48" s="269">
        <f t="shared" ca="1" si="45"/>
        <v>325394172.78355217</v>
      </c>
      <c r="AF48" s="269"/>
      <c r="AG48" s="269">
        <f t="shared" ca="1" si="46"/>
        <v>325394172.78355217</v>
      </c>
      <c r="AI48" s="267">
        <f t="shared" ref="AI48:AI58" si="52">AI47+1</f>
        <v>2016</v>
      </c>
      <c r="AJ48" s="269">
        <f>SUMIF('Monthly Data'!$B:$B,AI48,'Monthly Data'!Q:Q)</f>
        <v>84479483.913561568</v>
      </c>
      <c r="AK48" s="269">
        <f>SUMIF('Monthly Data'!$B:$B,AI48,'Monthly Data'!R:R)</f>
        <v>9958131.004999999</v>
      </c>
      <c r="AL48" s="269">
        <f t="shared" si="47"/>
        <v>94437614.918561563</v>
      </c>
      <c r="AM48" s="269"/>
      <c r="AN48" s="269">
        <f ca="1">SUMIF('GS 1k-4,999 Normalized Mont WN'!$B:$B,X48,'GS 1k-4,999 Normalized Mont WN'!$P:$P)</f>
        <v>93536463.097776875</v>
      </c>
      <c r="AO48" s="269">
        <f t="shared" ref="AO48:AO56" si="53">AK48</f>
        <v>9958131.004999999</v>
      </c>
      <c r="AP48" s="269">
        <f t="shared" ref="AP48:AP58" ca="1" si="54">AN48-AO48</f>
        <v>83578332.09277688</v>
      </c>
      <c r="AQ48" s="269"/>
      <c r="AR48" s="269">
        <f t="shared" ref="AR48:AR58" ca="1" si="55">AP48+AQ48</f>
        <v>83578332.09277688</v>
      </c>
      <c r="AT48" s="267">
        <f t="shared" ref="AT48:AT58" si="56">AT47+1</f>
        <v>2016</v>
      </c>
      <c r="AU48" s="269">
        <f>SUMIF('Monthly Data'!$B:$B,AT48,'Monthly Data'!V:V)</f>
        <v>41438245.999999993</v>
      </c>
      <c r="AV48" s="269">
        <f>SUMIF('Monthly Data'!$B:$B,AT48,'Monthly Data'!W:W)</f>
        <v>0</v>
      </c>
      <c r="AW48" s="269">
        <f t="shared" si="48"/>
        <v>41438245.999999993</v>
      </c>
      <c r="AX48" s="269"/>
      <c r="AY48" s="269">
        <f ca="1">SUMIF('Large Use Normalized Monthl WN'!$B:$B,AT48,'Large Use Normalized Monthl WN'!$W:$W)</f>
        <v>41251215.956856966</v>
      </c>
      <c r="AZ48" s="269">
        <f t="shared" ref="AZ48:AZ56" si="57">AV48</f>
        <v>0</v>
      </c>
      <c r="BA48" s="269">
        <f t="shared" ref="BA48:BA58" ca="1" si="58">AY48-AZ48</f>
        <v>41251215.956856966</v>
      </c>
      <c r="BB48" s="269"/>
      <c r="BC48" s="269">
        <f t="shared" ref="BC48:BC58" ca="1" si="59">BA48+BB48</f>
        <v>41251215.956856966</v>
      </c>
      <c r="BD48" s="4"/>
    </row>
    <row r="49" spans="2:56" x14ac:dyDescent="0.25">
      <c r="B49" s="267">
        <f t="shared" si="49"/>
        <v>2017</v>
      </c>
      <c r="C49" s="269">
        <f>SUMIF('Monthly Data'!$B:$B,B49,'Monthly Data'!D:D)</f>
        <v>464513659.08580053</v>
      </c>
      <c r="D49" s="269">
        <f>SUMIF('Monthly Data'!$B:$B,B49,'Monthly Data'!E:E)</f>
        <v>21218883.500000004</v>
      </c>
      <c r="E49" s="269">
        <f t="shared" si="35"/>
        <v>485732542.58580053</v>
      </c>
      <c r="F49" s="269"/>
      <c r="G49" s="269">
        <f ca="1">SUMIF('Res Normalized Monthly WN'!$B:$B,B49,'Res Normalized Monthly WN'!$R:$R)</f>
        <v>493192876.24837273</v>
      </c>
      <c r="H49" s="269">
        <f t="shared" si="36"/>
        <v>21218883.500000004</v>
      </c>
      <c r="I49" s="269">
        <f t="shared" ca="1" si="37"/>
        <v>471973992.74837273</v>
      </c>
      <c r="J49" s="269"/>
      <c r="K49" s="269">
        <f t="shared" ca="1" si="38"/>
        <v>471973992.74837273</v>
      </c>
      <c r="L49" s="4"/>
      <c r="M49" s="267">
        <f t="shared" si="50"/>
        <v>2017</v>
      </c>
      <c r="N49" s="269">
        <f>SUMIF('Monthly Data'!$B:$B,M49,'Monthly Data'!H:H)</f>
        <v>128640162</v>
      </c>
      <c r="O49" s="269">
        <f>SUMIF('Monthly Data'!$B:$B,M49,'Monthly Data'!I:I)</f>
        <v>4711924.9122964684</v>
      </c>
      <c r="P49" s="269">
        <f t="shared" si="39"/>
        <v>133352086.91229647</v>
      </c>
      <c r="Q49" s="269"/>
      <c r="R49" s="269">
        <f ca="1">SUMIF('GS&lt;50 Normalized Monthly WN'!$B:$B,M49,'GS&lt;50 Normalized Monthly WN'!S:$S)</f>
        <v>134930958.15178964</v>
      </c>
      <c r="S49" s="269">
        <f t="shared" si="40"/>
        <v>4711924.9122964684</v>
      </c>
      <c r="T49" s="269">
        <f t="shared" ca="1" si="41"/>
        <v>130219033.23949316</v>
      </c>
      <c r="U49" s="269"/>
      <c r="V49" s="269">
        <f t="shared" ca="1" si="42"/>
        <v>130219033.23949316</v>
      </c>
      <c r="W49" s="4"/>
      <c r="X49" s="267">
        <f t="shared" si="51"/>
        <v>2017</v>
      </c>
      <c r="Y49" s="269">
        <f>SUMIF('Monthly Data'!$B:$B,X49,'Monthly Data'!L:L)</f>
        <v>344049960.45204061</v>
      </c>
      <c r="Z49" s="269">
        <f>SUMIF('Monthly Data'!$B:$B,X49,'Monthly Data'!M:M)</f>
        <v>4819230.9586269651</v>
      </c>
      <c r="AA49" s="269">
        <f t="shared" si="43"/>
        <v>348869191.4106676</v>
      </c>
      <c r="AB49" s="269"/>
      <c r="AC49" s="269">
        <f ca="1">SUMIF('GS50-999 Normalized Monthly WN'!$B:$B,X49,'GS50-999 Normalized Monthly WN'!$S:$S)</f>
        <v>343769840.5875805</v>
      </c>
      <c r="AD49" s="269">
        <f t="shared" si="44"/>
        <v>4819230.9586269651</v>
      </c>
      <c r="AE49" s="269">
        <f t="shared" ca="1" si="45"/>
        <v>338950609.62895352</v>
      </c>
      <c r="AF49" s="269"/>
      <c r="AG49" s="269">
        <f t="shared" ca="1" si="46"/>
        <v>338950609.62895352</v>
      </c>
      <c r="AI49" s="267">
        <f t="shared" si="52"/>
        <v>2017</v>
      </c>
      <c r="AJ49" s="269">
        <f>SUMIF('Monthly Data'!$B:$B,AI49,'Monthly Data'!Q:Q)</f>
        <v>82458080.47410427</v>
      </c>
      <c r="AK49" s="269">
        <f>SUMIF('Monthly Data'!$B:$B,AI49,'Monthly Data'!R:R)</f>
        <v>10265409.998426484</v>
      </c>
      <c r="AL49" s="269">
        <f t="shared" si="47"/>
        <v>92723490.472530752</v>
      </c>
      <c r="AM49" s="269"/>
      <c r="AN49" s="269">
        <f ca="1">SUMIF('GS 1k-4,999 Normalized Mont WN'!$B:$B,X49,'GS 1k-4,999 Normalized Mont WN'!$P:$P)</f>
        <v>93694023.55178456</v>
      </c>
      <c r="AO49" s="269">
        <f t="shared" si="53"/>
        <v>10265409.998426484</v>
      </c>
      <c r="AP49" s="269">
        <f t="shared" ca="1" si="54"/>
        <v>83428613.553358078</v>
      </c>
      <c r="AQ49" s="269"/>
      <c r="AR49" s="269">
        <f t="shared" ca="1" si="55"/>
        <v>83428613.553358078</v>
      </c>
      <c r="AT49" s="267">
        <f t="shared" si="56"/>
        <v>2017</v>
      </c>
      <c r="AU49" s="269">
        <f>SUMIF('Monthly Data'!$B:$B,AT49,'Monthly Data'!V:V)</f>
        <v>37536243</v>
      </c>
      <c r="AV49" s="269">
        <f>SUMIF('Monthly Data'!$B:$B,AT49,'Monthly Data'!W:W)</f>
        <v>139443.67499999999</v>
      </c>
      <c r="AW49" s="269">
        <f t="shared" si="48"/>
        <v>37675686.674999997</v>
      </c>
      <c r="AX49" s="269"/>
      <c r="AY49" s="269">
        <f ca="1">SUMIF('Large Use Normalized Monthl WN'!$B:$B,AT49,'Large Use Normalized Monthl WN'!$W:$W)</f>
        <v>37897877.936844178</v>
      </c>
      <c r="AZ49" s="269">
        <f t="shared" si="57"/>
        <v>139443.67499999999</v>
      </c>
      <c r="BA49" s="269">
        <f t="shared" ca="1" si="58"/>
        <v>37758434.261844181</v>
      </c>
      <c r="BB49" s="269"/>
      <c r="BC49" s="269">
        <f t="shared" ca="1" si="59"/>
        <v>37758434.261844181</v>
      </c>
      <c r="BD49" s="4"/>
    </row>
    <row r="50" spans="2:56" x14ac:dyDescent="0.25">
      <c r="B50" s="267">
        <f t="shared" si="49"/>
        <v>2018</v>
      </c>
      <c r="C50" s="269">
        <f>SUMIF('Monthly Data'!$B:$B,B50,'Monthly Data'!D:D)</f>
        <v>483410781.91419953</v>
      </c>
      <c r="D50" s="269">
        <f>SUMIF('Monthly Data'!$B:$B,B50,'Monthly Data'!E:E)</f>
        <v>27652754.856041782</v>
      </c>
      <c r="E50" s="269">
        <f t="shared" si="35"/>
        <v>511063536.77024132</v>
      </c>
      <c r="F50" s="8"/>
      <c r="G50" s="269">
        <f ca="1">SUMIF('Res Normalized Monthly WN'!$B:$B,B50,'Res Normalized Monthly WN'!$R:$R)</f>
        <v>496481007.39858913</v>
      </c>
      <c r="H50" s="269">
        <f t="shared" si="36"/>
        <v>27652754.856041782</v>
      </c>
      <c r="I50" s="269">
        <f t="shared" ca="1" si="37"/>
        <v>468828252.54254735</v>
      </c>
      <c r="J50" s="269"/>
      <c r="K50" s="269">
        <f t="shared" ca="1" si="38"/>
        <v>468828252.54254735</v>
      </c>
      <c r="L50" s="4"/>
      <c r="M50" s="267">
        <f t="shared" si="50"/>
        <v>2018</v>
      </c>
      <c r="N50" s="269">
        <f>SUMIF('Monthly Data'!$B:$B,M50,'Monthly Data'!H:H)</f>
        <v>134207593</v>
      </c>
      <c r="O50" s="269">
        <f>SUMIF('Monthly Data'!$B:$B,M50,'Monthly Data'!I:I)</f>
        <v>6398722.2314855205</v>
      </c>
      <c r="P50" s="269">
        <f t="shared" si="39"/>
        <v>140606315.23148552</v>
      </c>
      <c r="Q50" s="8"/>
      <c r="R50" s="269">
        <f ca="1">SUMIF('GS&lt;50 Normalized Monthly WN'!$B:$B,M50,'GS&lt;50 Normalized Monthly WN'!S:$S)</f>
        <v>137889677.47099075</v>
      </c>
      <c r="S50" s="269">
        <f t="shared" si="40"/>
        <v>6398722.2314855205</v>
      </c>
      <c r="T50" s="269">
        <f t="shared" ca="1" si="41"/>
        <v>131490955.23950523</v>
      </c>
      <c r="U50" s="269"/>
      <c r="V50" s="269">
        <f t="shared" ca="1" si="42"/>
        <v>131490955.23950523</v>
      </c>
      <c r="W50" s="4"/>
      <c r="X50" s="267">
        <f t="shared" si="51"/>
        <v>2018</v>
      </c>
      <c r="Y50" s="269">
        <f>SUMIF('Monthly Data'!$B:$B,X50,'Monthly Data'!L:L)</f>
        <v>324633082.5551976</v>
      </c>
      <c r="Z50" s="269">
        <f>SUMIF('Monthly Data'!$B:$B,X50,'Monthly Data'!M:M)</f>
        <v>7226093.9416703666</v>
      </c>
      <c r="AA50" s="269">
        <f t="shared" si="43"/>
        <v>331859176.49686795</v>
      </c>
      <c r="AB50" s="8"/>
      <c r="AC50" s="269">
        <f ca="1">SUMIF('GS50-999 Normalized Monthly WN'!$B:$B,X50,'GS50-999 Normalized Monthly WN'!$S:$S)</f>
        <v>316344732.61415428</v>
      </c>
      <c r="AD50" s="269">
        <f t="shared" si="44"/>
        <v>7226093.9416703666</v>
      </c>
      <c r="AE50" s="269">
        <f t="shared" ca="1" si="45"/>
        <v>309118638.67248392</v>
      </c>
      <c r="AF50" s="269"/>
      <c r="AG50" s="269">
        <f t="shared" ca="1" si="46"/>
        <v>309118638.67248392</v>
      </c>
      <c r="AI50" s="267">
        <f t="shared" si="52"/>
        <v>2018</v>
      </c>
      <c r="AJ50" s="269">
        <f>SUMIF('Monthly Data'!$B:$B,AI50,'Monthly Data'!Q:Q)</f>
        <v>76765563.974827826</v>
      </c>
      <c r="AK50" s="269">
        <f>SUMIF('Monthly Data'!$B:$B,AI50,'Monthly Data'!R:R)</f>
        <v>10267066.018426483</v>
      </c>
      <c r="AL50" s="269">
        <f t="shared" si="47"/>
        <v>87032629.993254304</v>
      </c>
      <c r="AM50" s="269"/>
      <c r="AN50" s="269">
        <f ca="1">SUMIF('GS 1k-4,999 Normalized Mont WN'!$B:$B,X50,'GS 1k-4,999 Normalized Mont WN'!$P:$P)</f>
        <v>86016115.682057798</v>
      </c>
      <c r="AO50" s="269">
        <f t="shared" si="53"/>
        <v>10267066.018426483</v>
      </c>
      <c r="AP50" s="269">
        <f t="shared" ca="1" si="54"/>
        <v>75749049.66363132</v>
      </c>
      <c r="AQ50" s="269"/>
      <c r="AR50" s="269">
        <f t="shared" ca="1" si="55"/>
        <v>75749049.66363132</v>
      </c>
      <c r="AT50" s="267">
        <f t="shared" si="56"/>
        <v>2018</v>
      </c>
      <c r="AU50" s="269">
        <f>SUMIF('Monthly Data'!$B:$B,AT50,'Monthly Data'!V:V)</f>
        <v>44873420</v>
      </c>
      <c r="AV50" s="269">
        <f>SUMIF('Monthly Data'!$B:$B,AT50,'Monthly Data'!W:W)</f>
        <v>278914.11666666676</v>
      </c>
      <c r="AW50" s="269">
        <f t="shared" si="48"/>
        <v>45152334.116666667</v>
      </c>
      <c r="AX50" s="269"/>
      <c r="AY50" s="269">
        <f ca="1">SUMIF('Large Use Normalized Monthl WN'!$B:$B,AT50,'Large Use Normalized Monthl WN'!$W:$W)</f>
        <v>44855902.964958057</v>
      </c>
      <c r="AZ50" s="269">
        <f t="shared" si="57"/>
        <v>278914.11666666676</v>
      </c>
      <c r="BA50" s="269">
        <f t="shared" ca="1" si="58"/>
        <v>44576988.84829139</v>
      </c>
      <c r="BB50" s="269"/>
      <c r="BC50" s="269">
        <f t="shared" ca="1" si="59"/>
        <v>44576988.84829139</v>
      </c>
      <c r="BD50" s="4"/>
    </row>
    <row r="51" spans="2:56" x14ac:dyDescent="0.25">
      <c r="B51" s="267">
        <f t="shared" si="49"/>
        <v>2019</v>
      </c>
      <c r="C51" s="269">
        <f>SUMIF('Monthly Data'!$B:$B,B51,'Monthly Data'!D:D)</f>
        <v>482531157.99999994</v>
      </c>
      <c r="D51" s="269">
        <f>SUMIF('Monthly Data'!$B:$B,B51,'Monthly Data'!E:E)</f>
        <v>29232189.000000007</v>
      </c>
      <c r="E51" s="269">
        <f t="shared" si="35"/>
        <v>511763346.99999994</v>
      </c>
      <c r="F51" s="8"/>
      <c r="G51" s="269">
        <f ca="1">SUMIF('Res Normalized Monthly WN'!$B:$B,B51,'Res Normalized Monthly WN'!$R:$R)</f>
        <v>508629841.63115829</v>
      </c>
      <c r="H51" s="269">
        <f t="shared" si="36"/>
        <v>29232189.000000007</v>
      </c>
      <c r="I51" s="269">
        <f t="shared" ca="1" si="37"/>
        <v>479397652.63115829</v>
      </c>
      <c r="J51" s="269"/>
      <c r="K51" s="269">
        <f t="shared" ca="1" si="38"/>
        <v>479397652.63115829</v>
      </c>
      <c r="L51" s="4"/>
      <c r="M51" s="267">
        <f t="shared" si="50"/>
        <v>2019</v>
      </c>
      <c r="N51" s="269">
        <f>SUMIF('Monthly Data'!$B:$B,M51,'Monthly Data'!H:H)</f>
        <v>117191070.00000001</v>
      </c>
      <c r="O51" s="269">
        <f>SUMIF('Monthly Data'!$B:$B,M51,'Monthly Data'!I:I)</f>
        <v>6673753.7377930023</v>
      </c>
      <c r="P51" s="269">
        <f t="shared" si="39"/>
        <v>123864823.73779301</v>
      </c>
      <c r="Q51" s="8"/>
      <c r="R51" s="269">
        <f ca="1">SUMIF('GS&lt;50 Normalized Monthly WN'!$B:$B,M51,'GS&lt;50 Normalized Monthly WN'!S:$S)</f>
        <v>123162584.60351939</v>
      </c>
      <c r="S51" s="269">
        <f t="shared" si="40"/>
        <v>6673753.7377930023</v>
      </c>
      <c r="T51" s="269">
        <f t="shared" ca="1" si="41"/>
        <v>116488830.8657264</v>
      </c>
      <c r="U51" s="269"/>
      <c r="V51" s="269">
        <f t="shared" ca="1" si="42"/>
        <v>116488830.8657264</v>
      </c>
      <c r="W51" s="4"/>
      <c r="X51" s="267">
        <f t="shared" si="51"/>
        <v>2019</v>
      </c>
      <c r="Y51" s="269">
        <f>SUMIF('Monthly Data'!$B:$B,X51,'Monthly Data'!L:L)</f>
        <v>328874818.72622365</v>
      </c>
      <c r="Z51" s="269">
        <f>SUMIF('Monthly Data'!$B:$B,X51,'Monthly Data'!M:M)</f>
        <v>7815669.4940469246</v>
      </c>
      <c r="AA51" s="269">
        <f t="shared" si="43"/>
        <v>336690488.22027057</v>
      </c>
      <c r="AB51" s="8"/>
      <c r="AC51" s="269">
        <f ca="1">SUMIF('GS50-999 Normalized Monthly WN'!$B:$B,X51,'GS50-999 Normalized Monthly WN'!$S:$S)</f>
        <v>324769416.28918433</v>
      </c>
      <c r="AD51" s="269">
        <f t="shared" si="44"/>
        <v>7815669.4940469246</v>
      </c>
      <c r="AE51" s="269">
        <f t="shared" ca="1" si="45"/>
        <v>316953746.79513741</v>
      </c>
      <c r="AF51" s="269"/>
      <c r="AG51" s="269">
        <f t="shared" ca="1" si="46"/>
        <v>316953746.79513741</v>
      </c>
      <c r="AI51" s="267">
        <f t="shared" si="52"/>
        <v>2019</v>
      </c>
      <c r="AJ51" s="269">
        <f>SUMIF('Monthly Data'!$B:$B,AI51,'Monthly Data'!Q:Q)</f>
        <v>76875274.273776412</v>
      </c>
      <c r="AK51" s="269">
        <f>SUMIF('Monthly Data'!$B:$B,AI51,'Monthly Data'!R:R)</f>
        <v>10267066.018426485</v>
      </c>
      <c r="AL51" s="269">
        <f t="shared" si="47"/>
        <v>87142340.29220289</v>
      </c>
      <c r="AM51" s="269"/>
      <c r="AN51" s="269">
        <f ca="1">SUMIF('GS 1k-4,999 Normalized Mont WN'!$B:$B,X51,'GS 1k-4,999 Normalized Mont WN'!$P:$P)</f>
        <v>87799844.526723817</v>
      </c>
      <c r="AO51" s="269">
        <f t="shared" si="53"/>
        <v>10267066.018426485</v>
      </c>
      <c r="AP51" s="269">
        <f t="shared" ca="1" si="54"/>
        <v>77532778.508297324</v>
      </c>
      <c r="AQ51" s="269"/>
      <c r="AR51" s="269">
        <f t="shared" ca="1" si="55"/>
        <v>77532778.508297324</v>
      </c>
      <c r="AT51" s="267">
        <f t="shared" si="56"/>
        <v>2019</v>
      </c>
      <c r="AU51" s="269">
        <f>SUMIF('Monthly Data'!$B:$B,AT51,'Monthly Data'!V:V)</f>
        <v>38878938</v>
      </c>
      <c r="AV51" s="269">
        <f>SUMIF('Monthly Data'!$B:$B,AT51,'Monthly Data'!W:W)</f>
        <v>278694.2333333334</v>
      </c>
      <c r="AW51" s="269">
        <f t="shared" si="48"/>
        <v>39157632.233333334</v>
      </c>
      <c r="AX51" s="269"/>
      <c r="AY51" s="269">
        <f ca="1">SUMIF('Large Use Normalized Monthl WN'!$B:$B,AT51,'Large Use Normalized Monthl WN'!$W:$W)</f>
        <v>39225011.52115424</v>
      </c>
      <c r="AZ51" s="269">
        <f t="shared" si="57"/>
        <v>278694.2333333334</v>
      </c>
      <c r="BA51" s="269">
        <f t="shared" ca="1" si="58"/>
        <v>38946317.287820905</v>
      </c>
      <c r="BB51" s="269"/>
      <c r="BC51" s="269">
        <f t="shared" ca="1" si="59"/>
        <v>38946317.287820905</v>
      </c>
      <c r="BD51" s="4"/>
    </row>
    <row r="52" spans="2:56" x14ac:dyDescent="0.25">
      <c r="B52" s="267">
        <f t="shared" si="49"/>
        <v>2020</v>
      </c>
      <c r="C52" s="269">
        <f>SUMIF('Monthly Data'!$B:$B,B52,'Monthly Data'!D:D)</f>
        <v>515808015</v>
      </c>
      <c r="D52" s="269">
        <f>SUMIF('Monthly Data'!$B:$B,B52,'Monthly Data'!E:E)</f>
        <v>29230323.999999996</v>
      </c>
      <c r="E52" s="269">
        <f t="shared" si="35"/>
        <v>545038339</v>
      </c>
      <c r="F52" s="269"/>
      <c r="G52" s="269">
        <f ca="1">SUMIF('Res Normalized Monthly WN'!$B:$B,B52,'Res Normalized Monthly WN'!$R:$R)</f>
        <v>546758836.10344827</v>
      </c>
      <c r="H52" s="269">
        <f t="shared" si="36"/>
        <v>29230323.999999996</v>
      </c>
      <c r="I52" s="269">
        <f t="shared" ca="1" si="37"/>
        <v>517528512.10344827</v>
      </c>
      <c r="J52" s="269"/>
      <c r="K52" s="269">
        <f t="shared" ca="1" si="38"/>
        <v>517528512.10344827</v>
      </c>
      <c r="L52" s="4"/>
      <c r="M52" s="267">
        <f t="shared" si="50"/>
        <v>2020</v>
      </c>
      <c r="N52" s="269">
        <f>SUMIF('Monthly Data'!$B:$B,M52,'Monthly Data'!H:H)</f>
        <v>115055107</v>
      </c>
      <c r="O52" s="269">
        <f>SUMIF('Monthly Data'!$B:$B,M52,'Monthly Data'!I:I)</f>
        <v>6585301.5072964681</v>
      </c>
      <c r="P52" s="269">
        <f t="shared" si="39"/>
        <v>121640408.50729647</v>
      </c>
      <c r="Q52" s="269"/>
      <c r="R52" s="269">
        <f ca="1">SUMIF('GS&lt;50 Normalized Monthly WN'!$B:$B,M52,'GS&lt;50 Normalized Monthly WN'!S:$S)</f>
        <v>121129282.73999017</v>
      </c>
      <c r="S52" s="269">
        <f t="shared" si="40"/>
        <v>6585301.5072964681</v>
      </c>
      <c r="T52" s="269">
        <f t="shared" ca="1" si="41"/>
        <v>114543981.2326937</v>
      </c>
      <c r="U52" s="269"/>
      <c r="V52" s="269">
        <f t="shared" ca="1" si="42"/>
        <v>114543981.2326937</v>
      </c>
      <c r="W52" s="4"/>
      <c r="X52" s="267">
        <f t="shared" si="51"/>
        <v>2020</v>
      </c>
      <c r="Y52" s="269">
        <f>SUMIF('Monthly Data'!$B:$B,X52,'Monthly Data'!L:L)</f>
        <v>304515885.12731272</v>
      </c>
      <c r="Z52" s="269">
        <f>SUMIF('Monthly Data'!$B:$B,X52,'Monthly Data'!M:M)</f>
        <v>7784984.8386269622</v>
      </c>
      <c r="AA52" s="269">
        <f t="shared" si="43"/>
        <v>312300869.9659397</v>
      </c>
      <c r="AB52" s="269"/>
      <c r="AC52" s="269">
        <f ca="1">SUMIF('GS50-999 Normalized Monthly WN'!$B:$B,X52,'GS50-999 Normalized Monthly WN'!$S:$S)</f>
        <v>303652653.50228995</v>
      </c>
      <c r="AD52" s="269">
        <f t="shared" si="44"/>
        <v>7784984.8386269622</v>
      </c>
      <c r="AE52" s="269">
        <f t="shared" ca="1" si="45"/>
        <v>295867668.66366297</v>
      </c>
      <c r="AF52" s="269"/>
      <c r="AG52" s="269">
        <f t="shared" ca="1" si="46"/>
        <v>295867668.66366297</v>
      </c>
      <c r="AI52" s="267">
        <f t="shared" si="52"/>
        <v>2020</v>
      </c>
      <c r="AJ52" s="269">
        <f>SUMIF('Monthly Data'!$B:$B,AI52,'Monthly Data'!Q:Q)</f>
        <v>70871831.87268728</v>
      </c>
      <c r="AK52" s="269">
        <f>SUMIF('Monthly Data'!$B:$B,AI52,'Monthly Data'!R:R)</f>
        <v>10266934.348426484</v>
      </c>
      <c r="AL52" s="269">
        <f t="shared" si="47"/>
        <v>81138766.221113771</v>
      </c>
      <c r="AM52" s="269"/>
      <c r="AN52" s="269">
        <f ca="1">SUMIF('GS 1k-4,999 Normalized Mont WN'!$B:$B,X52,'GS 1k-4,999 Normalized Mont WN'!$P:$P)</f>
        <v>80445754.743632391</v>
      </c>
      <c r="AO52" s="269">
        <f t="shared" si="53"/>
        <v>10266934.348426484</v>
      </c>
      <c r="AP52" s="269">
        <f t="shared" ca="1" si="54"/>
        <v>70178820.395205915</v>
      </c>
      <c r="AQ52" s="269"/>
      <c r="AR52" s="269">
        <f t="shared" ca="1" si="55"/>
        <v>70178820.395205915</v>
      </c>
      <c r="AT52" s="267">
        <f t="shared" si="56"/>
        <v>2020</v>
      </c>
      <c r="AU52" s="269">
        <f>SUMIF('Monthly Data'!$B:$B,AT52,'Monthly Data'!V:V)</f>
        <v>30798516</v>
      </c>
      <c r="AV52" s="269">
        <f>SUMIF('Monthly Data'!$B:$B,AT52,'Monthly Data'!W:W)</f>
        <v>278474.34999999998</v>
      </c>
      <c r="AW52" s="269">
        <f t="shared" si="48"/>
        <v>31076990.350000001</v>
      </c>
      <c r="AX52" s="269"/>
      <c r="AY52" s="269">
        <f ca="1">SUMIF('Large Use Normalized Monthl WN'!$B:$B,AT52,'Large Use Normalized Monthl WN'!$W:$W)</f>
        <v>31029263.609303031</v>
      </c>
      <c r="AZ52" s="269">
        <f t="shared" si="57"/>
        <v>278474.34999999998</v>
      </c>
      <c r="BA52" s="269">
        <f t="shared" ca="1" si="58"/>
        <v>30750789.25930303</v>
      </c>
      <c r="BB52" s="269"/>
      <c r="BC52" s="269">
        <f t="shared" ca="1" si="59"/>
        <v>30750789.25930303</v>
      </c>
      <c r="BD52" s="4"/>
    </row>
    <row r="53" spans="2:56" x14ac:dyDescent="0.25">
      <c r="B53" s="267">
        <f t="shared" si="49"/>
        <v>2021</v>
      </c>
      <c r="C53" s="269">
        <f>SUMIF('Monthly Data'!$B:$B,B53,'Monthly Data'!D:D)</f>
        <v>512708990.99999994</v>
      </c>
      <c r="D53" s="269">
        <f>SUMIF('Monthly Data'!$B:$B,B53,'Monthly Data'!E:E)</f>
        <v>29305871.934940301</v>
      </c>
      <c r="E53" s="269">
        <f t="shared" si="35"/>
        <v>542014862.93494022</v>
      </c>
      <c r="F53" s="8"/>
      <c r="G53" s="269">
        <f ca="1">SUMIF('Res Normalized Monthly WN'!$B:$B,B53,'Res Normalized Monthly WN'!$R:$R)</f>
        <v>541846755.98222971</v>
      </c>
      <c r="H53" s="269">
        <f t="shared" si="36"/>
        <v>29305871.934940301</v>
      </c>
      <c r="I53" s="269">
        <f t="shared" ca="1" si="37"/>
        <v>512540884.04728943</v>
      </c>
      <c r="J53" s="269"/>
      <c r="K53" s="269">
        <f t="shared" ca="1" si="38"/>
        <v>512540884.04728943</v>
      </c>
      <c r="L53" s="4"/>
      <c r="M53" s="267">
        <f t="shared" si="50"/>
        <v>2021</v>
      </c>
      <c r="N53" s="269">
        <f>SUMIF('Monthly Data'!$B:$B,M53,'Monthly Data'!H:H)</f>
        <v>119245755.00000001</v>
      </c>
      <c r="O53" s="269">
        <f>SUMIF('Monthly Data'!$B:$B,M53,'Monthly Data'!I:I)</f>
        <v>6723203.5239578728</v>
      </c>
      <c r="P53" s="269">
        <f t="shared" si="39"/>
        <v>125968958.52395789</v>
      </c>
      <c r="Q53" s="8"/>
      <c r="R53" s="269">
        <f ca="1">SUMIF('GS&lt;50 Normalized Monthly WN'!$B:$B,M53,'GS&lt;50 Normalized Monthly WN'!S:$S)</f>
        <v>126065641.91724691</v>
      </c>
      <c r="S53" s="269">
        <f t="shared" si="40"/>
        <v>6723203.5239578728</v>
      </c>
      <c r="T53" s="269">
        <f t="shared" ca="1" si="41"/>
        <v>119342438.39328903</v>
      </c>
      <c r="U53" s="269"/>
      <c r="V53" s="269">
        <f t="shared" ca="1" si="42"/>
        <v>119342438.39328903</v>
      </c>
      <c r="W53" s="4"/>
      <c r="X53" s="267">
        <f t="shared" si="51"/>
        <v>2021</v>
      </c>
      <c r="Y53" s="269">
        <f>SUMIF('Monthly Data'!$B:$B,X53,'Monthly Data'!L:L)</f>
        <v>310470030.40933514</v>
      </c>
      <c r="Z53" s="269">
        <f>SUMIF('Monthly Data'!$B:$B,X53,'Monthly Data'!M:M)</f>
        <v>8419069.7081180345</v>
      </c>
      <c r="AA53" s="269">
        <f t="shared" si="43"/>
        <v>318889100.11745316</v>
      </c>
      <c r="AB53" s="8"/>
      <c r="AC53" s="269">
        <f ca="1">SUMIF('GS50-999 Normalized Monthly WN'!$B:$B,X53,'GS50-999 Normalized Monthly WN'!$S:$S)</f>
        <v>311848725.97677535</v>
      </c>
      <c r="AD53" s="269">
        <f t="shared" si="44"/>
        <v>8419069.7081180345</v>
      </c>
      <c r="AE53" s="269">
        <f t="shared" ca="1" si="45"/>
        <v>303429656.26865733</v>
      </c>
      <c r="AF53" s="269"/>
      <c r="AG53" s="269">
        <f t="shared" ca="1" si="46"/>
        <v>303429656.26865733</v>
      </c>
      <c r="AI53" s="267">
        <f t="shared" si="52"/>
        <v>2021</v>
      </c>
      <c r="AJ53" s="269">
        <f>SUMIF('Monthly Data'!$B:$B,AI53,'Monthly Data'!Q:Q)</f>
        <v>70260671.590664953</v>
      </c>
      <c r="AK53" s="269">
        <f>SUMIF('Monthly Data'!$B:$B,AI53,'Monthly Data'!R:R)</f>
        <v>10384797.871148594</v>
      </c>
      <c r="AL53" s="269">
        <f t="shared" si="47"/>
        <v>80645469.461813539</v>
      </c>
      <c r="AM53" s="269"/>
      <c r="AN53" s="269">
        <f ca="1">SUMIF('GS 1k-4,999 Normalized Mont WN'!$B:$B,X53,'GS 1k-4,999 Normalized Mont WN'!$P:$P)</f>
        <v>80158682.147446394</v>
      </c>
      <c r="AO53" s="269">
        <f t="shared" si="53"/>
        <v>10384797.871148594</v>
      </c>
      <c r="AP53" s="269">
        <f t="shared" ca="1" si="54"/>
        <v>69773884.276297808</v>
      </c>
      <c r="AQ53" s="269"/>
      <c r="AR53" s="269">
        <f t="shared" ca="1" si="55"/>
        <v>69773884.276297808</v>
      </c>
      <c r="AT53" s="267">
        <f t="shared" si="56"/>
        <v>2021</v>
      </c>
      <c r="AU53" s="269">
        <f>SUMIF('Monthly Data'!$B:$B,AT53,'Monthly Data'!V:V)</f>
        <v>36146632</v>
      </c>
      <c r="AV53" s="269">
        <f>SUMIF('Monthly Data'!$B:$B,AT53,'Monthly Data'!W:W)</f>
        <v>314471.08306896273</v>
      </c>
      <c r="AW53" s="269">
        <f t="shared" si="48"/>
        <v>36461103.083068959</v>
      </c>
      <c r="AX53" s="269"/>
      <c r="AY53" s="269">
        <f ca="1">SUMIF('Large Use Normalized Monthl WN'!$B:$B,AT53,'Large Use Normalized Monthl WN'!$W:$W)</f>
        <v>36382123.473760217</v>
      </c>
      <c r="AZ53" s="269">
        <f t="shared" si="57"/>
        <v>314471.08306896273</v>
      </c>
      <c r="BA53" s="269">
        <f t="shared" ca="1" si="58"/>
        <v>36067652.390691258</v>
      </c>
      <c r="BB53" s="269"/>
      <c r="BC53" s="269">
        <f t="shared" ca="1" si="59"/>
        <v>36067652.390691258</v>
      </c>
      <c r="BD53" s="4"/>
    </row>
    <row r="54" spans="2:56" x14ac:dyDescent="0.25">
      <c r="B54" s="267">
        <f t="shared" si="49"/>
        <v>2022</v>
      </c>
      <c r="C54" s="269">
        <f>SUMIF('Monthly Data'!$B:$B,B54,'Monthly Data'!D:D)</f>
        <v>507634502.00000006</v>
      </c>
      <c r="D54" s="269">
        <f>SUMIF('Monthly Data'!$B:$B,B54,'Monthly Data'!E:E)</f>
        <v>29517005.58162735</v>
      </c>
      <c r="E54" s="269">
        <f t="shared" si="35"/>
        <v>537151507.58162737</v>
      </c>
      <c r="F54" s="8"/>
      <c r="G54" s="269">
        <f ca="1">SUMIF('Res Normalized Monthly WN'!$B:$B,B54,'Res Normalized Monthly WN'!$R:$R)</f>
        <v>534213778.52261835</v>
      </c>
      <c r="H54" s="269">
        <f t="shared" si="36"/>
        <v>29517005.58162735</v>
      </c>
      <c r="I54" s="269">
        <f t="shared" ca="1" si="37"/>
        <v>504696772.94099098</v>
      </c>
      <c r="J54" s="269"/>
      <c r="K54" s="269">
        <f t="shared" ca="1" si="38"/>
        <v>504696772.94099098</v>
      </c>
      <c r="L54" s="4"/>
      <c r="M54" s="267">
        <f t="shared" si="50"/>
        <v>2022</v>
      </c>
      <c r="N54" s="269">
        <f>SUMIF('Monthly Data'!$B:$B,M54,'Monthly Data'!H:H)</f>
        <v>126198741.00000001</v>
      </c>
      <c r="O54" s="269">
        <f>SUMIF('Monthly Data'!$B:$B,M54,'Monthly Data'!I:I)</f>
        <v>7633814.9046583204</v>
      </c>
      <c r="P54" s="269">
        <f t="shared" si="39"/>
        <v>133832555.90465833</v>
      </c>
      <c r="Q54" s="8"/>
      <c r="R54" s="269">
        <f ca="1">SUMIF('GS&lt;50 Normalized Monthly WN'!$B:$B,M54,'GS&lt;50 Normalized Monthly WN'!S:$S)</f>
        <v>133363947.45562454</v>
      </c>
      <c r="S54" s="269">
        <f t="shared" si="40"/>
        <v>7633814.9046583204</v>
      </c>
      <c r="T54" s="269">
        <f t="shared" ca="1" si="41"/>
        <v>125730132.55096622</v>
      </c>
      <c r="U54" s="269"/>
      <c r="V54" s="269">
        <f t="shared" ca="1" si="42"/>
        <v>125730132.55096622</v>
      </c>
      <c r="W54" s="4"/>
      <c r="X54" s="267">
        <f t="shared" si="51"/>
        <v>2022</v>
      </c>
      <c r="Y54" s="269">
        <f>SUMIF('Monthly Data'!$B:$B,X54,'Monthly Data'!L:L)</f>
        <v>342060680.01827008</v>
      </c>
      <c r="Z54" s="269">
        <f>SUMIF('Monthly Data'!$B:$B,X54,'Monthly Data'!M:M)</f>
        <v>10123383.733097071</v>
      </c>
      <c r="AA54" s="269">
        <f t="shared" si="43"/>
        <v>352184063.75136715</v>
      </c>
      <c r="AB54" s="8"/>
      <c r="AC54" s="269">
        <f ca="1">SUMIF('GS50-999 Normalized Monthly WN'!$B:$B,X54,'GS50-999 Normalized Monthly WN'!$S:$S)</f>
        <v>342130818.9858126</v>
      </c>
      <c r="AD54" s="269">
        <f t="shared" si="44"/>
        <v>10123383.733097071</v>
      </c>
      <c r="AE54" s="269">
        <f t="shared" ca="1" si="45"/>
        <v>332007435.25271553</v>
      </c>
      <c r="AF54" s="269"/>
      <c r="AG54" s="269">
        <f t="shared" ca="1" si="46"/>
        <v>332007435.25271553</v>
      </c>
      <c r="AI54" s="267">
        <f t="shared" si="52"/>
        <v>2022</v>
      </c>
      <c r="AJ54" s="269">
        <f>SUMIF('Monthly Data'!$B:$B,AI54,'Monthly Data'!Q:Q)</f>
        <v>81816679.460561812</v>
      </c>
      <c r="AK54" s="269">
        <f>SUMIF('Monthly Data'!$B:$B,AI54,'Monthly Data'!R:R)</f>
        <v>10735595.671786766</v>
      </c>
      <c r="AL54" s="269">
        <f t="shared" si="47"/>
        <v>92552275.132348582</v>
      </c>
      <c r="AM54" s="269"/>
      <c r="AN54" s="269">
        <f ca="1">SUMIF('GS 1k-4,999 Normalized Mont WN'!$B:$B,X54,'GS 1k-4,999 Normalized Mont WN'!$P:$P)</f>
        <v>92716808.627332389</v>
      </c>
      <c r="AO54" s="269">
        <f t="shared" si="53"/>
        <v>10735595.671786766</v>
      </c>
      <c r="AP54" s="269">
        <f t="shared" ca="1" si="54"/>
        <v>81981212.955545619</v>
      </c>
      <c r="AQ54" s="269"/>
      <c r="AR54" s="269">
        <f t="shared" ca="1" si="55"/>
        <v>81981212.955545619</v>
      </c>
      <c r="AT54" s="267">
        <f t="shared" si="56"/>
        <v>2022</v>
      </c>
      <c r="AU54" s="269">
        <f>SUMIF('Monthly Data'!$B:$B,AT54,'Monthly Data'!V:V)</f>
        <v>33850160</v>
      </c>
      <c r="AV54" s="269">
        <f>SUMIF('Monthly Data'!$B:$B,AT54,'Monthly Data'!W:W)</f>
        <v>390912.74599548522</v>
      </c>
      <c r="AW54" s="269">
        <f t="shared" si="48"/>
        <v>34241072.745995484</v>
      </c>
      <c r="AX54" s="269"/>
      <c r="AY54" s="269">
        <f ca="1">SUMIF('Large Use Normalized Monthl WN'!$B:$B,AT54,'Large Use Normalized Monthl WN'!$W:$W)</f>
        <v>34224796.754030883</v>
      </c>
      <c r="AZ54" s="269">
        <f t="shared" si="57"/>
        <v>390912.74599548522</v>
      </c>
      <c r="BA54" s="269">
        <f t="shared" ca="1" si="58"/>
        <v>33833884.008035399</v>
      </c>
      <c r="BB54" s="269"/>
      <c r="BC54" s="269">
        <f t="shared" ca="1" si="59"/>
        <v>33833884.008035399</v>
      </c>
      <c r="BD54" s="4"/>
    </row>
    <row r="55" spans="2:56" x14ac:dyDescent="0.25">
      <c r="B55" s="267">
        <f t="shared" si="49"/>
        <v>2023</v>
      </c>
      <c r="C55" s="269">
        <f>SUMIF('Monthly Data'!$B:$B,B55,'Monthly Data'!D:D)</f>
        <v>515036055.76324266</v>
      </c>
      <c r="D55" s="269">
        <f>SUMIF('Monthly Data'!$B:$B,B55,'Monthly Data'!E:E)</f>
        <v>30133809.976284716</v>
      </c>
      <c r="E55" s="269">
        <f t="shared" si="35"/>
        <v>545169865.73952734</v>
      </c>
      <c r="F55" s="269"/>
      <c r="G55" s="269">
        <f ca="1">SUMIF('Res Normalized Monthly WN'!$B:$B,B55,'Res Normalized Monthly WN'!$R:$R)</f>
        <v>555739491.35046256</v>
      </c>
      <c r="H55" s="269">
        <f t="shared" si="36"/>
        <v>30133809.976284716</v>
      </c>
      <c r="I55" s="269">
        <f t="shared" ca="1" si="37"/>
        <v>525605681.37417781</v>
      </c>
      <c r="J55" s="269"/>
      <c r="K55" s="269">
        <f t="shared" ca="1" si="38"/>
        <v>525605681.37417781</v>
      </c>
      <c r="L55" s="4"/>
      <c r="M55" s="267">
        <f t="shared" si="50"/>
        <v>2023</v>
      </c>
      <c r="N55" s="269">
        <f>SUMIF('Monthly Data'!$B:$B,M55,'Monthly Data'!H:H)</f>
        <v>126694932.13</v>
      </c>
      <c r="O55" s="269">
        <f>SUMIF('Monthly Data'!$B:$B,M55,'Monthly Data'!I:I)</f>
        <v>8863502.7297288366</v>
      </c>
      <c r="P55" s="269">
        <f t="shared" si="39"/>
        <v>135558434.85972884</v>
      </c>
      <c r="Q55" s="269"/>
      <c r="R55" s="269">
        <f ca="1">SUMIF('GS&lt;50 Normalized Monthly WN'!$B:$B,M55,'GS&lt;50 Normalized Monthly WN'!S:$S)</f>
        <v>137596185.57492051</v>
      </c>
      <c r="S55" s="269">
        <f>O55</f>
        <v>8863502.7297288366</v>
      </c>
      <c r="T55" s="269">
        <f t="shared" ca="1" si="41"/>
        <v>128732682.84519167</v>
      </c>
      <c r="U55" s="269"/>
      <c r="V55" s="269">
        <f t="shared" ca="1" si="42"/>
        <v>128732682.84519167</v>
      </c>
      <c r="W55" s="4"/>
      <c r="X55" s="267">
        <f t="shared" si="51"/>
        <v>2023</v>
      </c>
      <c r="Y55" s="269">
        <f>SUMIF('Monthly Data'!$B:$B,X55,'Monthly Data'!L:L)</f>
        <v>321367374.95395875</v>
      </c>
      <c r="Z55" s="269">
        <f>SUMIF('Monthly Data'!$B:$B,X55,'Monthly Data'!M:M)</f>
        <v>12359708.990371948</v>
      </c>
      <c r="AA55" s="269">
        <f t="shared" si="43"/>
        <v>333727083.94433069</v>
      </c>
      <c r="AB55" s="269"/>
      <c r="AC55" s="269">
        <f ca="1">SUMIF('GS50-999 Normalized Monthly WN'!$B:$B,X55,'GS50-999 Normalized Monthly WN'!$S:$S)</f>
        <v>331461099.94943392</v>
      </c>
      <c r="AD55" s="269">
        <f t="shared" si="44"/>
        <v>12359708.990371948</v>
      </c>
      <c r="AE55" s="269">
        <f t="shared" ca="1" si="45"/>
        <v>319101390.95906198</v>
      </c>
      <c r="AF55" s="269"/>
      <c r="AG55" s="269">
        <f t="shared" ca="1" si="46"/>
        <v>319101390.95906198</v>
      </c>
      <c r="AI55" s="267">
        <f t="shared" si="52"/>
        <v>2023</v>
      </c>
      <c r="AJ55" s="269">
        <f>SUMIF('Monthly Data'!$B:$B,AI55,'Monthly Data'!Q:Q)</f>
        <v>77073500.362002477</v>
      </c>
      <c r="AK55" s="269">
        <f>SUMIF('Monthly Data'!$B:$B,AI55,'Monthly Data'!R:R)</f>
        <v>11776437.184313722</v>
      </c>
      <c r="AL55" s="269">
        <f t="shared" si="47"/>
        <v>88849937.546316206</v>
      </c>
      <c r="AM55" s="269"/>
      <c r="AN55" s="269">
        <f ca="1">SUMIF('GS 1k-4,999 Normalized Mont WN'!$B:$B,X55,'GS 1k-4,999 Normalized Mont WN'!$P:$P)</f>
        <v>89328056.240921676</v>
      </c>
      <c r="AO55" s="269">
        <f t="shared" si="53"/>
        <v>11776437.184313722</v>
      </c>
      <c r="AP55" s="269">
        <f t="shared" ca="1" si="54"/>
        <v>77551619.056607962</v>
      </c>
      <c r="AQ55" s="269"/>
      <c r="AR55" s="269">
        <f t="shared" ca="1" si="55"/>
        <v>77551619.056607962</v>
      </c>
      <c r="AT55" s="267">
        <f t="shared" si="56"/>
        <v>2023</v>
      </c>
      <c r="AU55" s="269">
        <f>SUMIF('Monthly Data'!$B:$B,AT55,'Monthly Data'!V:V)</f>
        <v>33850160.000000007</v>
      </c>
      <c r="AV55" s="269">
        <f>SUMIF('Monthly Data'!$B:$B,AT55,'Monthly Data'!W:W)</f>
        <v>535149.39831725019</v>
      </c>
      <c r="AW55" s="269">
        <f t="shared" si="48"/>
        <v>34385309.398317255</v>
      </c>
      <c r="AX55" s="269"/>
      <c r="AY55" s="269">
        <f ca="1">SUMIF('Large Use Normalized Monthl WN'!$B:$B,AT55,'Large Use Normalized Monthl WN'!$W:$W)</f>
        <v>34559575.706118673</v>
      </c>
      <c r="AZ55" s="269">
        <f t="shared" si="57"/>
        <v>535149.39831725019</v>
      </c>
      <c r="BA55" s="269">
        <f t="shared" ca="1" si="58"/>
        <v>34024426.307801425</v>
      </c>
      <c r="BB55" s="269"/>
      <c r="BC55" s="269">
        <f t="shared" ca="1" si="59"/>
        <v>34024426.307801425</v>
      </c>
      <c r="BD55" s="4"/>
    </row>
    <row r="56" spans="2:56" x14ac:dyDescent="0.25">
      <c r="B56" s="267">
        <f t="shared" si="49"/>
        <v>2024</v>
      </c>
      <c r="C56" s="269">
        <f>SUMIF('Monthly Data'!$B:$B,B56,'Monthly Data'!D:D)</f>
        <v>521215102.08675742</v>
      </c>
      <c r="D56" s="269">
        <f>SUMIF('Monthly Data'!$B:$B,B56,'Monthly Data'!E:E)</f>
        <v>31567265.493016616</v>
      </c>
      <c r="E56" s="269">
        <f>C56+D56</f>
        <v>552782367.57977402</v>
      </c>
      <c r="F56" s="269"/>
      <c r="G56" s="269">
        <f ca="1">SUMIF('Res Normalized Monthly WN'!$B:$B,B56,'Res Normalized Monthly WN'!$R:$R)</f>
        <v>562615487.30125594</v>
      </c>
      <c r="H56" s="269">
        <f>D56</f>
        <v>31567265.493016616</v>
      </c>
      <c r="I56" s="269">
        <f ca="1">G56-H56</f>
        <v>531048221.80823934</v>
      </c>
      <c r="J56" s="269"/>
      <c r="K56" s="269">
        <f ca="1">I56+J56</f>
        <v>531048221.80823934</v>
      </c>
      <c r="L56" s="4"/>
      <c r="M56" s="267">
        <f t="shared" si="50"/>
        <v>2024</v>
      </c>
      <c r="N56" s="269">
        <f>SUMIF('Monthly Data'!$B:$B,M56,'Monthly Data'!H:H)</f>
        <v>131296579</v>
      </c>
      <c r="O56" s="269">
        <f>SUMIF('Monthly Data'!$B:$B,M56,'Monthly Data'!I:I)</f>
        <v>10274097.419494292</v>
      </c>
      <c r="P56" s="269">
        <f>N56+O56</f>
        <v>141570676.4194943</v>
      </c>
      <c r="Q56" s="269"/>
      <c r="R56" s="269">
        <f ca="1">SUMIF('GS&lt;50 Normalized Monthly WN'!$B:$B,M56,'GS&lt;50 Normalized Monthly WN'!S:$S)</f>
        <v>143489380.69740924</v>
      </c>
      <c r="S56" s="269">
        <f>O56</f>
        <v>10274097.419494292</v>
      </c>
      <c r="T56" s="269">
        <f ca="1">R56-S56</f>
        <v>133215283.27791496</v>
      </c>
      <c r="U56" s="269"/>
      <c r="V56" s="269">
        <f ca="1">T56+U56</f>
        <v>133215283.27791496</v>
      </c>
      <c r="W56" s="4"/>
      <c r="X56" s="267">
        <f t="shared" si="51"/>
        <v>2024</v>
      </c>
      <c r="Y56" s="269">
        <f>SUMIF('Monthly Data'!$B:$B,X56,'Monthly Data'!L:L)</f>
        <v>310385722.80520695</v>
      </c>
      <c r="Z56" s="269">
        <f>SUMIF('Monthly Data'!$B:$B,X56,'Monthly Data'!M:M)</f>
        <v>14642100.019155171</v>
      </c>
      <c r="AA56" s="269">
        <f>Y56+Z56</f>
        <v>325027822.8243621</v>
      </c>
      <c r="AB56" s="269"/>
      <c r="AC56" s="269">
        <f ca="1">SUMIF('GS50-999 Normalized Monthly WN'!$B:$B,X56,'GS50-999 Normalized Monthly WN'!$S:$S)</f>
        <v>322918882.013785</v>
      </c>
      <c r="AD56" s="269">
        <f>Z56</f>
        <v>14642100.019155171</v>
      </c>
      <c r="AE56" s="269">
        <f ca="1">AC56-AD56</f>
        <v>308276781.99462986</v>
      </c>
      <c r="AF56" s="269"/>
      <c r="AG56" s="269">
        <f ca="1">AE56+AF56</f>
        <v>308276781.99462986</v>
      </c>
      <c r="AI56" s="267">
        <f t="shared" si="52"/>
        <v>2024</v>
      </c>
      <c r="AJ56" s="269">
        <f>SUMIF('Monthly Data'!$B:$B,AI56,'Monthly Data'!Q:Q)</f>
        <v>81507757</v>
      </c>
      <c r="AK56" s="269">
        <f>SUMIF('Monthly Data'!$B:$B,AI56,'Monthly Data'!R:R)</f>
        <v>13613039.03583131</v>
      </c>
      <c r="AL56" s="269">
        <f t="shared" si="47"/>
        <v>95120796.035831302</v>
      </c>
      <c r="AM56" s="269"/>
      <c r="AN56" s="269">
        <f ca="1">SUMIF('GS 1k-4,999 Normalized Mont WN'!$B:$B,X56,'GS 1k-4,999 Normalized Mont WN'!$P:$P)</f>
        <v>95132341.85829711</v>
      </c>
      <c r="AO56" s="269">
        <f t="shared" si="53"/>
        <v>13613039.03583131</v>
      </c>
      <c r="AP56" s="269">
        <f t="shared" ca="1" si="54"/>
        <v>81519302.822465807</v>
      </c>
      <c r="AQ56" s="269"/>
      <c r="AR56" s="269">
        <f t="shared" ca="1" si="55"/>
        <v>81519302.822465807</v>
      </c>
      <c r="AT56" s="267">
        <f t="shared" si="56"/>
        <v>2024</v>
      </c>
      <c r="AU56" s="269">
        <f>SUMIF('Monthly Data'!$B:$B,AT56,'Monthly Data'!V:V)</f>
        <v>39718186</v>
      </c>
      <c r="AV56" s="269">
        <f>SUMIF('Monthly Data'!$B:$B,AT56,'Monthly Data'!W:W)</f>
        <v>726843.17854955222</v>
      </c>
      <c r="AW56" s="269">
        <f t="shared" si="48"/>
        <v>40445029.17854955</v>
      </c>
      <c r="AX56" s="269"/>
      <c r="AY56" s="269">
        <f ca="1">SUMIF('Large Use Normalized Monthl WN'!$B:$B,AT56,'Large Use Normalized Monthl WN'!$W:$W)</f>
        <v>40547566.312512428</v>
      </c>
      <c r="AZ56" s="269">
        <f t="shared" si="57"/>
        <v>726843.17854955222</v>
      </c>
      <c r="BA56" s="269">
        <f t="shared" ca="1" si="58"/>
        <v>39820723.133962877</v>
      </c>
      <c r="BB56" s="269"/>
      <c r="BC56" s="269">
        <f t="shared" ca="1" si="59"/>
        <v>39820723.133962877</v>
      </c>
      <c r="BD56" s="4"/>
    </row>
    <row r="57" spans="2:56" x14ac:dyDescent="0.25">
      <c r="B57" s="9">
        <f>B56+1</f>
        <v>2025</v>
      </c>
      <c r="C57" s="9"/>
      <c r="D57" s="9"/>
      <c r="E57" s="9"/>
      <c r="F57" s="9"/>
      <c r="G57" s="269">
        <f ca="1">SUMIF('Res Normalized Monthly WN'!$B:$B,B57,'Res Normalized Monthly WN'!$R:$R)</f>
        <v>570997299.81181824</v>
      </c>
      <c r="H57" s="8">
        <f>CDM!M28</f>
        <v>31134905.522142</v>
      </c>
      <c r="I57" s="8">
        <f ca="1">G57-H57</f>
        <v>539862394.28967619</v>
      </c>
      <c r="J57" s="8">
        <f ca="1">'Total Additional-Lost Loads'!D16</f>
        <v>2660006.2374452404</v>
      </c>
      <c r="K57" s="8">
        <f ca="1">I57+J57</f>
        <v>542522400.52712142</v>
      </c>
      <c r="L57" s="4"/>
      <c r="M57" s="9">
        <f>M56+1</f>
        <v>2025</v>
      </c>
      <c r="N57" s="9"/>
      <c r="O57" s="9"/>
      <c r="P57" s="9"/>
      <c r="Q57" s="9"/>
      <c r="R57" s="8">
        <f ca="1">SUMIF('GS&lt;50 Normalized Monthly WN'!$B:$B,M57,'GS&lt;50 Normalized Monthly WN'!S:$S)</f>
        <v>139575293.17942873</v>
      </c>
      <c r="S57" s="8">
        <f>CDM!N28</f>
        <v>9604045.3668436669</v>
      </c>
      <c r="T57" s="8">
        <f t="shared" ca="1" si="41"/>
        <v>129971247.81258506</v>
      </c>
      <c r="U57" s="8">
        <f ca="1">'Total Additional-Lost Loads'!D17</f>
        <v>564519.02635795879</v>
      </c>
      <c r="V57" s="8">
        <f ca="1">T57+U57</f>
        <v>130535766.83894302</v>
      </c>
      <c r="W57" s="4"/>
      <c r="X57" s="9">
        <f>X56+1</f>
        <v>2025</v>
      </c>
      <c r="Y57" s="9"/>
      <c r="Z57" s="9"/>
      <c r="AA57" s="9"/>
      <c r="AB57" s="9"/>
      <c r="AC57" s="8">
        <f ca="1">SUMIF('GS50-999 Normalized Monthly WN'!$B:$B,X57,'GS50-999 Normalized Monthly WN'!$S:$S)</f>
        <v>336576278.04112679</v>
      </c>
      <c r="AD57" s="8">
        <f>CDM!O28</f>
        <v>14028874.837089229</v>
      </c>
      <c r="AE57" s="8">
        <f ca="1">AC57-AD57</f>
        <v>322547403.20403755</v>
      </c>
      <c r="AF57" s="8">
        <f>'Total Additional-Lost Loads'!D18+'Total Additional-Lost Loads'!D28</f>
        <v>107148.00320257829</v>
      </c>
      <c r="AG57" s="8">
        <f ca="1">AE57+AF57</f>
        <v>322654551.2072401</v>
      </c>
      <c r="AI57" s="9">
        <f t="shared" si="52"/>
        <v>2025</v>
      </c>
      <c r="AJ57" s="8"/>
      <c r="AK57" s="8"/>
      <c r="AL57" s="8"/>
      <c r="AM57" s="8"/>
      <c r="AN57" s="8">
        <f ca="1">SUMIF('GS 1k-4,999 Normalized Mont WN'!$B:$B,X57,'GS 1k-4,999 Normalized Mont WN'!$P:$P)</f>
        <v>93445528.020666704</v>
      </c>
      <c r="AO57" s="8">
        <f>AO15</f>
        <v>13136830.164710363</v>
      </c>
      <c r="AP57" s="8">
        <f t="shared" ca="1" si="54"/>
        <v>80308697.855956346</v>
      </c>
      <c r="AQ57" s="8">
        <f>AQ15</f>
        <v>107148.00320257829</v>
      </c>
      <c r="AR57" s="8">
        <f t="shared" ca="1" si="55"/>
        <v>80415845.859158918</v>
      </c>
      <c r="AT57" s="9">
        <f t="shared" si="56"/>
        <v>2025</v>
      </c>
      <c r="AU57" s="8"/>
      <c r="AV57" s="8"/>
      <c r="AW57" s="8"/>
      <c r="AX57" s="8"/>
      <c r="AY57" s="8">
        <f ca="1">SUMIF('Large Use Normalized Monthl WN'!$B:$B,AT57,'Large Use Normalized Monthl WN'!$W:$W)</f>
        <v>39203600.560869493</v>
      </c>
      <c r="AZ57" s="8">
        <f>AZ15</f>
        <v>726156.48238483572</v>
      </c>
      <c r="BA57" s="8">
        <f t="shared" ca="1" si="58"/>
        <v>38477444.078484654</v>
      </c>
      <c r="BB57" s="8">
        <f>BB15</f>
        <v>8585.6314769100754</v>
      </c>
      <c r="BC57" s="8">
        <f t="shared" ca="1" si="59"/>
        <v>38486029.709961563</v>
      </c>
      <c r="BD57" s="4"/>
    </row>
    <row r="58" spans="2:56" x14ac:dyDescent="0.25">
      <c r="B58" s="9">
        <f>B57+1</f>
        <v>2026</v>
      </c>
      <c r="C58" s="9"/>
      <c r="D58" s="9"/>
      <c r="E58" s="9"/>
      <c r="F58" s="9"/>
      <c r="G58" s="269">
        <f ca="1">SUMIF('Res Normalized Monthly WN'!$B:$B,B58,'Res Normalized Monthly WN'!$R:$R)</f>
        <v>580190762.45075488</v>
      </c>
      <c r="H58" s="8">
        <f>CDM!M29</f>
        <v>30745480.285217583</v>
      </c>
      <c r="I58" s="8">
        <f ca="1">G58-H58</f>
        <v>549445282.16553736</v>
      </c>
      <c r="J58" s="8">
        <f ca="1">'Total Additional-Lost Loads'!E16</f>
        <v>6300525.710585977</v>
      </c>
      <c r="K58" s="8">
        <f ca="1">I58+J58</f>
        <v>555745807.87612331</v>
      </c>
      <c r="L58" s="4"/>
      <c r="M58" s="9">
        <f>M57+1</f>
        <v>2026</v>
      </c>
      <c r="N58" s="9"/>
      <c r="O58" s="9"/>
      <c r="P58" s="9"/>
      <c r="Q58" s="9"/>
      <c r="R58" s="8">
        <f ca="1">SUMIF('GS&lt;50 Normalized Monthly WN'!$B:$B,M58,'GS&lt;50 Normalized Monthly WN'!S:$S)</f>
        <v>140458875.38649058</v>
      </c>
      <c r="S58" s="8">
        <f>CDM!N29</f>
        <v>9078434.0899492577</v>
      </c>
      <c r="T58" s="8">
        <f t="shared" ca="1" si="41"/>
        <v>131380441.29654133</v>
      </c>
      <c r="U58" s="8">
        <f ca="1">'Total Additional-Lost Loads'!E17</f>
        <v>1372659.1458830875</v>
      </c>
      <c r="V58" s="8">
        <f ca="1">T58+U58</f>
        <v>132753100.44242442</v>
      </c>
      <c r="W58" s="4"/>
      <c r="X58" s="9">
        <f>X57+1</f>
        <v>2026</v>
      </c>
      <c r="Y58" s="9"/>
      <c r="Z58" s="9"/>
      <c r="AA58" s="9"/>
      <c r="AB58" s="9"/>
      <c r="AC58" s="8">
        <f ca="1">SUMIF('GS50-999 Normalized Monthly WN'!$B:$B,X58,'GS50-999 Normalized Monthly WN'!$S:$S)</f>
        <v>337262813.12281561</v>
      </c>
      <c r="AD58" s="8">
        <f>CDM!O29</f>
        <v>13684220.734958058</v>
      </c>
      <c r="AE58" s="8">
        <f ca="1">AC58-AD58</f>
        <v>323578592.38785756</v>
      </c>
      <c r="AF58" s="8">
        <f>'Total Additional-Lost Loads'!E18+'Total Additional-Lost Loads'!E28</f>
        <v>344417.15592147212</v>
      </c>
      <c r="AG58" s="8">
        <f ca="1">AE58+AF58</f>
        <v>323923009.54377902</v>
      </c>
      <c r="AI58" s="9">
        <f t="shared" si="52"/>
        <v>2026</v>
      </c>
      <c r="AJ58" s="8"/>
      <c r="AK58" s="8"/>
      <c r="AL58" s="8"/>
      <c r="AM58" s="8"/>
      <c r="AN58" s="8">
        <f ca="1">SUMIF('GS 1k-4,999 Normalized Mont WN'!$B:$B,X58,'GS 1k-4,999 Normalized Mont WN'!$P:$P)</f>
        <v>93841796.929235339</v>
      </c>
      <c r="AO58" s="8">
        <f>AO16</f>
        <v>13059603.315362828</v>
      </c>
      <c r="AP58" s="8">
        <f t="shared" ca="1" si="54"/>
        <v>80782193.613872513</v>
      </c>
      <c r="AQ58" s="8">
        <f>AQ16</f>
        <v>226346.37603330531</v>
      </c>
      <c r="AR58" s="8">
        <f t="shared" ca="1" si="55"/>
        <v>81008539.989905819</v>
      </c>
      <c r="AT58" s="9">
        <f t="shared" si="56"/>
        <v>2026</v>
      </c>
      <c r="AU58" s="8"/>
      <c r="AV58" s="8"/>
      <c r="AW58" s="8"/>
      <c r="AX58" s="8"/>
      <c r="AY58" s="8">
        <f ca="1">SUMIF('Large Use Normalized Monthl WN'!$B:$B,AT58,'Large Use Normalized Monthl WN'!$W:$W)</f>
        <v>39204043.275471777</v>
      </c>
      <c r="AZ58" s="8">
        <f>AZ16</f>
        <v>719352.35699323611</v>
      </c>
      <c r="BA58" s="8">
        <f t="shared" ca="1" si="58"/>
        <v>38484690.918478541</v>
      </c>
      <c r="BB58" s="8">
        <f>BB16</f>
        <v>26678.184814463377</v>
      </c>
      <c r="BC58" s="8">
        <f t="shared" ca="1" si="59"/>
        <v>38511369.103293002</v>
      </c>
      <c r="BD58" s="4"/>
    </row>
  </sheetData>
  <mergeCells count="13">
    <mergeCell ref="B44:K44"/>
    <mergeCell ref="M44:V44"/>
    <mergeCell ref="X44:AG44"/>
    <mergeCell ref="BE2:BI2"/>
    <mergeCell ref="BQ2:BU2"/>
    <mergeCell ref="B2:K2"/>
    <mergeCell ref="M2:V2"/>
    <mergeCell ref="X2:AG2"/>
    <mergeCell ref="AI2:AR2"/>
    <mergeCell ref="AI44:AR44"/>
    <mergeCell ref="AT2:BC2"/>
    <mergeCell ref="AT44:BC44"/>
    <mergeCell ref="BK2:BO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dimension ref="A2:BE58"/>
  <sheetViews>
    <sheetView topLeftCell="H1" workbookViewId="0">
      <selection activeCell="R36" sqref="R36"/>
    </sheetView>
  </sheetViews>
  <sheetFormatPr defaultColWidth="8.88671875" defaultRowHeight="13.2" x14ac:dyDescent="0.25"/>
  <cols>
    <col min="1" max="1" width="7" style="1" customWidth="1"/>
    <col min="2" max="2" width="5.77734375" style="1" bestFit="1" customWidth="1"/>
    <col min="3" max="3" width="11.6640625" style="1" bestFit="1" customWidth="1"/>
    <col min="4" max="4" width="11.44140625" style="1" customWidth="1"/>
    <col min="5" max="6" width="6.109375" style="1" customWidth="1"/>
    <col min="7" max="7" width="11.6640625" style="1" bestFit="1" customWidth="1"/>
    <col min="8" max="8" width="10.77734375" style="1" bestFit="1" customWidth="1"/>
    <col min="9" max="9" width="6.6640625" style="1" customWidth="1"/>
    <col min="10" max="10" width="5.77734375" style="1" bestFit="1" customWidth="1"/>
    <col min="11" max="11" width="11.6640625" style="1" bestFit="1" customWidth="1"/>
    <col min="12" max="12" width="12.77734375" style="1" customWidth="1"/>
    <col min="13" max="15" width="7.6640625" style="1" customWidth="1"/>
    <col min="16" max="16" width="9.6640625" style="1" customWidth="1"/>
    <col min="17" max="19" width="7.6640625" style="1" customWidth="1"/>
    <col min="20" max="20" width="9" style="1" customWidth="1"/>
    <col min="21" max="21" width="7.6640625" style="1" customWidth="1"/>
    <col min="22" max="22" width="5.77734375" style="1" bestFit="1" customWidth="1"/>
    <col min="23" max="23" width="11.6640625" style="1" bestFit="1" customWidth="1"/>
    <col min="24" max="24" width="10.77734375" style="1" bestFit="1" customWidth="1"/>
    <col min="25" max="29" width="8.33203125" style="1" customWidth="1"/>
    <col min="30" max="30" width="5.77734375" style="1" bestFit="1" customWidth="1"/>
    <col min="31" max="31" width="11.6640625" style="1" bestFit="1" customWidth="1"/>
    <col min="32" max="32" width="9.6640625" style="1" bestFit="1" customWidth="1"/>
    <col min="33" max="16384" width="8.88671875" style="1"/>
  </cols>
  <sheetData>
    <row r="2" spans="2:33" ht="13.2" customHeight="1" x14ac:dyDescent="0.25">
      <c r="B2" s="493" t="s">
        <v>189</v>
      </c>
      <c r="C2" s="493"/>
      <c r="D2" s="494" t="s">
        <v>438</v>
      </c>
      <c r="E2" s="295"/>
      <c r="F2" s="493" t="s">
        <v>400</v>
      </c>
      <c r="G2" s="493"/>
      <c r="H2" s="494" t="s">
        <v>438</v>
      </c>
      <c r="I2" s="295"/>
      <c r="J2" s="493" t="s">
        <v>439</v>
      </c>
      <c r="K2" s="493"/>
      <c r="L2" s="494" t="s">
        <v>438</v>
      </c>
      <c r="M2" s="295"/>
      <c r="N2" s="493" t="s">
        <v>304</v>
      </c>
      <c r="O2" s="493"/>
      <c r="P2" s="494" t="s">
        <v>438</v>
      </c>
      <c r="Q2" s="295"/>
      <c r="R2" s="493" t="s">
        <v>115</v>
      </c>
      <c r="S2" s="493"/>
      <c r="T2" s="494" t="s">
        <v>438</v>
      </c>
      <c r="U2" s="295"/>
      <c r="V2" s="493" t="s">
        <v>440</v>
      </c>
      <c r="W2" s="493"/>
      <c r="X2" s="494" t="s">
        <v>438</v>
      </c>
      <c r="Y2" s="295"/>
      <c r="Z2" s="493" t="s">
        <v>117</v>
      </c>
      <c r="AA2" s="493"/>
      <c r="AB2" s="494" t="s">
        <v>438</v>
      </c>
      <c r="AC2" s="295"/>
      <c r="AD2" s="493" t="s">
        <v>194</v>
      </c>
      <c r="AE2" s="493"/>
      <c r="AF2" s="494" t="s">
        <v>438</v>
      </c>
      <c r="AG2" s="295"/>
    </row>
    <row r="3" spans="2:33" x14ac:dyDescent="0.25">
      <c r="B3" s="167" t="s">
        <v>1</v>
      </c>
      <c r="C3" s="167" t="s">
        <v>441</v>
      </c>
      <c r="D3" s="494"/>
      <c r="E3" s="295"/>
      <c r="F3" s="167" t="s">
        <v>1</v>
      </c>
      <c r="G3" s="167" t="s">
        <v>441</v>
      </c>
      <c r="H3" s="494"/>
      <c r="I3" s="295"/>
      <c r="J3" s="167" t="s">
        <v>1</v>
      </c>
      <c r="K3" s="167" t="s">
        <v>441</v>
      </c>
      <c r="L3" s="494"/>
      <c r="M3" s="295"/>
      <c r="N3" s="167" t="s">
        <v>1</v>
      </c>
      <c r="O3" s="167" t="s">
        <v>441</v>
      </c>
      <c r="P3" s="494"/>
      <c r="Q3" s="295"/>
      <c r="R3" s="167" t="s">
        <v>1</v>
      </c>
      <c r="S3" s="167" t="s">
        <v>441</v>
      </c>
      <c r="T3" s="494"/>
      <c r="U3" s="295"/>
      <c r="V3" s="167" t="s">
        <v>1</v>
      </c>
      <c r="W3" s="167" t="s">
        <v>547</v>
      </c>
      <c r="X3" s="494"/>
      <c r="Y3" s="295"/>
      <c r="Z3" s="167" t="s">
        <v>1</v>
      </c>
      <c r="AA3" s="167" t="s">
        <v>547</v>
      </c>
      <c r="AB3" s="494"/>
      <c r="AC3" s="295"/>
      <c r="AD3" s="167" t="s">
        <v>1</v>
      </c>
      <c r="AE3" s="167" t="s">
        <v>547</v>
      </c>
      <c r="AF3" s="494"/>
      <c r="AG3" s="295"/>
    </row>
    <row r="4" spans="2:33" x14ac:dyDescent="0.25">
      <c r="B4" s="295">
        <v>2015</v>
      </c>
      <c r="C4" s="299">
        <f>AVERAGEIF('Monthly Data'!B:B,B4,'Monthly Data'!G:G)</f>
        <v>48571.666666666664</v>
      </c>
      <c r="D4" s="306"/>
      <c r="E4" s="10"/>
      <c r="F4" s="295">
        <v>2015</v>
      </c>
      <c r="G4" s="299">
        <f>AVERAGEIF('Monthly Data'!B:B,B4,'Monthly Data'!K:K)</f>
        <v>4020</v>
      </c>
      <c r="H4" s="306"/>
      <c r="I4" s="10"/>
      <c r="J4" s="295">
        <v>2015</v>
      </c>
      <c r="K4" s="299">
        <f>AVERAGEIF('Monthly Data'!B:B,B4,'Monthly Data'!P:P)</f>
        <v>509.25</v>
      </c>
      <c r="L4" s="306"/>
      <c r="M4" s="10"/>
      <c r="N4" s="295">
        <v>2015</v>
      </c>
      <c r="O4" s="299">
        <f>AVERAGEIF('Monthly Data'!B:B,N4,'Monthly Data'!U:U)</f>
        <v>12.5</v>
      </c>
      <c r="P4" s="306"/>
      <c r="Q4" s="10"/>
      <c r="R4" s="295">
        <v>2015</v>
      </c>
      <c r="S4" s="299">
        <f>AVERAGEIF('Monthly Data'!B:B,R4,'Monthly Data'!Z:Z)</f>
        <v>1</v>
      </c>
      <c r="T4" s="306"/>
      <c r="U4" s="10"/>
      <c r="V4" s="295">
        <v>2015</v>
      </c>
      <c r="W4" s="299">
        <f>AVERAGEIF('Monthly Data'!B:B,B4,'Monthly Data'!AC:AC)</f>
        <v>12676.166666666666</v>
      </c>
      <c r="X4" s="306"/>
      <c r="Y4" s="10"/>
      <c r="Z4" s="295">
        <v>2015</v>
      </c>
      <c r="AA4" s="299">
        <f>AVERAGEIF('Monthly Data'!B:B,Z4,'Monthly Data'!AF:AF)</f>
        <v>25</v>
      </c>
      <c r="AB4" s="306"/>
      <c r="AC4" s="10"/>
      <c r="AD4" s="295">
        <v>2015</v>
      </c>
      <c r="AE4" s="299">
        <f>AVERAGEIF('Monthly Data'!B:B,B4,'Monthly Data'!AH:AH)</f>
        <v>257.83333333333331</v>
      </c>
      <c r="AF4" s="306"/>
      <c r="AG4" s="10"/>
    </row>
    <row r="5" spans="2:33" x14ac:dyDescent="0.25">
      <c r="B5" s="295">
        <f t="shared" ref="B5:B15" si="0">B4+1</f>
        <v>2016</v>
      </c>
      <c r="C5" s="299">
        <f>AVERAGEIF('Monthly Data'!B:B,B5,'Monthly Data'!G:G)</f>
        <v>49247.25</v>
      </c>
      <c r="D5" s="306">
        <f t="shared" ref="D5:D13" si="1">C5/C4</f>
        <v>1.0139090004460762</v>
      </c>
      <c r="E5" s="10"/>
      <c r="F5" s="295">
        <f t="shared" ref="F5:F13" si="2">F4+1</f>
        <v>2016</v>
      </c>
      <c r="G5" s="299">
        <f>AVERAGEIF('Monthly Data'!B:B,B5,'Monthly Data'!K:K)</f>
        <v>4149.75</v>
      </c>
      <c r="H5" s="306">
        <f t="shared" ref="H5:H13" si="3">G5/G4</f>
        <v>1.032276119402985</v>
      </c>
      <c r="I5" s="10"/>
      <c r="J5" s="295">
        <f t="shared" ref="J5:J13" si="4">J4+1</f>
        <v>2016</v>
      </c>
      <c r="K5" s="299">
        <f>AVERAGEIF('Monthly Data'!B:B,B5,'Monthly Data'!P:P)</f>
        <v>517.58333333333337</v>
      </c>
      <c r="L5" s="306">
        <f t="shared" ref="L5:L13" si="5">K5/K4</f>
        <v>1.0163639338897072</v>
      </c>
      <c r="M5" s="10"/>
      <c r="N5" s="295">
        <f t="shared" ref="N5:N15" si="6">N4+1</f>
        <v>2016</v>
      </c>
      <c r="O5" s="299">
        <f>AVERAGEIF('Monthly Data'!B:B,N5,'Monthly Data'!U:U)</f>
        <v>12.833333333333334</v>
      </c>
      <c r="P5" s="306">
        <f t="shared" ref="P5:P13" si="7">O5/O4</f>
        <v>1.0266666666666666</v>
      </c>
      <c r="Q5" s="10"/>
      <c r="R5" s="295">
        <f t="shared" ref="R5:R15" si="8">R4+1</f>
        <v>2016</v>
      </c>
      <c r="S5" s="299">
        <f>AVERAGEIF('Monthly Data'!B:B,R5,'Monthly Data'!Z:Z)</f>
        <v>1</v>
      </c>
      <c r="T5" s="306">
        <f t="shared" ref="T5:T13" si="9">S5/S4</f>
        <v>1</v>
      </c>
      <c r="U5" s="10"/>
      <c r="V5" s="295">
        <f t="shared" ref="V5:V13" si="10">V4+1</f>
        <v>2016</v>
      </c>
      <c r="W5" s="299">
        <f>AVERAGEIF('Monthly Data'!B:B,B5,'Monthly Data'!AC:AC)</f>
        <v>12955.333333333334</v>
      </c>
      <c r="X5" s="306">
        <f t="shared" ref="X5:X13" si="11">W5/W4</f>
        <v>1.0220229564668606</v>
      </c>
      <c r="Y5" s="10"/>
      <c r="Z5" s="295">
        <f t="shared" ref="Z5:Z15" si="12">Z4+1</f>
        <v>2016</v>
      </c>
      <c r="AA5" s="299">
        <f>AVERAGEIF('Monthly Data'!B:B,Z5,'Monthly Data'!AF:AF)</f>
        <v>23</v>
      </c>
      <c r="AB5" s="306">
        <f t="shared" ref="AB5:AB13" si="13">AA5/AA4</f>
        <v>0.92</v>
      </c>
      <c r="AC5" s="10"/>
      <c r="AD5" s="295">
        <f t="shared" ref="AD5:AD13" si="14">AD4+1</f>
        <v>2016</v>
      </c>
      <c r="AE5" s="299">
        <f>AVERAGEIF('Monthly Data'!B:B,B5,'Monthly Data'!AH:AH)</f>
        <v>246.25</v>
      </c>
      <c r="AF5" s="306">
        <f t="shared" ref="AF5:AF13" si="15">AE5/AE4</f>
        <v>0.95507433742727865</v>
      </c>
      <c r="AG5" s="10"/>
    </row>
    <row r="6" spans="2:33" x14ac:dyDescent="0.25">
      <c r="B6" s="295">
        <f t="shared" si="0"/>
        <v>2017</v>
      </c>
      <c r="C6" s="299">
        <f>AVERAGEIF('Monthly Data'!B:B,B6,'Monthly Data'!G:G)</f>
        <v>52735.5</v>
      </c>
      <c r="D6" s="306">
        <f t="shared" si="1"/>
        <v>1.0708313662184183</v>
      </c>
      <c r="E6" s="10"/>
      <c r="F6" s="295">
        <f t="shared" si="2"/>
        <v>2017</v>
      </c>
      <c r="G6" s="299">
        <f>AVERAGEIF('Monthly Data'!B:B,B6,'Monthly Data'!K:K)</f>
        <v>4161.916666666667</v>
      </c>
      <c r="H6" s="306">
        <f t="shared" si="3"/>
        <v>1.0029319035283251</v>
      </c>
      <c r="I6" s="10"/>
      <c r="J6" s="295">
        <f t="shared" si="4"/>
        <v>2017</v>
      </c>
      <c r="K6" s="299">
        <f>AVERAGEIF('Monthly Data'!B:B,B6,'Monthly Data'!P:P)</f>
        <v>524</v>
      </c>
      <c r="L6" s="306">
        <f t="shared" si="5"/>
        <v>1.0123973595234261</v>
      </c>
      <c r="M6" s="10"/>
      <c r="N6" s="295">
        <f t="shared" si="6"/>
        <v>2017</v>
      </c>
      <c r="O6" s="299">
        <f>AVERAGEIF('Monthly Data'!B:B,N6,'Monthly Data'!U:U)</f>
        <v>11.833333333333334</v>
      </c>
      <c r="P6" s="306">
        <f t="shared" si="7"/>
        <v>0.92207792207792205</v>
      </c>
      <c r="Q6" s="10"/>
      <c r="R6" s="295">
        <f t="shared" si="8"/>
        <v>2017</v>
      </c>
      <c r="S6" s="299">
        <f>AVERAGEIF('Monthly Data'!B:B,R6,'Monthly Data'!Z:Z)</f>
        <v>1</v>
      </c>
      <c r="T6" s="306">
        <f t="shared" si="9"/>
        <v>1</v>
      </c>
      <c r="U6" s="10"/>
      <c r="V6" s="295">
        <f t="shared" si="10"/>
        <v>2017</v>
      </c>
      <c r="W6" s="299">
        <f>AVERAGEIF('Monthly Data'!B:B,B6,'Monthly Data'!AC:AC)</f>
        <v>13171.25</v>
      </c>
      <c r="X6" s="306">
        <f t="shared" si="11"/>
        <v>1.0166662378428446</v>
      </c>
      <c r="Y6" s="10"/>
      <c r="Z6" s="295">
        <f t="shared" si="12"/>
        <v>2017</v>
      </c>
      <c r="AA6" s="299">
        <f>AVERAGEIF('Monthly Data'!B:B,Z6,'Monthly Data'!AF:AF)</f>
        <v>23</v>
      </c>
      <c r="AB6" s="306">
        <f t="shared" si="13"/>
        <v>1</v>
      </c>
      <c r="AC6" s="10"/>
      <c r="AD6" s="295">
        <f t="shared" si="14"/>
        <v>2017</v>
      </c>
      <c r="AE6" s="299">
        <f>AVERAGEIF('Monthly Data'!B:B,B6,'Monthly Data'!AH:AH)</f>
        <v>246.08333333333334</v>
      </c>
      <c r="AF6" s="306">
        <f t="shared" si="15"/>
        <v>0.99932318104906936</v>
      </c>
      <c r="AG6" s="10"/>
    </row>
    <row r="7" spans="2:33" x14ac:dyDescent="0.25">
      <c r="B7" s="295">
        <f t="shared" si="0"/>
        <v>2018</v>
      </c>
      <c r="C7" s="299">
        <f>AVERAGEIF('Monthly Data'!B:B,B7,'Monthly Data'!G:G)</f>
        <v>53780.083333333336</v>
      </c>
      <c r="D7" s="306">
        <f t="shared" si="1"/>
        <v>1.0198079724916487</v>
      </c>
      <c r="E7" s="10"/>
      <c r="F7" s="295">
        <f t="shared" si="2"/>
        <v>2018</v>
      </c>
      <c r="G7" s="299">
        <f>AVERAGEIF('Monthly Data'!B:B,B7,'Monthly Data'!K:K)</f>
        <v>4199.333333333333</v>
      </c>
      <c r="H7" s="306">
        <f t="shared" si="3"/>
        <v>1.0089902488837272</v>
      </c>
      <c r="I7" s="10"/>
      <c r="J7" s="295">
        <f t="shared" si="4"/>
        <v>2018</v>
      </c>
      <c r="K7" s="299">
        <f>AVERAGEIF('Monthly Data'!B:B,B7,'Monthly Data'!P:P)</f>
        <v>515.41666666666663</v>
      </c>
      <c r="L7" s="306">
        <f t="shared" si="5"/>
        <v>0.98361959287531797</v>
      </c>
      <c r="M7" s="10"/>
      <c r="N7" s="295">
        <f t="shared" si="6"/>
        <v>2018</v>
      </c>
      <c r="O7" s="299">
        <f>AVERAGEIF('Monthly Data'!B:B,N7,'Monthly Data'!U:U)</f>
        <v>12</v>
      </c>
      <c r="P7" s="306">
        <f t="shared" si="7"/>
        <v>1.0140845070422535</v>
      </c>
      <c r="Q7" s="10"/>
      <c r="R7" s="295">
        <f t="shared" si="8"/>
        <v>2018</v>
      </c>
      <c r="S7" s="299">
        <f>AVERAGEIF('Monthly Data'!B:B,R7,'Monthly Data'!Z:Z)</f>
        <v>1</v>
      </c>
      <c r="T7" s="306">
        <f t="shared" si="9"/>
        <v>1</v>
      </c>
      <c r="U7" s="10"/>
      <c r="V7" s="295">
        <f t="shared" si="10"/>
        <v>2018</v>
      </c>
      <c r="W7" s="299">
        <f>AVERAGEIF('Monthly Data'!B:B,B7,'Monthly Data'!AC:AC)</f>
        <v>13827.666666666666</v>
      </c>
      <c r="X7" s="306">
        <f t="shared" si="11"/>
        <v>1.0498370820284078</v>
      </c>
      <c r="Y7" s="10"/>
      <c r="Z7" s="295">
        <f t="shared" si="12"/>
        <v>2018</v>
      </c>
      <c r="AA7" s="299">
        <f>AVERAGEIF('Monthly Data'!B:B,Z7,'Monthly Data'!AF:AF)</f>
        <v>23</v>
      </c>
      <c r="AB7" s="306">
        <f t="shared" si="13"/>
        <v>1</v>
      </c>
      <c r="AC7" s="10"/>
      <c r="AD7" s="295">
        <f t="shared" si="14"/>
        <v>2018</v>
      </c>
      <c r="AE7" s="299">
        <f>AVERAGEIF('Monthly Data'!B:B,B7,'Monthly Data'!AH:AH)</f>
        <v>247.91666666666666</v>
      </c>
      <c r="AF7" s="306">
        <f t="shared" si="15"/>
        <v>1.0074500507958009</v>
      </c>
      <c r="AG7" s="10"/>
    </row>
    <row r="8" spans="2:33" s="307" customFormat="1" ht="13.8" x14ac:dyDescent="0.25">
      <c r="B8" s="295">
        <f t="shared" si="0"/>
        <v>2019</v>
      </c>
      <c r="C8" s="299">
        <f>AVERAGEIF('Monthly Data'!B:B,B8,'Monthly Data'!G:G)</f>
        <v>54576.5</v>
      </c>
      <c r="D8" s="306">
        <f t="shared" si="1"/>
        <v>1.0148087659465013</v>
      </c>
      <c r="E8" s="10"/>
      <c r="F8" s="295">
        <f t="shared" si="2"/>
        <v>2019</v>
      </c>
      <c r="G8" s="299">
        <f>AVERAGEIF('Monthly Data'!B:B,B8,'Monthly Data'!K:K)</f>
        <v>4194.833333333333</v>
      </c>
      <c r="H8" s="306">
        <f t="shared" si="3"/>
        <v>0.99892840133354499</v>
      </c>
      <c r="I8" s="10"/>
      <c r="J8" s="295">
        <f t="shared" si="4"/>
        <v>2019</v>
      </c>
      <c r="K8" s="299">
        <f>AVERAGEIF('Monthly Data'!B:B,B8,'Monthly Data'!P:P)</f>
        <v>525.25</v>
      </c>
      <c r="L8" s="306">
        <f t="shared" si="5"/>
        <v>1.019078415521423</v>
      </c>
      <c r="M8" s="10"/>
      <c r="N8" s="295">
        <f t="shared" si="6"/>
        <v>2019</v>
      </c>
      <c r="O8" s="299">
        <f>AVERAGEIF('Monthly Data'!B:B,N8,'Monthly Data'!U:U)</f>
        <v>14</v>
      </c>
      <c r="P8" s="306">
        <f t="shared" si="7"/>
        <v>1.1666666666666667</v>
      </c>
      <c r="Q8" s="10"/>
      <c r="R8" s="295">
        <f t="shared" si="8"/>
        <v>2019</v>
      </c>
      <c r="S8" s="299">
        <f>AVERAGEIF('Monthly Data'!B:B,R8,'Monthly Data'!Z:Z)</f>
        <v>1</v>
      </c>
      <c r="T8" s="306">
        <f t="shared" si="9"/>
        <v>1</v>
      </c>
      <c r="U8" s="10"/>
      <c r="V8" s="295">
        <f t="shared" si="10"/>
        <v>2019</v>
      </c>
      <c r="W8" s="299">
        <f>AVERAGEIF('Monthly Data'!B:B,B8,'Monthly Data'!AC:AC)</f>
        <v>13934</v>
      </c>
      <c r="X8" s="306">
        <f t="shared" si="11"/>
        <v>1.0076898970662682</v>
      </c>
      <c r="Y8" s="10"/>
      <c r="Z8" s="295">
        <f t="shared" si="12"/>
        <v>2019</v>
      </c>
      <c r="AA8" s="299">
        <f>AVERAGEIF('Monthly Data'!B:B,Z8,'Monthly Data'!AF:AF)</f>
        <v>19</v>
      </c>
      <c r="AB8" s="306">
        <f t="shared" si="13"/>
        <v>0.82608695652173914</v>
      </c>
      <c r="AC8" s="10"/>
      <c r="AD8" s="295">
        <f t="shared" si="14"/>
        <v>2019</v>
      </c>
      <c r="AE8" s="299">
        <f>AVERAGEIF('Monthly Data'!B:B,B8,'Monthly Data'!AH:AH)</f>
        <v>246.75</v>
      </c>
      <c r="AF8" s="306">
        <f t="shared" si="15"/>
        <v>0.99529411764705888</v>
      </c>
      <c r="AG8" s="10"/>
    </row>
    <row r="9" spans="2:33" s="307" customFormat="1" ht="13.8" x14ac:dyDescent="0.25">
      <c r="B9" s="295">
        <f t="shared" si="0"/>
        <v>2020</v>
      </c>
      <c r="C9" s="299">
        <f>AVERAGEIF('Monthly Data'!B:B,B9,'Monthly Data'!G:G)</f>
        <v>54548.583333333336</v>
      </c>
      <c r="D9" s="306">
        <f t="shared" si="1"/>
        <v>0.99948848558140102</v>
      </c>
      <c r="E9" s="10"/>
      <c r="F9" s="295">
        <f t="shared" si="2"/>
        <v>2020</v>
      </c>
      <c r="G9" s="299">
        <f>AVERAGEIF('Monthly Data'!B:B,B9,'Monthly Data'!K:K)</f>
        <v>4211.666666666667</v>
      </c>
      <c r="H9" s="306">
        <f t="shared" si="3"/>
        <v>1.0040128729786644</v>
      </c>
      <c r="I9" s="10"/>
      <c r="J9" s="295">
        <f t="shared" si="4"/>
        <v>2020</v>
      </c>
      <c r="K9" s="299">
        <f>AVERAGEIF('Monthly Data'!B:B,B9,'Monthly Data'!P:P)</f>
        <v>537.83333333333337</v>
      </c>
      <c r="L9" s="306">
        <f t="shared" si="5"/>
        <v>1.0239568459463748</v>
      </c>
      <c r="M9" s="10"/>
      <c r="N9" s="295">
        <f t="shared" si="6"/>
        <v>2020</v>
      </c>
      <c r="O9" s="299">
        <f>AVERAGEIF('Monthly Data'!B:B,N9,'Monthly Data'!U:U)</f>
        <v>14.5</v>
      </c>
      <c r="P9" s="306">
        <f t="shared" si="7"/>
        <v>1.0357142857142858</v>
      </c>
      <c r="Q9" s="10"/>
      <c r="R9" s="295">
        <f t="shared" si="8"/>
        <v>2020</v>
      </c>
      <c r="S9" s="299">
        <f>AVERAGEIF('Monthly Data'!B:B,R9,'Monthly Data'!Z:Z)</f>
        <v>1</v>
      </c>
      <c r="T9" s="306">
        <f t="shared" si="9"/>
        <v>1</v>
      </c>
      <c r="U9" s="10"/>
      <c r="V9" s="295">
        <f t="shared" si="10"/>
        <v>2020</v>
      </c>
      <c r="W9" s="299">
        <f>AVERAGEIF('Monthly Data'!B:B,B9,'Monthly Data'!AC:AC)</f>
        <v>13979.416666666666</v>
      </c>
      <c r="X9" s="306">
        <f t="shared" si="11"/>
        <v>1.0032594134251949</v>
      </c>
      <c r="Y9" s="10"/>
      <c r="Z9" s="295">
        <f t="shared" si="12"/>
        <v>2020</v>
      </c>
      <c r="AA9" s="299">
        <f>AVERAGEIF('Monthly Data'!B:B,Z9,'Monthly Data'!AF:AF)</f>
        <v>19</v>
      </c>
      <c r="AB9" s="306">
        <f t="shared" si="13"/>
        <v>1</v>
      </c>
      <c r="AC9" s="10"/>
      <c r="AD9" s="295">
        <f t="shared" si="14"/>
        <v>2020</v>
      </c>
      <c r="AE9" s="299">
        <f>AVERAGEIF('Monthly Data'!B:B,B9,'Monthly Data'!AH:AH)</f>
        <v>253.16666666666666</v>
      </c>
      <c r="AF9" s="306">
        <f t="shared" si="15"/>
        <v>1.0260047281323876</v>
      </c>
      <c r="AG9" s="10"/>
    </row>
    <row r="10" spans="2:33" s="307" customFormat="1" ht="13.8" x14ac:dyDescent="0.25">
      <c r="B10" s="295">
        <f t="shared" si="0"/>
        <v>2021</v>
      </c>
      <c r="C10" s="299">
        <f>AVERAGEIF('Monthly Data'!B:B,B10,'Monthly Data'!G:G)</f>
        <v>55127.166666666664</v>
      </c>
      <c r="D10" s="306">
        <f t="shared" si="1"/>
        <v>1.0106067526959912</v>
      </c>
      <c r="E10" s="10"/>
      <c r="F10" s="295">
        <f t="shared" si="2"/>
        <v>2021</v>
      </c>
      <c r="G10" s="299">
        <f>AVERAGEIF('Monthly Data'!B:B,B10,'Monthly Data'!K:K)</f>
        <v>4271.083333333333</v>
      </c>
      <c r="H10" s="306">
        <f t="shared" si="3"/>
        <v>1.0141076375148397</v>
      </c>
      <c r="I10" s="10"/>
      <c r="J10" s="295">
        <f t="shared" si="4"/>
        <v>2021</v>
      </c>
      <c r="K10" s="299">
        <f>AVERAGEIF('Monthly Data'!B:B,B10,'Monthly Data'!P:P)</f>
        <v>538.41666666666663</v>
      </c>
      <c r="L10" s="306">
        <f t="shared" si="5"/>
        <v>1.0010845986984813</v>
      </c>
      <c r="M10" s="10"/>
      <c r="N10" s="295">
        <f t="shared" si="6"/>
        <v>2021</v>
      </c>
      <c r="O10" s="299">
        <f>AVERAGEIF('Monthly Data'!B:B,N10,'Monthly Data'!U:U)</f>
        <v>17</v>
      </c>
      <c r="P10" s="306">
        <f t="shared" si="7"/>
        <v>1.1724137931034482</v>
      </c>
      <c r="Q10" s="10"/>
      <c r="R10" s="295">
        <f t="shared" si="8"/>
        <v>2021</v>
      </c>
      <c r="S10" s="299">
        <f>AVERAGEIF('Monthly Data'!B:B,R10,'Monthly Data'!Z:Z)</f>
        <v>1</v>
      </c>
      <c r="T10" s="306">
        <f t="shared" si="9"/>
        <v>1</v>
      </c>
      <c r="U10" s="10"/>
      <c r="V10" s="295">
        <f t="shared" si="10"/>
        <v>2021</v>
      </c>
      <c r="W10" s="299">
        <f>AVERAGEIF('Monthly Data'!B:B,B10,'Monthly Data'!AC:AC)</f>
        <v>14037.833333333334</v>
      </c>
      <c r="X10" s="306">
        <f t="shared" si="11"/>
        <v>1.0041787628239138</v>
      </c>
      <c r="Y10" s="10"/>
      <c r="Z10" s="295">
        <f t="shared" si="12"/>
        <v>2021</v>
      </c>
      <c r="AA10" s="299">
        <f>AVERAGEIF('Monthly Data'!B:B,Z10,'Monthly Data'!AF:AF)</f>
        <v>19</v>
      </c>
      <c r="AB10" s="306">
        <f t="shared" si="13"/>
        <v>1</v>
      </c>
      <c r="AC10" s="10"/>
      <c r="AD10" s="295">
        <f t="shared" si="14"/>
        <v>2021</v>
      </c>
      <c r="AE10" s="299">
        <f>AVERAGEIF('Monthly Data'!B:B,B10,'Monthly Data'!AH:AH)</f>
        <v>251.41666666666666</v>
      </c>
      <c r="AF10" s="306">
        <f t="shared" si="15"/>
        <v>0.99308755760368661</v>
      </c>
      <c r="AG10" s="10"/>
    </row>
    <row r="11" spans="2:33" s="307" customFormat="1" ht="13.8" x14ac:dyDescent="0.25">
      <c r="B11" s="295">
        <f t="shared" si="0"/>
        <v>2022</v>
      </c>
      <c r="C11" s="299">
        <f>AVERAGEIF('Monthly Data'!B:B,B11,'Monthly Data'!G:G)</f>
        <v>55761.75</v>
      </c>
      <c r="D11" s="306">
        <f t="shared" si="1"/>
        <v>1.0115112633517049</v>
      </c>
      <c r="E11" s="10"/>
      <c r="F11" s="295">
        <f t="shared" si="2"/>
        <v>2022</v>
      </c>
      <c r="G11" s="299">
        <f>AVERAGEIF('Monthly Data'!B:B,B11,'Monthly Data'!K:K)</f>
        <v>4304.833333333333</v>
      </c>
      <c r="H11" s="306">
        <f t="shared" si="3"/>
        <v>1.0079019764696702</v>
      </c>
      <c r="I11" s="10"/>
      <c r="J11" s="295">
        <f t="shared" si="4"/>
        <v>2022</v>
      </c>
      <c r="K11" s="299">
        <f>AVERAGEIF('Monthly Data'!B:B,B11,'Monthly Data'!P:P)</f>
        <v>543.08333333333337</v>
      </c>
      <c r="L11" s="306">
        <f t="shared" si="5"/>
        <v>1.0086673889490791</v>
      </c>
      <c r="M11" s="10"/>
      <c r="N11" s="295">
        <f t="shared" si="6"/>
        <v>2022</v>
      </c>
      <c r="O11" s="299">
        <f>AVERAGEIF('Monthly Data'!B:B,N11,'Monthly Data'!U:U)</f>
        <v>18</v>
      </c>
      <c r="P11" s="306">
        <f t="shared" si="7"/>
        <v>1.0588235294117647</v>
      </c>
      <c r="Q11" s="10"/>
      <c r="R11" s="295">
        <f t="shared" si="8"/>
        <v>2022</v>
      </c>
      <c r="S11" s="299">
        <f>AVERAGEIF('Monthly Data'!B:B,R11,'Monthly Data'!Z:Z)</f>
        <v>1</v>
      </c>
      <c r="T11" s="306">
        <f t="shared" si="9"/>
        <v>1</v>
      </c>
      <c r="U11" s="10"/>
      <c r="V11" s="295">
        <f t="shared" si="10"/>
        <v>2022</v>
      </c>
      <c r="W11" s="299">
        <f>AVERAGEIF('Monthly Data'!B:B,B11,'Monthly Data'!AC:AC)</f>
        <v>14204</v>
      </c>
      <c r="X11" s="306">
        <f t="shared" si="11"/>
        <v>1.0118370593752597</v>
      </c>
      <c r="Y11" s="10"/>
      <c r="Z11" s="295">
        <f t="shared" si="12"/>
        <v>2022</v>
      </c>
      <c r="AA11" s="299">
        <f>AVERAGEIF('Monthly Data'!B:B,Z11,'Monthly Data'!AF:AF)</f>
        <v>19</v>
      </c>
      <c r="AB11" s="306">
        <f t="shared" si="13"/>
        <v>1</v>
      </c>
      <c r="AC11" s="10"/>
      <c r="AD11" s="295">
        <f t="shared" si="14"/>
        <v>2022</v>
      </c>
      <c r="AE11" s="299">
        <f>AVERAGEIF('Monthly Data'!B:B,B11,'Monthly Data'!AH:AH)</f>
        <v>252.66666666666666</v>
      </c>
      <c r="AF11" s="306">
        <f t="shared" si="15"/>
        <v>1.004971826317534</v>
      </c>
      <c r="AG11" s="10"/>
    </row>
    <row r="12" spans="2:33" s="307" customFormat="1" ht="13.8" x14ac:dyDescent="0.25">
      <c r="B12" s="295">
        <f t="shared" si="0"/>
        <v>2023</v>
      </c>
      <c r="C12" s="299">
        <f>AVERAGEIF('Monthly Data'!B:B,B12,'Monthly Data'!G:G)</f>
        <v>56980.916666666664</v>
      </c>
      <c r="D12" s="306">
        <f t="shared" si="1"/>
        <v>1.0218638523121435</v>
      </c>
      <c r="E12" s="10"/>
      <c r="F12" s="295">
        <f t="shared" si="2"/>
        <v>2023</v>
      </c>
      <c r="G12" s="299">
        <f>AVERAGEIF('Monthly Data'!B:B,B12,'Monthly Data'!K:K)</f>
        <v>4393.416666666667</v>
      </c>
      <c r="H12" s="306">
        <f t="shared" si="3"/>
        <v>1.0205776452824347</v>
      </c>
      <c r="I12" s="10"/>
      <c r="J12" s="295">
        <f t="shared" si="4"/>
        <v>2023</v>
      </c>
      <c r="K12" s="299">
        <f>AVERAGEIF('Monthly Data'!B:B,B12,'Monthly Data'!P:P)</f>
        <v>521.16666666666663</v>
      </c>
      <c r="L12" s="306">
        <f t="shared" si="5"/>
        <v>0.95964400797913141</v>
      </c>
      <c r="M12" s="10"/>
      <c r="N12" s="295">
        <f t="shared" si="6"/>
        <v>2023</v>
      </c>
      <c r="O12" s="299">
        <f>AVERAGEIF('Monthly Data'!B:B,N12,'Monthly Data'!U:U)</f>
        <v>18</v>
      </c>
      <c r="P12" s="306">
        <f t="shared" si="7"/>
        <v>1</v>
      </c>
      <c r="Q12" s="10"/>
      <c r="R12" s="295">
        <f t="shared" si="8"/>
        <v>2023</v>
      </c>
      <c r="S12" s="299">
        <f>AVERAGEIF('Monthly Data'!B:B,R12,'Monthly Data'!Z:Z)</f>
        <v>1</v>
      </c>
      <c r="T12" s="306">
        <f t="shared" si="9"/>
        <v>1</v>
      </c>
      <c r="U12" s="10"/>
      <c r="V12" s="295">
        <f t="shared" si="10"/>
        <v>2023</v>
      </c>
      <c r="W12" s="299">
        <f>AVERAGEIF('Monthly Data'!B:B,B12,'Monthly Data'!AC:AC)</f>
        <v>14384.333333333334</v>
      </c>
      <c r="X12" s="306">
        <f t="shared" si="11"/>
        <v>1.0126959541913076</v>
      </c>
      <c r="Y12" s="10"/>
      <c r="Z12" s="295">
        <f t="shared" si="12"/>
        <v>2023</v>
      </c>
      <c r="AA12" s="299">
        <f>AVERAGEIF('Monthly Data'!B:B,Z12,'Monthly Data'!AF:AF)</f>
        <v>19</v>
      </c>
      <c r="AB12" s="306">
        <f t="shared" si="13"/>
        <v>1</v>
      </c>
      <c r="AC12" s="10"/>
      <c r="AD12" s="295">
        <f t="shared" si="14"/>
        <v>2023</v>
      </c>
      <c r="AE12" s="299">
        <f>AVERAGEIF('Monthly Data'!B:B,B12,'Monthly Data'!AH:AH)</f>
        <v>259.25</v>
      </c>
      <c r="AF12" s="306">
        <f t="shared" si="15"/>
        <v>1.0260554089709764</v>
      </c>
      <c r="AG12" s="10"/>
    </row>
    <row r="13" spans="2:33" x14ac:dyDescent="0.25">
      <c r="B13" s="295">
        <f t="shared" si="0"/>
        <v>2024</v>
      </c>
      <c r="C13" s="299">
        <f>AVERAGEIF('Monthly Data'!B:B,B13,'Monthly Data'!G:G)</f>
        <v>57937</v>
      </c>
      <c r="D13" s="306">
        <f t="shared" si="1"/>
        <v>1.0167790093466966</v>
      </c>
      <c r="E13" s="10"/>
      <c r="F13" s="295">
        <f t="shared" si="2"/>
        <v>2024</v>
      </c>
      <c r="G13" s="299">
        <f>AVERAGEIF('Monthly Data'!B:B,B13,'Monthly Data'!K:K)</f>
        <v>4427.25</v>
      </c>
      <c r="H13" s="306">
        <f t="shared" si="3"/>
        <v>1.0077009161434722</v>
      </c>
      <c r="I13" s="10"/>
      <c r="J13" s="295">
        <f t="shared" si="4"/>
        <v>2024</v>
      </c>
      <c r="K13" s="299">
        <f>AVERAGEIF('Monthly Data'!B:B,B13,'Monthly Data'!P:P)</f>
        <v>516.66666666666663</v>
      </c>
      <c r="L13" s="306">
        <f t="shared" si="5"/>
        <v>0.99136552606331951</v>
      </c>
      <c r="M13" s="10"/>
      <c r="N13" s="295">
        <f t="shared" si="6"/>
        <v>2024</v>
      </c>
      <c r="O13" s="299">
        <f>AVERAGEIF('Monthly Data'!B:B,N13,'Monthly Data'!U:U)</f>
        <v>17</v>
      </c>
      <c r="P13" s="306">
        <f t="shared" si="7"/>
        <v>0.94444444444444442</v>
      </c>
      <c r="Q13" s="10"/>
      <c r="R13" s="295">
        <f t="shared" si="8"/>
        <v>2024</v>
      </c>
      <c r="S13" s="299">
        <f>AVERAGEIF('Monthly Data'!B:B,R13,'Monthly Data'!Z:Z)</f>
        <v>1</v>
      </c>
      <c r="T13" s="306">
        <f t="shared" si="9"/>
        <v>1</v>
      </c>
      <c r="U13" s="10"/>
      <c r="V13" s="295">
        <f t="shared" si="10"/>
        <v>2024</v>
      </c>
      <c r="W13" s="299">
        <f>AVERAGEIF('Monthly Data'!B:B,B13,'Monthly Data'!AC:AC)</f>
        <v>14446.083333333334</v>
      </c>
      <c r="X13" s="306">
        <f t="shared" si="11"/>
        <v>1.0042928649224852</v>
      </c>
      <c r="Y13" s="10"/>
      <c r="Z13" s="295">
        <f t="shared" si="12"/>
        <v>2024</v>
      </c>
      <c r="AA13" s="299">
        <f>AVERAGEIF('Monthly Data'!B:B,Z13,'Monthly Data'!AF:AF)</f>
        <v>19</v>
      </c>
      <c r="AB13" s="306">
        <f t="shared" si="13"/>
        <v>1</v>
      </c>
      <c r="AC13" s="10"/>
      <c r="AD13" s="295">
        <f t="shared" si="14"/>
        <v>2024</v>
      </c>
      <c r="AE13" s="299">
        <f>AVERAGEIF('Monthly Data'!B:B,B13,'Monthly Data'!AH:AH)</f>
        <v>259.5</v>
      </c>
      <c r="AF13" s="306">
        <f t="shared" si="15"/>
        <v>1.0009643201542913</v>
      </c>
      <c r="AG13" s="10"/>
    </row>
    <row r="14" spans="2:33" x14ac:dyDescent="0.25">
      <c r="B14" s="10">
        <f t="shared" si="0"/>
        <v>2025</v>
      </c>
      <c r="C14" s="11">
        <f>C13*D14</f>
        <v>58720.823454792175</v>
      </c>
      <c r="D14" s="250">
        <f>GEOMEAN(D7:D13)</f>
        <v>1.0135288926729409</v>
      </c>
      <c r="E14" s="10"/>
      <c r="F14" s="10">
        <f>F13+1</f>
        <v>2025</v>
      </c>
      <c r="G14" s="11">
        <f>G13*H14</f>
        <v>4474.973731775096</v>
      </c>
      <c r="H14" s="12">
        <f>GEOMEAN(H5:H13)</f>
        <v>1.0107795430064026</v>
      </c>
      <c r="I14" s="10"/>
      <c r="J14" s="10">
        <f>J13+1</f>
        <v>2025</v>
      </c>
      <c r="K14" s="11">
        <f>K13*L14</f>
        <v>517.49737979426186</v>
      </c>
      <c r="L14" s="12">
        <f>GEOMEAN(L5:L13)</f>
        <v>1.0016078318598618</v>
      </c>
      <c r="M14" s="10"/>
      <c r="N14" s="10">
        <f t="shared" si="6"/>
        <v>2025</v>
      </c>
      <c r="O14" s="11">
        <f>O13*P14</f>
        <v>17.590839976774891</v>
      </c>
      <c r="P14" s="12">
        <f>GEOMEAN(P5:P13)</f>
        <v>1.0347552927514643</v>
      </c>
      <c r="Q14" s="10"/>
      <c r="R14" s="10">
        <f t="shared" si="8"/>
        <v>2025</v>
      </c>
      <c r="S14" s="11">
        <f>S13*T14</f>
        <v>1</v>
      </c>
      <c r="T14" s="12">
        <f>GEOMEAN(T5:T13)</f>
        <v>1</v>
      </c>
      <c r="U14" s="10"/>
      <c r="V14" s="10">
        <f>V13+1</f>
        <v>2025</v>
      </c>
      <c r="W14" s="11">
        <f>W13*X14</f>
        <v>14644.104060918626</v>
      </c>
      <c r="X14" s="250">
        <f>GEOMEAN(X6:X13)</f>
        <v>1.0137075720121573</v>
      </c>
      <c r="Y14" s="10"/>
      <c r="Z14" s="10">
        <f t="shared" si="12"/>
        <v>2025</v>
      </c>
      <c r="AA14" s="11">
        <f>AA13*AB14</f>
        <v>19</v>
      </c>
      <c r="AB14" s="250">
        <f>GEOMEAN(AB9:AB13)</f>
        <v>1</v>
      </c>
      <c r="AC14" s="10"/>
      <c r="AD14" s="10">
        <f>AD13+1</f>
        <v>2025</v>
      </c>
      <c r="AE14" s="11">
        <f>AE13*AF14</f>
        <v>261.20561142585262</v>
      </c>
      <c r="AF14" s="250">
        <f>GEOMEAN(AF6:AF13)</f>
        <v>1.0065726837219755</v>
      </c>
    </row>
    <row r="15" spans="2:33" x14ac:dyDescent="0.25">
      <c r="B15" s="10">
        <f t="shared" si="0"/>
        <v>2026</v>
      </c>
      <c r="C15" s="11">
        <f>C14*D15</f>
        <v>59515.251172978766</v>
      </c>
      <c r="D15" s="12">
        <f>D14</f>
        <v>1.0135288926729409</v>
      </c>
      <c r="E15" s="10"/>
      <c r="F15" s="10">
        <f>F14+1</f>
        <v>2026</v>
      </c>
      <c r="G15" s="11">
        <f>G14*H15</f>
        <v>4523.2119035692876</v>
      </c>
      <c r="H15" s="12">
        <f>H14</f>
        <v>1.0107795430064026</v>
      </c>
      <c r="I15" s="10"/>
      <c r="J15" s="10">
        <f>J14+1</f>
        <v>2026</v>
      </c>
      <c r="K15" s="11">
        <f>K14*L15</f>
        <v>518.32942856889008</v>
      </c>
      <c r="L15" s="12">
        <f>L14</f>
        <v>1.0016078318598618</v>
      </c>
      <c r="M15" s="10"/>
      <c r="N15" s="10">
        <f t="shared" si="6"/>
        <v>2026</v>
      </c>
      <c r="O15" s="11">
        <f>O14*P15</f>
        <v>18.202214769911862</v>
      </c>
      <c r="P15" s="12">
        <f>P14</f>
        <v>1.0347552927514643</v>
      </c>
      <c r="Q15" s="10"/>
      <c r="R15" s="10">
        <f t="shared" si="8"/>
        <v>2026</v>
      </c>
      <c r="S15" s="11">
        <f>S14*T15</f>
        <v>1</v>
      </c>
      <c r="T15" s="12">
        <f>T14</f>
        <v>1</v>
      </c>
      <c r="U15" s="10"/>
      <c r="V15" s="10">
        <f>V14+1</f>
        <v>2026</v>
      </c>
      <c r="W15" s="11">
        <f>W14*X15</f>
        <v>14844.839171887194</v>
      </c>
      <c r="X15" s="12">
        <f>X14</f>
        <v>1.0137075720121573</v>
      </c>
      <c r="Y15" s="10"/>
      <c r="Z15" s="10">
        <f t="shared" si="12"/>
        <v>2026</v>
      </c>
      <c r="AA15" s="11">
        <f>AA14*AB15</f>
        <v>19</v>
      </c>
      <c r="AB15" s="12">
        <f>AB14</f>
        <v>1</v>
      </c>
      <c r="AC15" s="10"/>
      <c r="AD15" s="10">
        <f>AD14+1</f>
        <v>2026</v>
      </c>
      <c r="AE15" s="11">
        <f>AE14*AF15</f>
        <v>262.92243329615997</v>
      </c>
      <c r="AF15" s="12">
        <f>AF14</f>
        <v>1.0065726837219755</v>
      </c>
    </row>
    <row r="17" spans="1:57" x14ac:dyDescent="0.25">
      <c r="B17" s="10">
        <f>B13</f>
        <v>2024</v>
      </c>
      <c r="C17" s="11">
        <f>AVERAGE(C23:C34)</f>
        <v>57937</v>
      </c>
      <c r="D17" s="12">
        <f>C17/C12</f>
        <v>1.0167790093466966</v>
      </c>
      <c r="E17" s="10"/>
      <c r="F17" s="10">
        <f>F13</f>
        <v>2024</v>
      </c>
      <c r="G17" s="11">
        <f>AVERAGE(G23:G34)</f>
        <v>4427.25</v>
      </c>
      <c r="H17" s="12">
        <f>G17/G12</f>
        <v>1.0077009161434722</v>
      </c>
      <c r="I17" s="10"/>
      <c r="J17" s="10">
        <f>J13</f>
        <v>2024</v>
      </c>
      <c r="K17" s="11">
        <f>AVERAGE(K23:K34)</f>
        <v>516.66666666666663</v>
      </c>
      <c r="L17" s="12">
        <f>K17/K12</f>
        <v>0.99136552606331951</v>
      </c>
      <c r="M17" s="10"/>
      <c r="N17" s="10">
        <f>N13</f>
        <v>2024</v>
      </c>
      <c r="O17" s="11">
        <f>AVERAGE(O23:O34)</f>
        <v>17</v>
      </c>
      <c r="P17" s="12">
        <f>O17/O12</f>
        <v>0.94444444444444442</v>
      </c>
      <c r="Q17" s="10"/>
      <c r="R17" s="10">
        <f>R13</f>
        <v>2024</v>
      </c>
      <c r="S17" s="11">
        <f>AVERAGE(S23:S34)</f>
        <v>1</v>
      </c>
      <c r="T17" s="12">
        <f>S17/S12</f>
        <v>1</v>
      </c>
      <c r="U17" s="10"/>
      <c r="V17" s="10">
        <f>V13</f>
        <v>2024</v>
      </c>
      <c r="W17" s="11">
        <f>AVERAGE(W23:W34)</f>
        <v>14446.083333333334</v>
      </c>
      <c r="X17" s="12">
        <f>W17/W12</f>
        <v>1.0042928649224852</v>
      </c>
      <c r="Y17" s="10"/>
      <c r="Z17" s="10">
        <f>Z13</f>
        <v>2024</v>
      </c>
      <c r="AA17" s="11">
        <f>AVERAGE(AA23:AA34)</f>
        <v>19</v>
      </c>
      <c r="AB17" s="12">
        <f>AA17/AA12</f>
        <v>1</v>
      </c>
      <c r="AC17" s="10"/>
      <c r="AD17" s="10">
        <f>AD13</f>
        <v>2024</v>
      </c>
      <c r="AE17" s="11">
        <f>AVERAGE(AE23:AE34)</f>
        <v>259.5</v>
      </c>
      <c r="AF17" s="12">
        <f>AE17/AE12</f>
        <v>1.0009643201542913</v>
      </c>
      <c r="AH17" s="285"/>
    </row>
    <row r="18" spans="1:57" x14ac:dyDescent="0.25">
      <c r="B18" s="10">
        <f>B14</f>
        <v>2025</v>
      </c>
      <c r="C18" s="11">
        <f>AVERAGE(C35:C46)</f>
        <v>58720.958472024264</v>
      </c>
      <c r="D18" s="12">
        <f>C18/C17</f>
        <v>1.0135312230875653</v>
      </c>
      <c r="E18" s="10"/>
      <c r="F18" s="10">
        <f>F14</f>
        <v>2025</v>
      </c>
      <c r="G18" s="11">
        <f>AVERAGE(G35:G46)</f>
        <v>4474.9765485843118</v>
      </c>
      <c r="H18" s="12">
        <f>G18/G17</f>
        <v>1.0107801792499433</v>
      </c>
      <c r="I18" s="10"/>
      <c r="J18" s="10">
        <f>J14</f>
        <v>2025</v>
      </c>
      <c r="K18" s="11">
        <f>AVERAGE(K35:K46)</f>
        <v>517.49711503370111</v>
      </c>
      <c r="L18" s="12">
        <f>K18/K17</f>
        <v>1.0016073194200668</v>
      </c>
      <c r="M18" s="10"/>
      <c r="N18" s="10">
        <f>N14</f>
        <v>2025</v>
      </c>
      <c r="O18" s="11">
        <f>AVERAGE(O35:O46)</f>
        <v>17.591458230974443</v>
      </c>
      <c r="P18" s="12">
        <f>O18/O17</f>
        <v>1.0347916606455554</v>
      </c>
      <c r="Q18" s="10"/>
      <c r="R18" s="10">
        <f>R14</f>
        <v>2025</v>
      </c>
      <c r="S18" s="11">
        <f>AVERAGE(S35:S46)</f>
        <v>1</v>
      </c>
      <c r="T18" s="12">
        <f>S18/S17</f>
        <v>1</v>
      </c>
      <c r="U18" s="10"/>
      <c r="V18" s="10">
        <f>V14</f>
        <v>2025</v>
      </c>
      <c r="W18" s="11">
        <f>AVERAGE(W35:W46)</f>
        <v>14644.139628111909</v>
      </c>
      <c r="X18" s="12">
        <f>W18/W17</f>
        <v>1.013710034076958</v>
      </c>
      <c r="Y18" s="10"/>
      <c r="Z18" s="10">
        <f>Z14</f>
        <v>2025</v>
      </c>
      <c r="AA18" s="11">
        <f>AVERAGE(AA35:AA46)</f>
        <v>19</v>
      </c>
      <c r="AB18" s="12">
        <f>AA18/AA17</f>
        <v>1</v>
      </c>
      <c r="AC18" s="10"/>
      <c r="AD18" s="10">
        <f>AD14</f>
        <v>2025</v>
      </c>
      <c r="AE18" s="11">
        <f>AVERAGE(AE35:AE46)</f>
        <v>261.20541658257201</v>
      </c>
      <c r="AF18" s="12">
        <f>AE18/AE17</f>
        <v>1.0065719328808169</v>
      </c>
    </row>
    <row r="19" spans="1:57" x14ac:dyDescent="0.25">
      <c r="B19" s="10">
        <v>2026</v>
      </c>
      <c r="C19" s="11">
        <f>AVERAGE(C47:C58)</f>
        <v>59515.388016844554</v>
      </c>
      <c r="D19" s="12">
        <f>C19/C18</f>
        <v>1.0135288926729418</v>
      </c>
      <c r="E19" s="10"/>
      <c r="F19" s="10">
        <v>2026</v>
      </c>
      <c r="G19" s="11">
        <f>AVERAGE(G47:G58)</f>
        <v>4523.2147507424133</v>
      </c>
      <c r="H19" s="12">
        <f>G19/G18</f>
        <v>1.0107795430064013</v>
      </c>
      <c r="I19" s="10"/>
      <c r="J19" s="10">
        <v>2026</v>
      </c>
      <c r="K19" s="11">
        <f>AVERAGE(K47:K58)</f>
        <v>518.3291633826384</v>
      </c>
      <c r="L19" s="12">
        <f>K19/K18</f>
        <v>1.0016078318598609</v>
      </c>
      <c r="M19" s="10"/>
      <c r="N19" s="10">
        <v>2026</v>
      </c>
      <c r="O19" s="11">
        <f>AVERAGE(O47:O58)</f>
        <v>18.20285451171711</v>
      </c>
      <c r="P19" s="12">
        <f>O19/O18</f>
        <v>1.0347552927514641</v>
      </c>
      <c r="Q19" s="10"/>
      <c r="R19" s="10">
        <v>2026</v>
      </c>
      <c r="S19" s="11">
        <f>AVERAGE(S47:S58)</f>
        <v>1</v>
      </c>
      <c r="T19" s="12">
        <f>S19/S18</f>
        <v>1</v>
      </c>
      <c r="U19" s="10"/>
      <c r="V19" s="10">
        <v>2026</v>
      </c>
      <c r="W19" s="11">
        <f>AVERAGE(W47:W58)</f>
        <v>14844.875226620359</v>
      </c>
      <c r="X19" s="12">
        <f>W19/W18</f>
        <v>1.0137075720121587</v>
      </c>
      <c r="Y19" s="10"/>
      <c r="Z19" s="10">
        <v>2026</v>
      </c>
      <c r="AA19" s="11">
        <f>AVERAGE(AA47:AA58)</f>
        <v>19</v>
      </c>
      <c r="AB19" s="12">
        <f>AA19/AA18</f>
        <v>1</v>
      </c>
      <c r="AC19" s="10"/>
      <c r="AD19" s="10">
        <v>2026</v>
      </c>
      <c r="AE19" s="11">
        <f>AVERAGE(AE47:AE58)</f>
        <v>262.92223717223618</v>
      </c>
      <c r="AF19" s="12">
        <f>AE19/AE18</f>
        <v>1.0065726837219757</v>
      </c>
    </row>
    <row r="20" spans="1:57" x14ac:dyDescent="0.25">
      <c r="H20" s="308"/>
      <c r="L20" s="308"/>
      <c r="P20" s="308"/>
      <c r="T20" s="308"/>
    </row>
    <row r="21" spans="1:57" ht="13.8" x14ac:dyDescent="0.25">
      <c r="A21" s="309" t="s">
        <v>442</v>
      </c>
      <c r="C21" s="29" t="str">
        <f>IF(ROUND(C18,0)=ROUND(C14,0),IF(ROUND(C19,0)=ROUND(C15,0),"Match","Check"),"Check")</f>
        <v>Match</v>
      </c>
      <c r="G21" s="29" t="str">
        <f>IF(ROUND(G18,0)=ROUND(G14,0),IF(ROUND(G19,0)=ROUND(G15,0),"Match","Check"),"Check")</f>
        <v>Match</v>
      </c>
      <c r="K21" s="29" t="str">
        <f>IF(ROUND(K18,0)=ROUND(K14,0),IF(ROUND(K19,0)=ROUND(K15,0),"Match","Check"),"Check")</f>
        <v>Match</v>
      </c>
      <c r="O21" s="29" t="str">
        <f>IF(ROUND(O18,0)=ROUND(O14,0),IF(ROUND(O19,0)=ROUND(O15,0),"Match","Check"),"Check")</f>
        <v>Match</v>
      </c>
      <c r="S21" s="29" t="str">
        <f>IF(ROUND(S18,0)=ROUND(S14,0),IF(ROUND(S19,0)=ROUND(S15,0),"Match","Check"),"Check")</f>
        <v>Match</v>
      </c>
      <c r="W21" s="29" t="str">
        <f>IF(ROUND(W18,0)=ROUND(W14,0),IF(ROUND(W19,0)=ROUND(W15,0),"Match","Check"),"Check")</f>
        <v>Match</v>
      </c>
      <c r="AA21" s="29" t="str">
        <f>IF(ROUND(AA18,0)=ROUND(AA14,0),IF(ROUND(AA19,0)=ROUND(AA15,0),"Match","Check"),"Check")</f>
        <v>Match</v>
      </c>
      <c r="AE21" s="29" t="str">
        <f>IF(ROUND(AE18,0)=ROUND(AE14,0),IF(ROUND(AE19,0)=ROUND(AE15,0),"Match","Check"),"Check")</f>
        <v>Match</v>
      </c>
    </row>
    <row r="22" spans="1:57" ht="13.8" x14ac:dyDescent="0.25">
      <c r="A22" s="307"/>
      <c r="C22" s="280">
        <f>'Monthly Data'!G109</f>
        <v>57315</v>
      </c>
      <c r="D22" s="240"/>
      <c r="E22" s="310"/>
      <c r="F22" s="310"/>
      <c r="G22" s="280">
        <f>'Monthly Data'!K109</f>
        <v>4474</v>
      </c>
      <c r="H22" s="240"/>
      <c r="I22" s="310"/>
      <c r="J22" s="310"/>
      <c r="K22" s="280">
        <f>'Monthly Data'!P109</f>
        <v>508</v>
      </c>
      <c r="L22" s="240"/>
      <c r="M22" s="310"/>
      <c r="N22" s="310"/>
      <c r="O22" s="18">
        <f>'Monthly Data'!U109</f>
        <v>18</v>
      </c>
      <c r="P22" s="240"/>
      <c r="Q22" s="310"/>
      <c r="R22" s="310"/>
      <c r="S22" s="18">
        <f>'Monthly Data'!Z109</f>
        <v>1</v>
      </c>
      <c r="T22" s="240"/>
      <c r="U22" s="310"/>
      <c r="V22" s="310"/>
      <c r="W22" s="18">
        <f>'Monthly Data'!AC109</f>
        <v>14445</v>
      </c>
      <c r="X22" s="279"/>
      <c r="Y22" s="310"/>
      <c r="Z22" s="310"/>
      <c r="AA22" s="18">
        <f>'Monthly Data'!AF109</f>
        <v>19</v>
      </c>
      <c r="AB22" s="279"/>
      <c r="AC22" s="310"/>
      <c r="AD22" s="310"/>
      <c r="AE22" s="18">
        <f>'Monthly Data'!AH109</f>
        <v>259</v>
      </c>
      <c r="AI22" s="29"/>
      <c r="AM22" s="307"/>
      <c r="AO22" s="29"/>
      <c r="AS22" s="29"/>
      <c r="AW22" s="29"/>
      <c r="AX22" s="29"/>
      <c r="BA22" s="29"/>
      <c r="BE22" s="29"/>
    </row>
    <row r="23" spans="1:57" x14ac:dyDescent="0.25">
      <c r="A23" s="1">
        <v>2024</v>
      </c>
      <c r="B23" s="1" t="s">
        <v>65</v>
      </c>
      <c r="C23" s="280">
        <f>'Monthly Data'!G110</f>
        <v>57575</v>
      </c>
      <c r="D23" s="240"/>
      <c r="E23" s="310"/>
      <c r="F23" s="310"/>
      <c r="G23" s="280">
        <f>'Monthly Data'!K110</f>
        <v>4429</v>
      </c>
      <c r="H23" s="240"/>
      <c r="I23" s="310"/>
      <c r="J23" s="310"/>
      <c r="K23" s="280">
        <f>'Monthly Data'!P110</f>
        <v>512</v>
      </c>
      <c r="L23" s="240"/>
      <c r="M23" s="310"/>
      <c r="N23" s="310"/>
      <c r="O23" s="18">
        <f>'Monthly Data'!U110</f>
        <v>17</v>
      </c>
      <c r="P23" s="240"/>
      <c r="Q23" s="310"/>
      <c r="R23" s="310"/>
      <c r="S23" s="18">
        <f>'Monthly Data'!Z110</f>
        <v>1</v>
      </c>
      <c r="T23" s="240"/>
      <c r="U23" s="310"/>
      <c r="V23" s="310"/>
      <c r="W23" s="18">
        <f>'Monthly Data'!AC110</f>
        <v>14445</v>
      </c>
      <c r="X23" s="279"/>
      <c r="Y23" s="310"/>
      <c r="Z23" s="310"/>
      <c r="AA23" s="18">
        <f>'Monthly Data'!AF110</f>
        <v>19</v>
      </c>
      <c r="AB23" s="279"/>
      <c r="AC23" s="310"/>
      <c r="AD23" s="310"/>
      <c r="AE23" s="18">
        <f>'Monthly Data'!AH110</f>
        <v>259</v>
      </c>
      <c r="AF23" s="279"/>
    </row>
    <row r="24" spans="1:57" x14ac:dyDescent="0.25">
      <c r="B24" s="1" t="s">
        <v>66</v>
      </c>
      <c r="C24" s="280">
        <f>'Monthly Data'!G111</f>
        <v>57563</v>
      </c>
      <c r="D24" s="240">
        <f>C24/C23</f>
        <v>0.99979157620495007</v>
      </c>
      <c r="E24" s="310"/>
      <c r="F24" s="310"/>
      <c r="G24" s="280">
        <f>'Monthly Data'!K111</f>
        <v>4427</v>
      </c>
      <c r="H24" s="240">
        <f>G24/G23</f>
        <v>0.9995484307970196</v>
      </c>
      <c r="I24" s="310"/>
      <c r="J24" s="310"/>
      <c r="K24" s="280">
        <f>'Monthly Data'!P111</f>
        <v>513</v>
      </c>
      <c r="L24" s="240">
        <f>K24/K23</f>
        <v>1.001953125</v>
      </c>
      <c r="M24" s="310"/>
      <c r="N24" s="310"/>
      <c r="O24" s="18">
        <f>'Monthly Data'!U111</f>
        <v>17</v>
      </c>
      <c r="P24" s="240">
        <f t="shared" ref="P24:P34" si="16">O24/O23</f>
        <v>1</v>
      </c>
      <c r="Q24" s="310"/>
      <c r="R24" s="310"/>
      <c r="S24" s="18">
        <f>'Monthly Data'!Z111</f>
        <v>1</v>
      </c>
      <c r="T24" s="240">
        <f t="shared" ref="T24:T34" si="17">S24/S23</f>
        <v>1</v>
      </c>
      <c r="U24" s="310"/>
      <c r="V24" s="310"/>
      <c r="W24" s="18">
        <f>'Monthly Data'!AC111</f>
        <v>14444</v>
      </c>
      <c r="X24" s="279">
        <f>W24/W23</f>
        <v>0.99993077189338875</v>
      </c>
      <c r="Y24" s="310"/>
      <c r="Z24" s="310"/>
      <c r="AA24" s="18">
        <f>'Monthly Data'!AF111</f>
        <v>19</v>
      </c>
      <c r="AB24" s="279">
        <f t="shared" ref="AB24:AB34" si="18">AA24/AA23</f>
        <v>1</v>
      </c>
      <c r="AC24" s="310"/>
      <c r="AD24" s="310"/>
      <c r="AE24" s="18">
        <f>'Monthly Data'!AH111</f>
        <v>259</v>
      </c>
      <c r="AF24" s="279">
        <f>AE24/AE23</f>
        <v>1</v>
      </c>
    </row>
    <row r="25" spans="1:57" x14ac:dyDescent="0.25">
      <c r="B25" s="1" t="s">
        <v>67</v>
      </c>
      <c r="C25" s="280">
        <f>'Monthly Data'!G112</f>
        <v>57679</v>
      </c>
      <c r="D25" s="240">
        <f>C25/C24</f>
        <v>1.0020151833643138</v>
      </c>
      <c r="E25" s="310"/>
      <c r="F25" s="310"/>
      <c r="G25" s="280">
        <f>'Monthly Data'!K112</f>
        <v>4431</v>
      </c>
      <c r="H25" s="240">
        <f>G25/G24</f>
        <v>1.0009035464196974</v>
      </c>
      <c r="I25" s="310"/>
      <c r="J25" s="310"/>
      <c r="K25" s="280">
        <f>'Monthly Data'!P112</f>
        <v>513</v>
      </c>
      <c r="L25" s="240">
        <f>K25/K24</f>
        <v>1</v>
      </c>
      <c r="M25" s="310"/>
      <c r="N25" s="310"/>
      <c r="O25" s="18">
        <f>'Monthly Data'!U112</f>
        <v>17</v>
      </c>
      <c r="P25" s="240">
        <f t="shared" si="16"/>
        <v>1</v>
      </c>
      <c r="Q25" s="310"/>
      <c r="R25" s="310"/>
      <c r="S25" s="18">
        <f>'Monthly Data'!Z112</f>
        <v>1</v>
      </c>
      <c r="T25" s="240">
        <f t="shared" si="17"/>
        <v>1</v>
      </c>
      <c r="U25" s="310"/>
      <c r="V25" s="310"/>
      <c r="W25" s="18">
        <f>'Monthly Data'!AC112</f>
        <v>14444</v>
      </c>
      <c r="X25" s="279">
        <f>W25/W24</f>
        <v>1</v>
      </c>
      <c r="Y25" s="310"/>
      <c r="Z25" s="310"/>
      <c r="AA25" s="18">
        <f>'Monthly Data'!AF112</f>
        <v>19</v>
      </c>
      <c r="AB25" s="279">
        <f t="shared" si="18"/>
        <v>1</v>
      </c>
      <c r="AC25" s="310"/>
      <c r="AD25" s="310"/>
      <c r="AE25" s="18">
        <f>'Monthly Data'!AH112</f>
        <v>259</v>
      </c>
      <c r="AF25" s="279">
        <f>AE25/AE24</f>
        <v>1</v>
      </c>
    </row>
    <row r="26" spans="1:57" x14ac:dyDescent="0.25">
      <c r="B26" s="1" t="s">
        <v>68</v>
      </c>
      <c r="C26" s="280">
        <f>'Monthly Data'!G113</f>
        <v>57801</v>
      </c>
      <c r="D26" s="240">
        <f>C26/C25</f>
        <v>1.002115154562319</v>
      </c>
      <c r="E26" s="310"/>
      <c r="F26" s="310"/>
      <c r="G26" s="280">
        <f>'Monthly Data'!K113</f>
        <v>4433</v>
      </c>
      <c r="H26" s="240">
        <f>G26/G25</f>
        <v>1.0004513653802753</v>
      </c>
      <c r="I26" s="310"/>
      <c r="J26" s="310"/>
      <c r="K26" s="280">
        <f>'Monthly Data'!P113</f>
        <v>514</v>
      </c>
      <c r="L26" s="240">
        <f>K26/K25</f>
        <v>1.0019493177387915</v>
      </c>
      <c r="M26" s="310"/>
      <c r="N26" s="310"/>
      <c r="O26" s="18">
        <f>'Monthly Data'!U113</f>
        <v>17</v>
      </c>
      <c r="P26" s="240">
        <f t="shared" si="16"/>
        <v>1</v>
      </c>
      <c r="Q26" s="310"/>
      <c r="R26" s="310"/>
      <c r="S26" s="18">
        <f>'Monthly Data'!Z113</f>
        <v>1</v>
      </c>
      <c r="T26" s="240">
        <f t="shared" si="17"/>
        <v>1</v>
      </c>
      <c r="U26" s="310"/>
      <c r="V26" s="310"/>
      <c r="W26" s="18">
        <f>'Monthly Data'!AC113</f>
        <v>14444</v>
      </c>
      <c r="X26" s="279">
        <f>W26/W25</f>
        <v>1</v>
      </c>
      <c r="Y26" s="310"/>
      <c r="Z26" s="310"/>
      <c r="AA26" s="18">
        <f>'Monthly Data'!AF113</f>
        <v>19</v>
      </c>
      <c r="AB26" s="279">
        <f t="shared" si="18"/>
        <v>1</v>
      </c>
      <c r="AC26" s="310"/>
      <c r="AD26" s="310"/>
      <c r="AE26" s="18">
        <f>'Monthly Data'!AH113</f>
        <v>259</v>
      </c>
      <c r="AF26" s="279">
        <f>AE26/AE25</f>
        <v>1</v>
      </c>
    </row>
    <row r="27" spans="1:57" x14ac:dyDescent="0.25">
      <c r="B27" s="1" t="s">
        <v>69</v>
      </c>
      <c r="C27" s="280">
        <f>'Monthly Data'!G114</f>
        <v>57905</v>
      </c>
      <c r="D27" s="240">
        <f>C27/C26</f>
        <v>1.0017992768291206</v>
      </c>
      <c r="E27" s="310"/>
      <c r="F27" s="310"/>
      <c r="G27" s="280">
        <f>'Monthly Data'!K114</f>
        <v>4438</v>
      </c>
      <c r="H27" s="240">
        <f>G27/G26</f>
        <v>1.0011279043537109</v>
      </c>
      <c r="I27" s="310"/>
      <c r="J27" s="310"/>
      <c r="K27" s="280">
        <f>'Monthly Data'!P114</f>
        <v>515</v>
      </c>
      <c r="L27" s="240">
        <f>K27/K26</f>
        <v>1.0019455252918288</v>
      </c>
      <c r="M27" s="310"/>
      <c r="N27" s="310"/>
      <c r="O27" s="18">
        <f>'Monthly Data'!U114</f>
        <v>17</v>
      </c>
      <c r="P27" s="240">
        <f t="shared" si="16"/>
        <v>1</v>
      </c>
      <c r="Q27" s="310"/>
      <c r="R27" s="310"/>
      <c r="S27" s="18">
        <f>'Monthly Data'!Z114</f>
        <v>1</v>
      </c>
      <c r="T27" s="240">
        <f t="shared" si="17"/>
        <v>1</v>
      </c>
      <c r="U27" s="310"/>
      <c r="V27" s="310"/>
      <c r="W27" s="18">
        <f>'Monthly Data'!AC114</f>
        <v>14444</v>
      </c>
      <c r="X27" s="279">
        <f>W27/W26</f>
        <v>1</v>
      </c>
      <c r="Y27" s="310"/>
      <c r="Z27" s="310"/>
      <c r="AA27" s="18">
        <f>'Monthly Data'!AF114</f>
        <v>19</v>
      </c>
      <c r="AB27" s="279">
        <f t="shared" si="18"/>
        <v>1</v>
      </c>
      <c r="AC27" s="310"/>
      <c r="AD27" s="310"/>
      <c r="AE27" s="18">
        <f>'Monthly Data'!AH114</f>
        <v>259</v>
      </c>
      <c r="AF27" s="279">
        <f>AE27/AE26</f>
        <v>1</v>
      </c>
    </row>
    <row r="28" spans="1:57" x14ac:dyDescent="0.25">
      <c r="B28" s="1" t="s">
        <v>70</v>
      </c>
      <c r="C28" s="280">
        <f>'Monthly Data'!G115</f>
        <v>57937</v>
      </c>
      <c r="D28" s="240">
        <f>C28/C27</f>
        <v>1.0005526293066229</v>
      </c>
      <c r="E28" s="310"/>
      <c r="F28" s="310"/>
      <c r="G28" s="280">
        <f>'Monthly Data'!K115</f>
        <v>4437</v>
      </c>
      <c r="H28" s="240">
        <f>G28/G27</f>
        <v>0.99977467327625058</v>
      </c>
      <c r="I28" s="310"/>
      <c r="J28" s="310"/>
      <c r="K28" s="280">
        <f>'Monthly Data'!P115</f>
        <v>517</v>
      </c>
      <c r="L28" s="240">
        <f>K28/K27</f>
        <v>1.003883495145631</v>
      </c>
      <c r="M28" s="310"/>
      <c r="N28" s="310"/>
      <c r="O28" s="18">
        <f>'Monthly Data'!U115</f>
        <v>17</v>
      </c>
      <c r="P28" s="240">
        <f t="shared" si="16"/>
        <v>1</v>
      </c>
      <c r="Q28" s="310"/>
      <c r="R28" s="310"/>
      <c r="S28" s="18">
        <f>'Monthly Data'!Z115</f>
        <v>1</v>
      </c>
      <c r="T28" s="240">
        <f t="shared" si="17"/>
        <v>1</v>
      </c>
      <c r="U28" s="310"/>
      <c r="V28" s="310"/>
      <c r="W28" s="18">
        <f>'Monthly Data'!AC115</f>
        <v>14444</v>
      </c>
      <c r="X28" s="279">
        <f>W28/W27</f>
        <v>1</v>
      </c>
      <c r="Y28" s="310"/>
      <c r="Z28" s="310"/>
      <c r="AA28" s="18">
        <f>'Monthly Data'!AF115</f>
        <v>19</v>
      </c>
      <c r="AB28" s="279">
        <f t="shared" si="18"/>
        <v>1</v>
      </c>
      <c r="AC28" s="310"/>
      <c r="AD28" s="310"/>
      <c r="AE28" s="18">
        <f>'Monthly Data'!AH115</f>
        <v>259</v>
      </c>
      <c r="AF28" s="279">
        <f>AE28/AE27</f>
        <v>1</v>
      </c>
    </row>
    <row r="29" spans="1:57" x14ac:dyDescent="0.25">
      <c r="B29" s="1" t="s">
        <v>71</v>
      </c>
      <c r="C29" s="280">
        <f>'Monthly Data'!G116</f>
        <v>58077</v>
      </c>
      <c r="D29" s="240">
        <f t="shared" ref="D29:D34" si="19">C29/C28</f>
        <v>1.0024164178331636</v>
      </c>
      <c r="E29" s="310"/>
      <c r="F29" s="310"/>
      <c r="G29" s="280">
        <f>'Monthly Data'!K116</f>
        <v>4438</v>
      </c>
      <c r="H29" s="240">
        <f t="shared" ref="H29:H34" si="20">G29/G28</f>
        <v>1.0002253775073249</v>
      </c>
      <c r="I29" s="310"/>
      <c r="J29" s="310"/>
      <c r="K29" s="280">
        <f>'Monthly Data'!P116</f>
        <v>518</v>
      </c>
      <c r="L29" s="240">
        <f t="shared" ref="L29:L34" si="21">K29/K28</f>
        <v>1.0019342359767891</v>
      </c>
      <c r="M29" s="310"/>
      <c r="N29" s="310"/>
      <c r="O29" s="18">
        <f>'Monthly Data'!U116</f>
        <v>17</v>
      </c>
      <c r="P29" s="240">
        <f t="shared" si="16"/>
        <v>1</v>
      </c>
      <c r="Q29" s="310"/>
      <c r="R29" s="310"/>
      <c r="S29" s="18">
        <f>'Monthly Data'!Z116</f>
        <v>1</v>
      </c>
      <c r="T29" s="240">
        <f t="shared" si="17"/>
        <v>1</v>
      </c>
      <c r="U29" s="310"/>
      <c r="V29" s="310"/>
      <c r="W29" s="18">
        <f>'Monthly Data'!AC116</f>
        <v>14448</v>
      </c>
      <c r="X29" s="279">
        <f t="shared" ref="X29:X34" si="22">W29/W28</f>
        <v>1.0002769315978952</v>
      </c>
      <c r="Y29" s="310"/>
      <c r="Z29" s="310"/>
      <c r="AA29" s="18">
        <f>'Monthly Data'!AF116</f>
        <v>19</v>
      </c>
      <c r="AB29" s="279">
        <f t="shared" si="18"/>
        <v>1</v>
      </c>
      <c r="AC29" s="310"/>
      <c r="AD29" s="310"/>
      <c r="AE29" s="18">
        <f>'Monthly Data'!AH116</f>
        <v>259</v>
      </c>
      <c r="AF29" s="279">
        <f t="shared" ref="AF29:AF34" si="23">AE29/AE28</f>
        <v>1</v>
      </c>
    </row>
    <row r="30" spans="1:57" x14ac:dyDescent="0.25">
      <c r="B30" s="1" t="s">
        <v>72</v>
      </c>
      <c r="C30" s="280">
        <f>'Monthly Data'!G117</f>
        <v>58228</v>
      </c>
      <c r="D30" s="240">
        <f t="shared" si="19"/>
        <v>1.0025999965562959</v>
      </c>
      <c r="E30" s="310"/>
      <c r="F30" s="310"/>
      <c r="G30" s="280">
        <f>'Monthly Data'!K117</f>
        <v>4440</v>
      </c>
      <c r="H30" s="240">
        <f t="shared" si="20"/>
        <v>1.0004506534474988</v>
      </c>
      <c r="I30" s="310"/>
      <c r="J30" s="310"/>
      <c r="K30" s="280">
        <f>'Monthly Data'!P117</f>
        <v>519</v>
      </c>
      <c r="L30" s="240">
        <f t="shared" si="21"/>
        <v>1.001930501930502</v>
      </c>
      <c r="M30" s="310"/>
      <c r="N30" s="310"/>
      <c r="O30" s="18">
        <f>'Monthly Data'!U117</f>
        <v>17</v>
      </c>
      <c r="P30" s="240">
        <f t="shared" si="16"/>
        <v>1</v>
      </c>
      <c r="Q30" s="310"/>
      <c r="R30" s="310"/>
      <c r="S30" s="18">
        <f>'Monthly Data'!Z117</f>
        <v>1</v>
      </c>
      <c r="T30" s="240">
        <f t="shared" si="17"/>
        <v>1</v>
      </c>
      <c r="U30" s="310"/>
      <c r="V30" s="310"/>
      <c r="W30" s="18">
        <f>'Monthly Data'!AC117</f>
        <v>14448</v>
      </c>
      <c r="X30" s="279">
        <f t="shared" si="22"/>
        <v>1</v>
      </c>
      <c r="Y30" s="310"/>
      <c r="Z30" s="310"/>
      <c r="AA30" s="18">
        <f>'Monthly Data'!AF117</f>
        <v>19</v>
      </c>
      <c r="AB30" s="279">
        <f t="shared" si="18"/>
        <v>1</v>
      </c>
      <c r="AC30" s="310"/>
      <c r="AD30" s="310"/>
      <c r="AE30" s="18">
        <f>'Monthly Data'!AH117</f>
        <v>258</v>
      </c>
      <c r="AF30" s="279">
        <f t="shared" si="23"/>
        <v>0.99613899613899615</v>
      </c>
    </row>
    <row r="31" spans="1:57" x14ac:dyDescent="0.25">
      <c r="B31" s="1" t="s">
        <v>443</v>
      </c>
      <c r="C31" s="280">
        <f>'Monthly Data'!G118</f>
        <v>58188</v>
      </c>
      <c r="D31" s="240">
        <f t="shared" si="19"/>
        <v>0.99931304527031672</v>
      </c>
      <c r="E31" s="310"/>
      <c r="F31" s="310"/>
      <c r="G31" s="280">
        <f>'Monthly Data'!K118</f>
        <v>4445</v>
      </c>
      <c r="H31" s="240">
        <f t="shared" si="20"/>
        <v>1.0011261261261262</v>
      </c>
      <c r="I31" s="310"/>
      <c r="J31" s="310"/>
      <c r="K31" s="280">
        <f>'Monthly Data'!P118</f>
        <v>520</v>
      </c>
      <c r="L31" s="240">
        <f t="shared" si="21"/>
        <v>1.0019267822736031</v>
      </c>
      <c r="M31" s="310"/>
      <c r="N31" s="310"/>
      <c r="O31" s="18">
        <f>'Monthly Data'!U118</f>
        <v>17</v>
      </c>
      <c r="P31" s="240">
        <f t="shared" si="16"/>
        <v>1</v>
      </c>
      <c r="Q31" s="310"/>
      <c r="R31" s="310"/>
      <c r="S31" s="18">
        <f>'Monthly Data'!Z118</f>
        <v>1</v>
      </c>
      <c r="T31" s="240">
        <f t="shared" si="17"/>
        <v>1</v>
      </c>
      <c r="U31" s="310"/>
      <c r="V31" s="310"/>
      <c r="W31" s="18">
        <f>'Monthly Data'!AC118</f>
        <v>14448</v>
      </c>
      <c r="X31" s="279">
        <f t="shared" si="22"/>
        <v>1</v>
      </c>
      <c r="Y31" s="310"/>
      <c r="Z31" s="310"/>
      <c r="AA31" s="18">
        <f>'Monthly Data'!AF118</f>
        <v>19</v>
      </c>
      <c r="AB31" s="279">
        <f t="shared" si="18"/>
        <v>1</v>
      </c>
      <c r="AC31" s="310"/>
      <c r="AD31" s="310"/>
      <c r="AE31" s="18">
        <f>'Monthly Data'!AH118</f>
        <v>260</v>
      </c>
      <c r="AF31" s="279">
        <f t="shared" si="23"/>
        <v>1.0077519379844961</v>
      </c>
    </row>
    <row r="32" spans="1:57" x14ac:dyDescent="0.25">
      <c r="B32" s="1" t="s">
        <v>74</v>
      </c>
      <c r="C32" s="280">
        <f>'Monthly Data'!G119</f>
        <v>58092</v>
      </c>
      <c r="D32" s="240">
        <f t="shared" si="19"/>
        <v>0.99835017529387504</v>
      </c>
      <c r="E32" s="310"/>
      <c r="F32" s="310"/>
      <c r="G32" s="280">
        <f>'Monthly Data'!K119</f>
        <v>4447</v>
      </c>
      <c r="H32" s="240">
        <f t="shared" si="20"/>
        <v>1.0004499437570304</v>
      </c>
      <c r="I32" s="310"/>
      <c r="J32" s="310"/>
      <c r="K32" s="280">
        <f>'Monthly Data'!P119</f>
        <v>520</v>
      </c>
      <c r="L32" s="240">
        <f t="shared" si="21"/>
        <v>1</v>
      </c>
      <c r="M32" s="310"/>
      <c r="N32" s="310"/>
      <c r="O32" s="18">
        <f>'Monthly Data'!U119</f>
        <v>17</v>
      </c>
      <c r="P32" s="240">
        <f t="shared" si="16"/>
        <v>1</v>
      </c>
      <c r="Q32" s="310"/>
      <c r="R32" s="310"/>
      <c r="S32" s="18">
        <f>'Monthly Data'!Z119</f>
        <v>1</v>
      </c>
      <c r="T32" s="240">
        <f t="shared" si="17"/>
        <v>1</v>
      </c>
      <c r="U32" s="310"/>
      <c r="V32" s="310"/>
      <c r="W32" s="18">
        <f>'Monthly Data'!AC119</f>
        <v>14448</v>
      </c>
      <c r="X32" s="279">
        <f t="shared" si="22"/>
        <v>1</v>
      </c>
      <c r="Y32" s="310"/>
      <c r="Z32" s="310"/>
      <c r="AA32" s="18">
        <f>'Monthly Data'!AF119</f>
        <v>19</v>
      </c>
      <c r="AB32" s="279">
        <f t="shared" si="18"/>
        <v>1</v>
      </c>
      <c r="AC32" s="310"/>
      <c r="AD32" s="310"/>
      <c r="AE32" s="18">
        <f>'Monthly Data'!AH119</f>
        <v>260</v>
      </c>
      <c r="AF32" s="279">
        <f t="shared" si="23"/>
        <v>1</v>
      </c>
    </row>
    <row r="33" spans="1:32" x14ac:dyDescent="0.25">
      <c r="B33" s="1" t="s">
        <v>75</v>
      </c>
      <c r="C33" s="280">
        <f>'Monthly Data'!G120</f>
        <v>58153</v>
      </c>
      <c r="D33" s="240">
        <f t="shared" si="19"/>
        <v>1.0010500585278523</v>
      </c>
      <c r="E33" s="310"/>
      <c r="F33" s="310"/>
      <c r="G33" s="280">
        <f>'Monthly Data'!K120</f>
        <v>4465</v>
      </c>
      <c r="H33" s="240">
        <f t="shared" si="20"/>
        <v>1.0040476725882617</v>
      </c>
      <c r="I33" s="310"/>
      <c r="J33" s="310"/>
      <c r="K33" s="280">
        <f>'Monthly Data'!P120</f>
        <v>520</v>
      </c>
      <c r="L33" s="240">
        <f t="shared" si="21"/>
        <v>1</v>
      </c>
      <c r="M33" s="310"/>
      <c r="N33" s="310"/>
      <c r="O33" s="18">
        <f>'Monthly Data'!U120</f>
        <v>17</v>
      </c>
      <c r="P33" s="240">
        <f t="shared" si="16"/>
        <v>1</v>
      </c>
      <c r="Q33" s="310"/>
      <c r="R33" s="310"/>
      <c r="S33" s="18">
        <f>'Monthly Data'!Z120</f>
        <v>1</v>
      </c>
      <c r="T33" s="240">
        <f t="shared" si="17"/>
        <v>1</v>
      </c>
      <c r="U33" s="310"/>
      <c r="V33" s="310"/>
      <c r="W33" s="18">
        <f>'Monthly Data'!AC120</f>
        <v>14448</v>
      </c>
      <c r="X33" s="279">
        <f t="shared" si="22"/>
        <v>1</v>
      </c>
      <c r="Y33" s="310"/>
      <c r="Z33" s="310"/>
      <c r="AA33" s="18">
        <f>'Monthly Data'!AF120</f>
        <v>19</v>
      </c>
      <c r="AB33" s="279">
        <f t="shared" si="18"/>
        <v>1</v>
      </c>
      <c r="AC33" s="310"/>
      <c r="AD33" s="310"/>
      <c r="AE33" s="18">
        <f>'Monthly Data'!AH120</f>
        <v>261</v>
      </c>
      <c r="AF33" s="279">
        <f t="shared" si="23"/>
        <v>1.0038461538461538</v>
      </c>
    </row>
    <row r="34" spans="1:32" x14ac:dyDescent="0.25">
      <c r="B34" s="1" t="s">
        <v>76</v>
      </c>
      <c r="C34" s="280">
        <f>'Monthly Data'!G121</f>
        <v>58046</v>
      </c>
      <c r="D34" s="240">
        <f t="shared" si="19"/>
        <v>0.99816002613794641</v>
      </c>
      <c r="E34" s="310"/>
      <c r="F34" s="310"/>
      <c r="G34" s="280">
        <f>'Monthly Data'!K121</f>
        <v>4297</v>
      </c>
      <c r="H34" s="240">
        <f t="shared" si="20"/>
        <v>0.96237402015677487</v>
      </c>
      <c r="I34" s="310"/>
      <c r="J34" s="310"/>
      <c r="K34" s="280">
        <f>'Monthly Data'!P121</f>
        <v>519</v>
      </c>
      <c r="L34" s="240">
        <f t="shared" si="21"/>
        <v>0.99807692307692308</v>
      </c>
      <c r="M34" s="310"/>
      <c r="N34" s="310"/>
      <c r="O34" s="18">
        <f>'Monthly Data'!U121</f>
        <v>17</v>
      </c>
      <c r="P34" s="240">
        <f t="shared" si="16"/>
        <v>1</v>
      </c>
      <c r="Q34" s="310"/>
      <c r="R34" s="310"/>
      <c r="S34" s="18">
        <f>'Monthly Data'!Z121</f>
        <v>1</v>
      </c>
      <c r="T34" s="240">
        <f t="shared" si="17"/>
        <v>1</v>
      </c>
      <c r="U34" s="310"/>
      <c r="V34" s="310"/>
      <c r="W34" s="18">
        <f>'Monthly Data'!AC121</f>
        <v>14448</v>
      </c>
      <c r="X34" s="279">
        <f t="shared" si="22"/>
        <v>1</v>
      </c>
      <c r="Y34" s="310"/>
      <c r="Z34" s="310"/>
      <c r="AA34" s="18">
        <f>'Monthly Data'!AF121</f>
        <v>19</v>
      </c>
      <c r="AB34" s="279">
        <f t="shared" si="18"/>
        <v>1</v>
      </c>
      <c r="AC34" s="310"/>
      <c r="AD34" s="310"/>
      <c r="AE34" s="18">
        <f>'Monthly Data'!AH121</f>
        <v>262</v>
      </c>
      <c r="AF34" s="279">
        <f t="shared" si="23"/>
        <v>1.0038314176245211</v>
      </c>
    </row>
    <row r="35" spans="1:32" x14ac:dyDescent="0.25">
      <c r="A35" s="1">
        <v>2025</v>
      </c>
      <c r="B35" s="1" t="s">
        <v>65</v>
      </c>
      <c r="C35" s="311">
        <f>C14/D14^(5.5046192/12)</f>
        <v>58359.961410044612</v>
      </c>
      <c r="D35" s="312">
        <f>C35/C34</f>
        <v>1.0054088379913277</v>
      </c>
      <c r="E35" s="310"/>
      <c r="F35" s="310"/>
      <c r="G35" s="311">
        <f>G14/H14^(5.5046192/12)</f>
        <v>4453.0184501550502</v>
      </c>
      <c r="H35" s="312">
        <f>G35/G34</f>
        <v>1.0363086921468583</v>
      </c>
      <c r="I35" s="310"/>
      <c r="J35" s="310"/>
      <c r="K35" s="311">
        <f>K14/L14^(5.5046192/12)</f>
        <v>517.11615081999435</v>
      </c>
      <c r="L35" s="312">
        <f>K35/K34</f>
        <v>0.99637023279382342</v>
      </c>
      <c r="M35" s="310"/>
      <c r="N35" s="310"/>
      <c r="O35" s="311">
        <f>O14/P14^(5.5046192/12)</f>
        <v>17.317303715961351</v>
      </c>
      <c r="P35" s="312">
        <f>O35/O34</f>
        <v>1.0186649244683148</v>
      </c>
      <c r="Q35" s="310"/>
      <c r="R35" s="310"/>
      <c r="S35" s="311">
        <f>S14/T14^(5.5046192/12)</f>
        <v>1</v>
      </c>
      <c r="T35" s="312">
        <f>S35/S34</f>
        <v>1</v>
      </c>
      <c r="U35" s="310"/>
      <c r="V35" s="310"/>
      <c r="W35" s="311">
        <f>W14/X14^(5.5046192/12)</f>
        <v>14552.933578287297</v>
      </c>
      <c r="X35" s="312">
        <f>W35/W34</f>
        <v>1.0072628445658427</v>
      </c>
      <c r="Y35" s="310"/>
      <c r="Z35" s="310"/>
      <c r="AA35" s="311">
        <f>AA14/AB14^(5.5046192/12)</f>
        <v>19</v>
      </c>
      <c r="AB35" s="312">
        <f>AA35/AA34</f>
        <v>1</v>
      </c>
      <c r="AC35" s="310"/>
      <c r="AD35" s="310"/>
      <c r="AE35" s="311">
        <f>AE14/AF14^(5.5046192/12)</f>
        <v>260.42182898575055</v>
      </c>
      <c r="AF35" s="312">
        <f>AE35/AE34</f>
        <v>0.99397644651049832</v>
      </c>
    </row>
    <row r="36" spans="1:32" x14ac:dyDescent="0.25">
      <c r="B36" s="1" t="s">
        <v>66</v>
      </c>
      <c r="C36" s="311">
        <f>C35*D$14^(1/12)</f>
        <v>58425.352392407352</v>
      </c>
      <c r="D36" s="312">
        <f>C36/C35</f>
        <v>1.0011204767923558</v>
      </c>
      <c r="E36" s="310"/>
      <c r="F36" s="310"/>
      <c r="G36" s="311">
        <f>G35*H$14^(1/12)</f>
        <v>4456.9989474110034</v>
      </c>
      <c r="H36" s="312">
        <f>G36/G35</f>
        <v>1.0008938874384889</v>
      </c>
      <c r="I36" s="310"/>
      <c r="J36" s="310"/>
      <c r="K36" s="311">
        <f>K35*L$14^(1/12)</f>
        <v>517.18538613224928</v>
      </c>
      <c r="L36" s="312">
        <f t="shared" ref="L36:L53" si="24">K36/K35</f>
        <v>1.0001338873522807</v>
      </c>
      <c r="M36" s="310"/>
      <c r="N36" s="310"/>
      <c r="O36" s="311">
        <f>O35*P$14^(1/12)</f>
        <v>17.366677727147245</v>
      </c>
      <c r="P36" s="312">
        <f t="shared" ref="P36:P58" si="25">O36/O35</f>
        <v>1.0028511373361424</v>
      </c>
      <c r="Q36" s="310"/>
      <c r="R36" s="310"/>
      <c r="S36" s="311">
        <f>S35*T$14^(1/12)</f>
        <v>1</v>
      </c>
      <c r="T36" s="312">
        <f t="shared" ref="T36:T58" si="26">S36/S35</f>
        <v>1</v>
      </c>
      <c r="U36" s="310"/>
      <c r="V36" s="310"/>
      <c r="W36" s="311">
        <f t="shared" ref="W36:W53" si="27">W35*X$14^(1/12)</f>
        <v>14569.453824791191</v>
      </c>
      <c r="X36" s="312">
        <f t="shared" ref="X36:X53" si="28">W36/W35</f>
        <v>1.0011351832546356</v>
      </c>
      <c r="Y36" s="310"/>
      <c r="Z36" s="310"/>
      <c r="AA36" s="311">
        <f t="shared" ref="AA36:AA58" si="29">AA35*AB$14^(1/12)</f>
        <v>19</v>
      </c>
      <c r="AB36" s="312">
        <f t="shared" ref="AB36:AB58" si="30">AA36/AA35</f>
        <v>1</v>
      </c>
      <c r="AC36" s="310"/>
      <c r="AD36" s="310"/>
      <c r="AE36" s="311">
        <f t="shared" ref="AE36:AE53" si="31">AE35*AF$14^(1/12)</f>
        <v>260.56404027683681</v>
      </c>
      <c r="AF36" s="312">
        <f t="shared" ref="AF36:AF53" si="32">AE36/AE35</f>
        <v>1.00054608053265</v>
      </c>
    </row>
    <row r="37" spans="1:32" x14ac:dyDescent="0.25">
      <c r="B37" s="1" t="s">
        <v>67</v>
      </c>
      <c r="C37" s="311">
        <f t="shared" ref="C37:C46" si="33">C36*D$14^(1/12)</f>
        <v>58490.816643848259</v>
      </c>
      <c r="D37" s="312">
        <f t="shared" ref="D37:D53" si="34">C37/C36</f>
        <v>1.0011204767923558</v>
      </c>
      <c r="E37" s="310"/>
      <c r="F37" s="310"/>
      <c r="G37" s="311">
        <f t="shared" ref="G37:G46" si="35">G36*H$14^(1/12)</f>
        <v>4460.9830027834523</v>
      </c>
      <c r="H37" s="312">
        <f t="shared" ref="H37:H53" si="36">G37/G36</f>
        <v>1.0008938874384889</v>
      </c>
      <c r="I37" s="310"/>
      <c r="J37" s="310"/>
      <c r="K37" s="311">
        <f t="shared" ref="K37:K46" si="37">K36*L$14^(1/12)</f>
        <v>517.25463071423678</v>
      </c>
      <c r="L37" s="312">
        <f t="shared" si="24"/>
        <v>1.0001338873522807</v>
      </c>
      <c r="M37" s="310"/>
      <c r="N37" s="310"/>
      <c r="O37" s="311">
        <f t="shared" ref="O37:O46" si="38">O36*P$14^(1/12)</f>
        <v>17.416192510419865</v>
      </c>
      <c r="P37" s="312">
        <f t="shared" si="25"/>
        <v>1.0028511373361424</v>
      </c>
      <c r="Q37" s="310"/>
      <c r="R37" s="310"/>
      <c r="S37" s="311">
        <f t="shared" ref="S37:S46" si="39">S36*T$14^(1/12)</f>
        <v>1</v>
      </c>
      <c r="T37" s="312">
        <f t="shared" si="26"/>
        <v>1</v>
      </c>
      <c r="U37" s="310"/>
      <c r="V37" s="310"/>
      <c r="W37" s="311">
        <f t="shared" si="27"/>
        <v>14585.992824802281</v>
      </c>
      <c r="X37" s="312">
        <f t="shared" si="28"/>
        <v>1.0011351832546356</v>
      </c>
      <c r="Y37" s="310"/>
      <c r="Z37" s="310"/>
      <c r="AA37" s="311">
        <f t="shared" si="29"/>
        <v>19</v>
      </c>
      <c r="AB37" s="312">
        <f t="shared" si="30"/>
        <v>1</v>
      </c>
      <c r="AC37" s="310"/>
      <c r="AD37" s="310"/>
      <c r="AE37" s="311">
        <f t="shared" si="31"/>
        <v>260.70632922674065</v>
      </c>
      <c r="AF37" s="312">
        <f t="shared" si="32"/>
        <v>1.00054608053265</v>
      </c>
    </row>
    <row r="38" spans="1:32" x14ac:dyDescent="0.25">
      <c r="B38" s="1" t="s">
        <v>68</v>
      </c>
      <c r="C38" s="311">
        <f t="shared" si="33"/>
        <v>58556.354246463634</v>
      </c>
      <c r="D38" s="312">
        <f t="shared" si="34"/>
        <v>1.0011204767923558</v>
      </c>
      <c r="E38" s="310"/>
      <c r="F38" s="310"/>
      <c r="G38" s="311">
        <f t="shared" si="35"/>
        <v>4464.9706194529535</v>
      </c>
      <c r="H38" s="312">
        <f t="shared" si="36"/>
        <v>1.0008938874384889</v>
      </c>
      <c r="I38" s="310"/>
      <c r="J38" s="310"/>
      <c r="K38" s="311">
        <f t="shared" si="37"/>
        <v>517.32388456719809</v>
      </c>
      <c r="L38" s="312">
        <f t="shared" si="24"/>
        <v>1.0001338873522807</v>
      </c>
      <c r="M38" s="310"/>
      <c r="N38" s="310"/>
      <c r="O38" s="311">
        <f t="shared" si="38"/>
        <v>17.465848467139768</v>
      </c>
      <c r="P38" s="312">
        <f t="shared" si="25"/>
        <v>1.0028511373361424</v>
      </c>
      <c r="Q38" s="310"/>
      <c r="R38" s="310"/>
      <c r="S38" s="311">
        <f t="shared" si="39"/>
        <v>1</v>
      </c>
      <c r="T38" s="312">
        <f t="shared" si="26"/>
        <v>1</v>
      </c>
      <c r="U38" s="310"/>
      <c r="V38" s="310"/>
      <c r="W38" s="311">
        <f t="shared" si="27"/>
        <v>14602.550599609231</v>
      </c>
      <c r="X38" s="312">
        <f t="shared" si="28"/>
        <v>1.0011351832546356</v>
      </c>
      <c r="Y38" s="310"/>
      <c r="Z38" s="310"/>
      <c r="AA38" s="311">
        <f t="shared" si="29"/>
        <v>19</v>
      </c>
      <c r="AB38" s="312">
        <f t="shared" si="30"/>
        <v>1</v>
      </c>
      <c r="AC38" s="310"/>
      <c r="AD38" s="310"/>
      <c r="AE38" s="311">
        <f t="shared" si="31"/>
        <v>260.84869587787</v>
      </c>
      <c r="AF38" s="312">
        <f t="shared" si="32"/>
        <v>1.00054608053265</v>
      </c>
    </row>
    <row r="39" spans="1:32" x14ac:dyDescent="0.25">
      <c r="B39" s="1" t="s">
        <v>69</v>
      </c>
      <c r="C39" s="311">
        <f t="shared" si="33"/>
        <v>58621.965282441764</v>
      </c>
      <c r="D39" s="240">
        <f t="shared" si="34"/>
        <v>1.0011204767923558</v>
      </c>
      <c r="E39" s="310"/>
      <c r="F39" s="310"/>
      <c r="G39" s="311">
        <f t="shared" si="35"/>
        <v>4468.961800602905</v>
      </c>
      <c r="H39" s="312">
        <f t="shared" si="36"/>
        <v>1.0008938874384889</v>
      </c>
      <c r="I39" s="310"/>
      <c r="J39" s="310"/>
      <c r="K39" s="311">
        <f t="shared" si="37"/>
        <v>517.39314769237433</v>
      </c>
      <c r="L39" s="312">
        <f t="shared" si="24"/>
        <v>1.0001338873522807</v>
      </c>
      <c r="M39" s="310"/>
      <c r="N39" s="310"/>
      <c r="O39" s="311">
        <f t="shared" si="38"/>
        <v>17.515645999811834</v>
      </c>
      <c r="P39" s="312">
        <f t="shared" si="25"/>
        <v>1.0028511373361424</v>
      </c>
      <c r="Q39" s="310"/>
      <c r="R39" s="310"/>
      <c r="S39" s="311">
        <f t="shared" si="39"/>
        <v>1</v>
      </c>
      <c r="T39" s="312">
        <f t="shared" si="26"/>
        <v>1</v>
      </c>
      <c r="U39" s="310"/>
      <c r="V39" s="310"/>
      <c r="W39" s="311">
        <f t="shared" si="27"/>
        <v>14619.127170524876</v>
      </c>
      <c r="X39" s="312">
        <f t="shared" si="28"/>
        <v>1.0011351832546356</v>
      </c>
      <c r="Y39" s="310"/>
      <c r="Z39" s="310"/>
      <c r="AA39" s="311">
        <f t="shared" si="29"/>
        <v>19</v>
      </c>
      <c r="AB39" s="312">
        <f t="shared" si="30"/>
        <v>1</v>
      </c>
      <c r="AC39" s="310"/>
      <c r="AD39" s="310"/>
      <c r="AE39" s="311">
        <f t="shared" si="31"/>
        <v>260.99114027265608</v>
      </c>
      <c r="AF39" s="312">
        <f t="shared" si="32"/>
        <v>1.00054608053265</v>
      </c>
    </row>
    <row r="40" spans="1:32" x14ac:dyDescent="0.25">
      <c r="B40" s="1" t="s">
        <v>70</v>
      </c>
      <c r="C40" s="311">
        <f t="shared" si="33"/>
        <v>58687.649834063028</v>
      </c>
      <c r="D40" s="312">
        <f t="shared" si="34"/>
        <v>1.0011204767923558</v>
      </c>
      <c r="E40" s="310"/>
      <c r="F40" s="310"/>
      <c r="G40" s="311">
        <f t="shared" si="35"/>
        <v>4472.9565494195513</v>
      </c>
      <c r="H40" s="312">
        <f t="shared" si="36"/>
        <v>1.0008938874384889</v>
      </c>
      <c r="I40" s="310"/>
      <c r="J40" s="310"/>
      <c r="K40" s="311">
        <f t="shared" si="37"/>
        <v>517.46242009100706</v>
      </c>
      <c r="L40" s="312">
        <f t="shared" si="24"/>
        <v>1.0001338873522807</v>
      </c>
      <c r="M40" s="310"/>
      <c r="N40" s="310"/>
      <c r="O40" s="311">
        <f t="shared" si="38"/>
        <v>17.56558551208855</v>
      </c>
      <c r="P40" s="312">
        <f t="shared" si="25"/>
        <v>1.0028511373361424</v>
      </c>
      <c r="Q40" s="310"/>
      <c r="R40" s="310"/>
      <c r="S40" s="311">
        <f t="shared" si="39"/>
        <v>1</v>
      </c>
      <c r="T40" s="312">
        <f t="shared" si="26"/>
        <v>1</v>
      </c>
      <c r="U40" s="310"/>
      <c r="V40" s="310"/>
      <c r="W40" s="311">
        <f t="shared" si="27"/>
        <v>14635.722558886244</v>
      </c>
      <c r="X40" s="312">
        <f t="shared" si="28"/>
        <v>1.0011351832546356</v>
      </c>
      <c r="Y40" s="310"/>
      <c r="Z40" s="310"/>
      <c r="AA40" s="311">
        <f t="shared" si="29"/>
        <v>19</v>
      </c>
      <c r="AB40" s="312">
        <f t="shared" si="30"/>
        <v>1</v>
      </c>
      <c r="AC40" s="310"/>
      <c r="AD40" s="310"/>
      <c r="AE40" s="311">
        <f t="shared" si="31"/>
        <v>261.13366245355314</v>
      </c>
      <c r="AF40" s="312">
        <f t="shared" si="32"/>
        <v>1.00054608053265</v>
      </c>
    </row>
    <row r="41" spans="1:32" x14ac:dyDescent="0.25">
      <c r="B41" s="1" t="s">
        <v>71</v>
      </c>
      <c r="C41" s="311">
        <f t="shared" si="33"/>
        <v>58753.407983700003</v>
      </c>
      <c r="D41" s="312">
        <f t="shared" si="34"/>
        <v>1.0011204767923558</v>
      </c>
      <c r="E41" s="310"/>
      <c r="F41" s="310"/>
      <c r="G41" s="311">
        <f t="shared" si="35"/>
        <v>4476.9548690919846</v>
      </c>
      <c r="H41" s="312">
        <f t="shared" si="36"/>
        <v>1.0008938874384889</v>
      </c>
      <c r="I41" s="310"/>
      <c r="J41" s="310"/>
      <c r="K41" s="311">
        <f t="shared" si="37"/>
        <v>517.53170176433787</v>
      </c>
      <c r="L41" s="312">
        <f t="shared" si="24"/>
        <v>1.0001338873522807</v>
      </c>
      <c r="M41" s="310"/>
      <c r="N41" s="310"/>
      <c r="O41" s="311">
        <f t="shared" si="38"/>
        <v>17.615667408773266</v>
      </c>
      <c r="P41" s="312">
        <f t="shared" si="25"/>
        <v>1.0028511373361424</v>
      </c>
      <c r="Q41" s="310"/>
      <c r="R41" s="310"/>
      <c r="S41" s="311">
        <f t="shared" si="39"/>
        <v>1</v>
      </c>
      <c r="T41" s="312">
        <f t="shared" si="26"/>
        <v>1</v>
      </c>
      <c r="U41" s="310"/>
      <c r="V41" s="310"/>
      <c r="W41" s="311">
        <f t="shared" si="27"/>
        <v>14652.336786054584</v>
      </c>
      <c r="X41" s="312">
        <f t="shared" si="28"/>
        <v>1.0011351832546356</v>
      </c>
      <c r="Y41" s="310"/>
      <c r="Z41" s="310"/>
      <c r="AA41" s="311">
        <f t="shared" si="29"/>
        <v>19</v>
      </c>
      <c r="AB41" s="312">
        <f t="shared" si="30"/>
        <v>1</v>
      </c>
      <c r="AC41" s="310"/>
      <c r="AD41" s="310"/>
      <c r="AE41" s="311">
        <f t="shared" si="31"/>
        <v>261.27626246303862</v>
      </c>
      <c r="AF41" s="312">
        <f t="shared" si="32"/>
        <v>1.00054608053265</v>
      </c>
    </row>
    <row r="42" spans="1:32" x14ac:dyDescent="0.25">
      <c r="B42" s="1" t="s">
        <v>72</v>
      </c>
      <c r="C42" s="311">
        <f t="shared" si="33"/>
        <v>58819.239813817549</v>
      </c>
      <c r="D42" s="312">
        <f t="shared" si="34"/>
        <v>1.0011204767923558</v>
      </c>
      <c r="E42" s="310"/>
      <c r="F42" s="310"/>
      <c r="G42" s="311">
        <f t="shared" si="35"/>
        <v>4480.9567628121476</v>
      </c>
      <c r="H42" s="312">
        <f t="shared" si="36"/>
        <v>1.0008938874384889</v>
      </c>
      <c r="I42" s="310"/>
      <c r="J42" s="310"/>
      <c r="K42" s="311">
        <f t="shared" si="37"/>
        <v>517.60099271360843</v>
      </c>
      <c r="L42" s="312">
        <f t="shared" si="24"/>
        <v>1.0001338873522807</v>
      </c>
      <c r="M42" s="310"/>
      <c r="N42" s="310"/>
      <c r="O42" s="311">
        <f t="shared" si="38"/>
        <v>17.665892095823487</v>
      </c>
      <c r="P42" s="312">
        <f t="shared" si="25"/>
        <v>1.0028511373361424</v>
      </c>
      <c r="Q42" s="310"/>
      <c r="R42" s="310"/>
      <c r="S42" s="311">
        <f t="shared" si="39"/>
        <v>1</v>
      </c>
      <c r="T42" s="312">
        <f t="shared" si="26"/>
        <v>1</v>
      </c>
      <c r="U42" s="310"/>
      <c r="V42" s="310"/>
      <c r="W42" s="311">
        <f t="shared" si="27"/>
        <v>14668.969873415394</v>
      </c>
      <c r="X42" s="312">
        <f t="shared" si="28"/>
        <v>1.0011351832546356</v>
      </c>
      <c r="Y42" s="310"/>
      <c r="Z42" s="310"/>
      <c r="AA42" s="311">
        <f t="shared" si="29"/>
        <v>19</v>
      </c>
      <c r="AB42" s="312">
        <f t="shared" si="30"/>
        <v>1</v>
      </c>
      <c r="AC42" s="310"/>
      <c r="AD42" s="310"/>
      <c r="AE42" s="311">
        <f t="shared" si="31"/>
        <v>261.41894034361326</v>
      </c>
      <c r="AF42" s="312">
        <f t="shared" si="32"/>
        <v>1.00054608053265</v>
      </c>
    </row>
    <row r="43" spans="1:32" x14ac:dyDescent="0.25">
      <c r="B43" s="1" t="s">
        <v>443</v>
      </c>
      <c r="C43" s="311">
        <f t="shared" si="33"/>
        <v>58885.145406972944</v>
      </c>
      <c r="D43" s="312">
        <f t="shared" si="34"/>
        <v>1.0011204767923558</v>
      </c>
      <c r="E43" s="310"/>
      <c r="F43" s="310"/>
      <c r="G43" s="311">
        <f t="shared" si="35"/>
        <v>4484.9622337748378</v>
      </c>
      <c r="H43" s="312">
        <f t="shared" si="36"/>
        <v>1.0008938874384889</v>
      </c>
      <c r="I43" s="310"/>
      <c r="J43" s="310"/>
      <c r="K43" s="311">
        <f t="shared" si="37"/>
        <v>517.67029294006068</v>
      </c>
      <c r="L43" s="312">
        <f t="shared" si="24"/>
        <v>1.0001338873522807</v>
      </c>
      <c r="M43" s="310"/>
      <c r="N43" s="310"/>
      <c r="O43" s="311">
        <f t="shared" si="38"/>
        <v>17.716259980354153</v>
      </c>
      <c r="P43" s="312">
        <f t="shared" si="25"/>
        <v>1.0028511373361424</v>
      </c>
      <c r="Q43" s="310"/>
      <c r="R43" s="310"/>
      <c r="S43" s="311">
        <f t="shared" si="39"/>
        <v>1</v>
      </c>
      <c r="T43" s="312">
        <f t="shared" si="26"/>
        <v>1</v>
      </c>
      <c r="U43" s="310"/>
      <c r="V43" s="310"/>
      <c r="W43" s="311">
        <f t="shared" si="27"/>
        <v>14685.621842378448</v>
      </c>
      <c r="X43" s="312">
        <f t="shared" si="28"/>
        <v>1.0011351832546356</v>
      </c>
      <c r="Y43" s="310"/>
      <c r="Z43" s="310"/>
      <c r="AA43" s="311">
        <f t="shared" si="29"/>
        <v>19</v>
      </c>
      <c r="AB43" s="312">
        <f t="shared" si="30"/>
        <v>1</v>
      </c>
      <c r="AC43" s="310"/>
      <c r="AD43" s="310"/>
      <c r="AE43" s="311">
        <f t="shared" si="31"/>
        <v>261.56169613780088</v>
      </c>
      <c r="AF43" s="312">
        <f t="shared" si="32"/>
        <v>1.00054608053265</v>
      </c>
    </row>
    <row r="44" spans="1:32" x14ac:dyDescent="0.25">
      <c r="B44" s="1" t="s">
        <v>74</v>
      </c>
      <c r="C44" s="311">
        <f t="shared" si="33"/>
        <v>58951.124845815953</v>
      </c>
      <c r="D44" s="312">
        <f t="shared" si="34"/>
        <v>1.0011204767923558</v>
      </c>
      <c r="E44" s="310"/>
      <c r="F44" s="310"/>
      <c r="G44" s="311">
        <f t="shared" si="35"/>
        <v>4488.9712851777067</v>
      </c>
      <c r="H44" s="312">
        <f t="shared" si="36"/>
        <v>1.0008938874384889</v>
      </c>
      <c r="I44" s="310"/>
      <c r="J44" s="310"/>
      <c r="K44" s="311">
        <f t="shared" si="37"/>
        <v>517.73960244493685</v>
      </c>
      <c r="L44" s="312">
        <f t="shared" si="24"/>
        <v>1.0001338873522807</v>
      </c>
      <c r="M44" s="310"/>
      <c r="N44" s="310"/>
      <c r="O44" s="311">
        <f t="shared" si="38"/>
        <v>17.766771470640947</v>
      </c>
      <c r="P44" s="312">
        <f t="shared" si="25"/>
        <v>1.0028511373361424</v>
      </c>
      <c r="Q44" s="310"/>
      <c r="R44" s="310"/>
      <c r="S44" s="311">
        <f t="shared" si="39"/>
        <v>1</v>
      </c>
      <c r="T44" s="312">
        <f t="shared" si="26"/>
        <v>1</v>
      </c>
      <c r="U44" s="310"/>
      <c r="V44" s="310"/>
      <c r="W44" s="311">
        <f t="shared" si="27"/>
        <v>14702.292714377827</v>
      </c>
      <c r="X44" s="312">
        <f t="shared" si="28"/>
        <v>1.0011351832546356</v>
      </c>
      <c r="Y44" s="310"/>
      <c r="Z44" s="310"/>
      <c r="AA44" s="311">
        <f t="shared" si="29"/>
        <v>19</v>
      </c>
      <c r="AB44" s="312">
        <f t="shared" si="30"/>
        <v>1</v>
      </c>
      <c r="AC44" s="310"/>
      <c r="AD44" s="310"/>
      <c r="AE44" s="311">
        <f t="shared" si="31"/>
        <v>261.70452988814867</v>
      </c>
      <c r="AF44" s="312">
        <f t="shared" si="32"/>
        <v>1.00054608053265</v>
      </c>
    </row>
    <row r="45" spans="1:32" x14ac:dyDescent="0.25">
      <c r="B45" s="1" t="s">
        <v>75</v>
      </c>
      <c r="C45" s="311">
        <f t="shared" si="33"/>
        <v>59017.178213088962</v>
      </c>
      <c r="D45" s="312">
        <f t="shared" si="34"/>
        <v>1.0011204767923558</v>
      </c>
      <c r="E45" s="310"/>
      <c r="F45" s="310"/>
      <c r="G45" s="311">
        <f t="shared" si="35"/>
        <v>4492.9839202212643</v>
      </c>
      <c r="H45" s="312">
        <f t="shared" si="36"/>
        <v>1.0008938874384889</v>
      </c>
      <c r="I45" s="310"/>
      <c r="J45" s="310"/>
      <c r="K45" s="311">
        <f t="shared" si="37"/>
        <v>517.8089212294791</v>
      </c>
      <c r="L45" s="312">
        <f t="shared" si="24"/>
        <v>1.0001338873522807</v>
      </c>
      <c r="M45" s="310"/>
      <c r="N45" s="310"/>
      <c r="O45" s="311">
        <f t="shared" si="38"/>
        <v>17.817426976123603</v>
      </c>
      <c r="P45" s="312">
        <f t="shared" si="25"/>
        <v>1.0028511373361424</v>
      </c>
      <c r="Q45" s="310"/>
      <c r="R45" s="310"/>
      <c r="S45" s="311">
        <f t="shared" si="39"/>
        <v>1</v>
      </c>
      <c r="T45" s="312">
        <f t="shared" si="26"/>
        <v>1</v>
      </c>
      <c r="U45" s="310"/>
      <c r="V45" s="310"/>
      <c r="W45" s="311">
        <f t="shared" si="27"/>
        <v>14718.98251087194</v>
      </c>
      <c r="X45" s="312">
        <f t="shared" si="28"/>
        <v>1.0011351832546356</v>
      </c>
      <c r="Y45" s="310"/>
      <c r="Z45" s="310"/>
      <c r="AA45" s="311">
        <f t="shared" si="29"/>
        <v>19</v>
      </c>
      <c r="AB45" s="312">
        <f t="shared" si="30"/>
        <v>1</v>
      </c>
      <c r="AC45" s="310"/>
      <c r="AD45" s="310"/>
      <c r="AE45" s="311">
        <f t="shared" si="31"/>
        <v>261.84744163722689</v>
      </c>
      <c r="AF45" s="312">
        <f t="shared" si="32"/>
        <v>1.00054608053265</v>
      </c>
    </row>
    <row r="46" spans="1:32" x14ac:dyDescent="0.25">
      <c r="B46" s="1" t="s">
        <v>76</v>
      </c>
      <c r="C46" s="311">
        <f t="shared" si="33"/>
        <v>59083.305591627053</v>
      </c>
      <c r="D46" s="312">
        <f t="shared" si="34"/>
        <v>1.0011204767923558</v>
      </c>
      <c r="E46" s="310"/>
      <c r="F46" s="310"/>
      <c r="G46" s="311">
        <f t="shared" si="35"/>
        <v>4497.0001421088828</v>
      </c>
      <c r="H46" s="312">
        <f t="shared" si="36"/>
        <v>1.0008938874384889</v>
      </c>
      <c r="I46" s="310"/>
      <c r="J46" s="310"/>
      <c r="K46" s="311">
        <f t="shared" si="37"/>
        <v>517.87824929492979</v>
      </c>
      <c r="L46" s="312">
        <f t="shared" si="24"/>
        <v>1.0001338873522807</v>
      </c>
      <c r="M46" s="310"/>
      <c r="N46" s="310"/>
      <c r="O46" s="311">
        <f t="shared" si="38"/>
        <v>17.86822690740922</v>
      </c>
      <c r="P46" s="312">
        <f t="shared" si="25"/>
        <v>1.0028511373361424</v>
      </c>
      <c r="Q46" s="310"/>
      <c r="R46" s="310"/>
      <c r="S46" s="311">
        <f t="shared" si="39"/>
        <v>1</v>
      </c>
      <c r="T46" s="312">
        <f t="shared" si="26"/>
        <v>1</v>
      </c>
      <c r="U46" s="310"/>
      <c r="V46" s="310"/>
      <c r="W46" s="311">
        <f t="shared" si="27"/>
        <v>14735.691253343555</v>
      </c>
      <c r="X46" s="312">
        <f t="shared" si="28"/>
        <v>1.0011351832546356</v>
      </c>
      <c r="Y46" s="310"/>
      <c r="Z46" s="310"/>
      <c r="AA46" s="311">
        <f t="shared" si="29"/>
        <v>19</v>
      </c>
      <c r="AB46" s="312">
        <f t="shared" si="30"/>
        <v>1</v>
      </c>
      <c r="AC46" s="310"/>
      <c r="AD46" s="310"/>
      <c r="AE46" s="311">
        <f t="shared" si="31"/>
        <v>261.99043142762918</v>
      </c>
      <c r="AF46" s="312">
        <f t="shared" si="32"/>
        <v>1.00054608053265</v>
      </c>
    </row>
    <row r="47" spans="1:32" x14ac:dyDescent="0.25">
      <c r="A47" s="1">
        <v>2026</v>
      </c>
      <c r="B47" s="1" t="s">
        <v>65</v>
      </c>
      <c r="C47" s="311">
        <f>C46*D$15^(1/12)</f>
        <v>59149.507064358142</v>
      </c>
      <c r="D47" s="312">
        <f>C47/C46</f>
        <v>1.0011204767923558</v>
      </c>
      <c r="E47" s="310"/>
      <c r="F47" s="310"/>
      <c r="G47" s="311">
        <f>G46*H$15^(1/12)</f>
        <v>4501.0199540467966</v>
      </c>
      <c r="H47" s="312">
        <f t="shared" si="36"/>
        <v>1.0008938874384889</v>
      </c>
      <c r="I47" s="310"/>
      <c r="J47" s="310"/>
      <c r="K47" s="311">
        <f>K46*L$15^(1/12)</f>
        <v>517.94758664253163</v>
      </c>
      <c r="L47" s="312">
        <f t="shared" si="24"/>
        <v>1.0001338873522807</v>
      </c>
      <c r="M47" s="310"/>
      <c r="N47" s="310"/>
      <c r="O47" s="311">
        <f>O46*P$15^(1/12)</f>
        <v>17.919171676275599</v>
      </c>
      <c r="P47" s="312">
        <f t="shared" si="25"/>
        <v>1.0028511373361424</v>
      </c>
      <c r="Q47" s="310"/>
      <c r="R47" s="310"/>
      <c r="S47" s="311">
        <f>S46*T$15^(1/12)</f>
        <v>1</v>
      </c>
      <c r="T47" s="312">
        <f t="shared" si="26"/>
        <v>1</v>
      </c>
      <c r="U47" s="310"/>
      <c r="V47" s="310"/>
      <c r="W47" s="311">
        <f t="shared" si="27"/>
        <v>14752.418963299831</v>
      </c>
      <c r="X47" s="312">
        <f t="shared" si="28"/>
        <v>1.0011351832546356</v>
      </c>
      <c r="Y47" s="310"/>
      <c r="Z47" s="310"/>
      <c r="AA47" s="311">
        <f t="shared" si="29"/>
        <v>19</v>
      </c>
      <c r="AB47" s="312">
        <f t="shared" si="30"/>
        <v>1</v>
      </c>
      <c r="AC47" s="310"/>
      <c r="AD47" s="310"/>
      <c r="AE47" s="311">
        <f t="shared" si="31"/>
        <v>262.13349930197239</v>
      </c>
      <c r="AF47" s="312">
        <f t="shared" si="32"/>
        <v>1.00054608053265</v>
      </c>
    </row>
    <row r="48" spans="1:32" x14ac:dyDescent="0.25">
      <c r="B48" s="1" t="s">
        <v>66</v>
      </c>
      <c r="C48" s="311">
        <f t="shared" ref="C48:C58" si="40">C47*D$15^(1/12)</f>
        <v>59215.782714303044</v>
      </c>
      <c r="D48" s="312">
        <f t="shared" si="34"/>
        <v>1.0011204767923558</v>
      </c>
      <c r="E48" s="310"/>
      <c r="F48" s="310"/>
      <c r="G48" s="311">
        <f t="shared" ref="G48:G58" si="41">G47*H$15^(1/12)</f>
        <v>4505.0433592441068</v>
      </c>
      <c r="H48" s="312">
        <f t="shared" si="36"/>
        <v>1.0008938874384889</v>
      </c>
      <c r="I48" s="310"/>
      <c r="J48" s="310"/>
      <c r="K48" s="311">
        <f t="shared" ref="K48:K58" si="42">K47*L$15^(1/12)</f>
        <v>518.01693327352734</v>
      </c>
      <c r="L48" s="312">
        <f t="shared" si="24"/>
        <v>1.0001338873522807</v>
      </c>
      <c r="M48" s="310"/>
      <c r="N48" s="310"/>
      <c r="O48" s="311">
        <f t="shared" ref="O48:O58" si="43">O47*P$15^(1/12)</f>
        <v>17.970261695674573</v>
      </c>
      <c r="P48" s="312">
        <f t="shared" si="25"/>
        <v>1.0028511373361424</v>
      </c>
      <c r="Q48" s="310"/>
      <c r="R48" s="310"/>
      <c r="S48" s="311">
        <f t="shared" ref="S48:S58" si="44">S47*T$15^(1/12)</f>
        <v>1</v>
      </c>
      <c r="T48" s="312">
        <f t="shared" si="26"/>
        <v>1</v>
      </c>
      <c r="U48" s="310"/>
      <c r="V48" s="310"/>
      <c r="W48" s="311">
        <f t="shared" si="27"/>
        <v>14769.165662272339</v>
      </c>
      <c r="X48" s="312">
        <f t="shared" si="28"/>
        <v>1.0011351832546356</v>
      </c>
      <c r="Y48" s="310"/>
      <c r="Z48" s="310"/>
      <c r="AA48" s="311">
        <f t="shared" si="29"/>
        <v>19</v>
      </c>
      <c r="AB48" s="312">
        <f t="shared" si="30"/>
        <v>1</v>
      </c>
      <c r="AC48" s="310"/>
      <c r="AD48" s="310"/>
      <c r="AE48" s="311">
        <f t="shared" si="31"/>
        <v>262.27664530289661</v>
      </c>
      <c r="AF48" s="312">
        <f t="shared" si="32"/>
        <v>1.00054608053265</v>
      </c>
    </row>
    <row r="49" spans="2:32" x14ac:dyDescent="0.25">
      <c r="B49" s="1" t="s">
        <v>67</v>
      </c>
      <c r="C49" s="311">
        <f t="shared" si="40"/>
        <v>59282.132624575606</v>
      </c>
      <c r="D49" s="312">
        <f t="shared" si="34"/>
        <v>1.0011204767923558</v>
      </c>
      <c r="E49" s="310"/>
      <c r="F49" s="310"/>
      <c r="G49" s="311">
        <f t="shared" si="41"/>
        <v>4509.0703609127831</v>
      </c>
      <c r="H49" s="312">
        <f t="shared" si="36"/>
        <v>1.0008938874384889</v>
      </c>
      <c r="I49" s="310"/>
      <c r="J49" s="310"/>
      <c r="K49" s="311">
        <f t="shared" si="42"/>
        <v>518.08628918915986</v>
      </c>
      <c r="L49" s="312">
        <f t="shared" si="24"/>
        <v>1.0001338873522807</v>
      </c>
      <c r="M49" s="310"/>
      <c r="N49" s="310"/>
      <c r="O49" s="311">
        <f t="shared" si="43"/>
        <v>18.021497379735361</v>
      </c>
      <c r="P49" s="312">
        <f t="shared" si="25"/>
        <v>1.0028511373361424</v>
      </c>
      <c r="Q49" s="310"/>
      <c r="R49" s="310"/>
      <c r="S49" s="311">
        <f t="shared" si="44"/>
        <v>1</v>
      </c>
      <c r="T49" s="312">
        <f t="shared" si="26"/>
        <v>1</v>
      </c>
      <c r="U49" s="310"/>
      <c r="V49" s="310"/>
      <c r="W49" s="311">
        <f t="shared" si="27"/>
        <v>14785.931371817089</v>
      </c>
      <c r="X49" s="312">
        <f t="shared" si="28"/>
        <v>1.0011351832546356</v>
      </c>
      <c r="Y49" s="310"/>
      <c r="Z49" s="310"/>
      <c r="AA49" s="311">
        <f t="shared" si="29"/>
        <v>19</v>
      </c>
      <c r="AB49" s="312">
        <f t="shared" si="30"/>
        <v>1</v>
      </c>
      <c r="AC49" s="310"/>
      <c r="AD49" s="310"/>
      <c r="AE49" s="311">
        <f t="shared" si="31"/>
        <v>262.41986947306526</v>
      </c>
      <c r="AF49" s="312">
        <f t="shared" si="32"/>
        <v>1.00054608053265</v>
      </c>
    </row>
    <row r="50" spans="2:32" x14ac:dyDescent="0.25">
      <c r="B50" s="1" t="s">
        <v>68</v>
      </c>
      <c r="C50" s="311">
        <f t="shared" si="40"/>
        <v>59348.556878382806</v>
      </c>
      <c r="D50" s="312">
        <f t="shared" si="34"/>
        <v>1.0011204767923558</v>
      </c>
      <c r="E50" s="310"/>
      <c r="F50" s="310"/>
      <c r="G50" s="311">
        <f t="shared" si="41"/>
        <v>4513.1009622676656</v>
      </c>
      <c r="H50" s="312">
        <f t="shared" si="36"/>
        <v>1.0008938874384889</v>
      </c>
      <c r="I50" s="310"/>
      <c r="J50" s="310"/>
      <c r="K50" s="311">
        <f t="shared" si="42"/>
        <v>518.15565439067234</v>
      </c>
      <c r="L50" s="312">
        <f t="shared" si="24"/>
        <v>1.0001338873522807</v>
      </c>
      <c r="M50" s="310"/>
      <c r="N50" s="310"/>
      <c r="O50" s="311">
        <f t="shared" si="43"/>
        <v>18.072879143767917</v>
      </c>
      <c r="P50" s="312">
        <f t="shared" si="25"/>
        <v>1.0028511373361424</v>
      </c>
      <c r="Q50" s="310"/>
      <c r="R50" s="310"/>
      <c r="S50" s="311">
        <f t="shared" si="44"/>
        <v>1</v>
      </c>
      <c r="T50" s="312">
        <f t="shared" si="26"/>
        <v>1</v>
      </c>
      <c r="U50" s="310"/>
      <c r="V50" s="310"/>
      <c r="W50" s="311">
        <f t="shared" si="27"/>
        <v>14802.716113514567</v>
      </c>
      <c r="X50" s="312">
        <f t="shared" si="28"/>
        <v>1.0011351832546356</v>
      </c>
      <c r="Y50" s="310"/>
      <c r="Z50" s="310"/>
      <c r="AA50" s="311">
        <f t="shared" si="29"/>
        <v>19</v>
      </c>
      <c r="AB50" s="312">
        <f t="shared" si="30"/>
        <v>1</v>
      </c>
      <c r="AC50" s="310"/>
      <c r="AD50" s="310"/>
      <c r="AE50" s="311">
        <f t="shared" si="31"/>
        <v>262.56317185516508</v>
      </c>
      <c r="AF50" s="312">
        <f t="shared" si="32"/>
        <v>1.00054608053265</v>
      </c>
    </row>
    <row r="51" spans="2:32" x14ac:dyDescent="0.25">
      <c r="B51" s="1" t="s">
        <v>69</v>
      </c>
      <c r="C51" s="311">
        <f t="shared" si="40"/>
        <v>59415.05555902484</v>
      </c>
      <c r="D51" s="312">
        <f t="shared" si="34"/>
        <v>1.0011204767923558</v>
      </c>
      <c r="E51" s="310"/>
      <c r="F51" s="310"/>
      <c r="G51" s="311">
        <f t="shared" si="41"/>
        <v>4517.1351665264692</v>
      </c>
      <c r="H51" s="312">
        <f t="shared" si="36"/>
        <v>1.0008938874384889</v>
      </c>
      <c r="I51" s="310"/>
      <c r="J51" s="310"/>
      <c r="K51" s="311">
        <f t="shared" si="42"/>
        <v>518.22502887930796</v>
      </c>
      <c r="L51" s="312">
        <f t="shared" si="24"/>
        <v>1.0001338873522807</v>
      </c>
      <c r="M51" s="310"/>
      <c r="N51" s="310"/>
      <c r="O51" s="311">
        <f t="shared" si="43"/>
        <v>18.124407404266304</v>
      </c>
      <c r="P51" s="312">
        <f t="shared" si="25"/>
        <v>1.0028511373361424</v>
      </c>
      <c r="Q51" s="310"/>
      <c r="R51" s="310"/>
      <c r="S51" s="311">
        <f t="shared" si="44"/>
        <v>1</v>
      </c>
      <c r="T51" s="312">
        <f t="shared" si="26"/>
        <v>1</v>
      </c>
      <c r="U51" s="310"/>
      <c r="V51" s="310"/>
      <c r="W51" s="311">
        <f t="shared" si="27"/>
        <v>14819.519908969753</v>
      </c>
      <c r="X51" s="312">
        <f t="shared" si="28"/>
        <v>1.0011351832546356</v>
      </c>
      <c r="Y51" s="310"/>
      <c r="Z51" s="310"/>
      <c r="AA51" s="311">
        <f t="shared" si="29"/>
        <v>19</v>
      </c>
      <c r="AB51" s="312">
        <f t="shared" si="30"/>
        <v>1</v>
      </c>
      <c r="AC51" s="310"/>
      <c r="AD51" s="310"/>
      <c r="AE51" s="311">
        <f t="shared" si="31"/>
        <v>262.70655249190605</v>
      </c>
      <c r="AF51" s="312">
        <f t="shared" si="32"/>
        <v>1.00054608053265</v>
      </c>
    </row>
    <row r="52" spans="2:32" x14ac:dyDescent="0.25">
      <c r="B52" s="1" t="s">
        <v>70</v>
      </c>
      <c r="C52" s="311">
        <f t="shared" si="40"/>
        <v>59481.628749895259</v>
      </c>
      <c r="D52" s="312">
        <f t="shared" si="34"/>
        <v>1.0011204767923558</v>
      </c>
      <c r="E52" s="310"/>
      <c r="F52" s="310"/>
      <c r="G52" s="311">
        <f t="shared" si="41"/>
        <v>4521.1729769097838</v>
      </c>
      <c r="H52" s="312">
        <f t="shared" si="36"/>
        <v>1.0008938874384889</v>
      </c>
      <c r="I52" s="310"/>
      <c r="J52" s="310"/>
      <c r="K52" s="311">
        <f t="shared" si="42"/>
        <v>518.29441265631021</v>
      </c>
      <c r="L52" s="312">
        <f t="shared" si="24"/>
        <v>1.0001338873522807</v>
      </c>
      <c r="M52" s="310"/>
      <c r="N52" s="310"/>
      <c r="O52" s="311">
        <f t="shared" si="43"/>
        <v>18.176082578912062</v>
      </c>
      <c r="P52" s="312">
        <f t="shared" si="25"/>
        <v>1.0028511373361424</v>
      </c>
      <c r="Q52" s="310"/>
      <c r="R52" s="310"/>
      <c r="S52" s="311">
        <f t="shared" si="44"/>
        <v>1</v>
      </c>
      <c r="T52" s="312">
        <f t="shared" si="26"/>
        <v>1</v>
      </c>
      <c r="U52" s="310"/>
      <c r="V52" s="310"/>
      <c r="W52" s="311">
        <f t="shared" si="27"/>
        <v>14836.342779812154</v>
      </c>
      <c r="X52" s="312">
        <f t="shared" si="28"/>
        <v>1.0011351832546356</v>
      </c>
      <c r="Y52" s="310"/>
      <c r="Z52" s="310"/>
      <c r="AA52" s="311">
        <f t="shared" si="29"/>
        <v>19</v>
      </c>
      <c r="AB52" s="312">
        <f t="shared" si="30"/>
        <v>1</v>
      </c>
      <c r="AC52" s="310"/>
      <c r="AD52" s="310"/>
      <c r="AE52" s="311">
        <f t="shared" si="31"/>
        <v>262.85001142602147</v>
      </c>
      <c r="AF52" s="312">
        <f t="shared" si="32"/>
        <v>1.00054608053265</v>
      </c>
    </row>
    <row r="53" spans="2:32" x14ac:dyDescent="0.25">
      <c r="B53" s="1" t="s">
        <v>71</v>
      </c>
      <c r="C53" s="311">
        <f t="shared" si="40"/>
        <v>59548.27653448104</v>
      </c>
      <c r="D53" s="312">
        <f t="shared" si="34"/>
        <v>1.0011204767923558</v>
      </c>
      <c r="E53" s="310"/>
      <c r="F53" s="310"/>
      <c r="G53" s="311">
        <f t="shared" si="41"/>
        <v>4525.2143966410795</v>
      </c>
      <c r="H53" s="312">
        <f t="shared" si="36"/>
        <v>1.0008938874384889</v>
      </c>
      <c r="I53" s="310"/>
      <c r="J53" s="310"/>
      <c r="K53" s="311">
        <f t="shared" si="42"/>
        <v>518.36380572292262</v>
      </c>
      <c r="L53" s="312">
        <f t="shared" si="24"/>
        <v>1.0001338873522807</v>
      </c>
      <c r="M53" s="310"/>
      <c r="N53" s="310"/>
      <c r="O53" s="311">
        <f t="shared" si="43"/>
        <v>18.227905086577607</v>
      </c>
      <c r="P53" s="312">
        <f t="shared" si="25"/>
        <v>1.0028511373361424</v>
      </c>
      <c r="Q53" s="310"/>
      <c r="R53" s="310"/>
      <c r="S53" s="311">
        <f t="shared" si="44"/>
        <v>1</v>
      </c>
      <c r="T53" s="312">
        <f t="shared" si="26"/>
        <v>1</v>
      </c>
      <c r="U53" s="310"/>
      <c r="V53" s="310"/>
      <c r="W53" s="311">
        <f t="shared" si="27"/>
        <v>14853.18474769583</v>
      </c>
      <c r="X53" s="312">
        <f t="shared" si="28"/>
        <v>1.0011351832546356</v>
      </c>
      <c r="Y53" s="310"/>
      <c r="Z53" s="310"/>
      <c r="AA53" s="311">
        <f t="shared" si="29"/>
        <v>19</v>
      </c>
      <c r="AB53" s="312">
        <f t="shared" si="30"/>
        <v>1</v>
      </c>
      <c r="AC53" s="310"/>
      <c r="AD53" s="310"/>
      <c r="AE53" s="311">
        <f t="shared" si="31"/>
        <v>262.99354870026804</v>
      </c>
      <c r="AF53" s="312">
        <f t="shared" si="32"/>
        <v>1.00054608053265</v>
      </c>
    </row>
    <row r="54" spans="2:32" x14ac:dyDescent="0.25">
      <c r="B54" s="1" t="s">
        <v>72</v>
      </c>
      <c r="C54" s="311">
        <f t="shared" si="40"/>
        <v>59614.998996362716</v>
      </c>
      <c r="D54" s="312">
        <f>C54/C53</f>
        <v>1.0011204767923558</v>
      </c>
      <c r="E54" s="310"/>
      <c r="F54" s="310"/>
      <c r="G54" s="311">
        <f t="shared" si="41"/>
        <v>4529.2594289467061</v>
      </c>
      <c r="H54" s="312">
        <f>G54/G53</f>
        <v>1.0008938874384889</v>
      </c>
      <c r="I54" s="310"/>
      <c r="J54" s="310"/>
      <c r="K54" s="311">
        <f t="shared" si="42"/>
        <v>518.43320808038902</v>
      </c>
      <c r="L54" s="312">
        <f>K54/K53</f>
        <v>1.0001338873522807</v>
      </c>
      <c r="M54" s="310"/>
      <c r="N54" s="310"/>
      <c r="O54" s="311">
        <f t="shared" si="43"/>
        <v>18.279875347329607</v>
      </c>
      <c r="P54" s="312">
        <f t="shared" si="25"/>
        <v>1.0028511373361424</v>
      </c>
      <c r="Q54" s="310"/>
      <c r="R54" s="310"/>
      <c r="S54" s="311">
        <f t="shared" si="44"/>
        <v>1</v>
      </c>
      <c r="T54" s="312">
        <f t="shared" si="26"/>
        <v>1</v>
      </c>
      <c r="U54" s="310"/>
      <c r="V54" s="310"/>
      <c r="W54" s="311">
        <f>W53*X$14^(1/12)</f>
        <v>14870.045834299422</v>
      </c>
      <c r="X54" s="312">
        <f>W54/W53</f>
        <v>1.0011351832546356</v>
      </c>
      <c r="Y54" s="310"/>
      <c r="Z54" s="310"/>
      <c r="AA54" s="311">
        <f t="shared" si="29"/>
        <v>19</v>
      </c>
      <c r="AB54" s="312">
        <f t="shared" si="30"/>
        <v>1</v>
      </c>
      <c r="AC54" s="310"/>
      <c r="AD54" s="310"/>
      <c r="AE54" s="311">
        <f>AE53*AF$14^(1/12)</f>
        <v>263.13716435742577</v>
      </c>
      <c r="AF54" s="312">
        <f>AE54/AE53</f>
        <v>1.00054608053265</v>
      </c>
    </row>
    <row r="55" spans="2:32" x14ac:dyDescent="0.25">
      <c r="B55" s="1" t="s">
        <v>443</v>
      </c>
      <c r="C55" s="311">
        <f t="shared" si="40"/>
        <v>59681.796219214455</v>
      </c>
      <c r="D55" s="312">
        <f>C55/C54</f>
        <v>1.0011204767923558</v>
      </c>
      <c r="E55" s="310"/>
      <c r="F55" s="310"/>
      <c r="G55" s="311">
        <f t="shared" si="41"/>
        <v>4533.308077055899</v>
      </c>
      <c r="H55" s="312">
        <f>G55/G54</f>
        <v>1.0008938874384889</v>
      </c>
      <c r="I55" s="310"/>
      <c r="J55" s="310"/>
      <c r="K55" s="311">
        <f t="shared" si="42"/>
        <v>518.50261972995327</v>
      </c>
      <c r="L55" s="312">
        <f>K55/K54</f>
        <v>1.0001338873522807</v>
      </c>
      <c r="M55" s="310"/>
      <c r="N55" s="310"/>
      <c r="O55" s="311">
        <f t="shared" si="43"/>
        <v>18.331993782432409</v>
      </c>
      <c r="P55" s="312">
        <f t="shared" si="25"/>
        <v>1.0028511373361424</v>
      </c>
      <c r="Q55" s="310"/>
      <c r="R55" s="310"/>
      <c r="S55" s="311">
        <f t="shared" si="44"/>
        <v>1</v>
      </c>
      <c r="T55" s="312">
        <f t="shared" si="26"/>
        <v>1</v>
      </c>
      <c r="U55" s="310"/>
      <c r="V55" s="310"/>
      <c r="W55" s="311">
        <f>W54*X$14^(1/12)</f>
        <v>14886.926061326183</v>
      </c>
      <c r="X55" s="312">
        <f>W55/W54</f>
        <v>1.0011351832546356</v>
      </c>
      <c r="Y55" s="310"/>
      <c r="Z55" s="310"/>
      <c r="AA55" s="311">
        <f t="shared" si="29"/>
        <v>19</v>
      </c>
      <c r="AB55" s="312">
        <f t="shared" si="30"/>
        <v>1</v>
      </c>
      <c r="AC55" s="310"/>
      <c r="AD55" s="310"/>
      <c r="AE55" s="311">
        <f>AE54*AF$14^(1/12)</f>
        <v>263.28085844029812</v>
      </c>
      <c r="AF55" s="312">
        <f>AE55/AE54</f>
        <v>1.00054608053265</v>
      </c>
    </row>
    <row r="56" spans="2:32" x14ac:dyDescent="0.25">
      <c r="B56" s="1" t="s">
        <v>74</v>
      </c>
      <c r="C56" s="311">
        <f t="shared" si="40"/>
        <v>59748.668286804197</v>
      </c>
      <c r="D56" s="312">
        <f>C56/C55</f>
        <v>1.0011204767923558</v>
      </c>
      <c r="E56" s="310"/>
      <c r="F56" s="310"/>
      <c r="G56" s="311">
        <f t="shared" si="41"/>
        <v>4537.3603442007798</v>
      </c>
      <c r="H56" s="312">
        <f>G56/G55</f>
        <v>1.0008938874384889</v>
      </c>
      <c r="I56" s="310"/>
      <c r="J56" s="310"/>
      <c r="K56" s="311">
        <f t="shared" si="42"/>
        <v>518.57204067285954</v>
      </c>
      <c r="L56" s="312">
        <f>K56/K55</f>
        <v>1.0001338873522807</v>
      </c>
      <c r="M56" s="310"/>
      <c r="N56" s="310"/>
      <c r="O56" s="311">
        <f t="shared" si="43"/>
        <v>18.384260814351432</v>
      </c>
      <c r="P56" s="312">
        <f t="shared" si="25"/>
        <v>1.0028511373361424</v>
      </c>
      <c r="Q56" s="310"/>
      <c r="R56" s="310"/>
      <c r="S56" s="311">
        <f t="shared" si="44"/>
        <v>1</v>
      </c>
      <c r="T56" s="312">
        <f t="shared" si="26"/>
        <v>1</v>
      </c>
      <c r="U56" s="310"/>
      <c r="V56" s="310"/>
      <c r="W56" s="311">
        <f>W55*X$14^(1/12)</f>
        <v>14903.825450503999</v>
      </c>
      <c r="X56" s="312">
        <f>W56/W55</f>
        <v>1.0011351832546356</v>
      </c>
      <c r="Y56" s="310"/>
      <c r="Z56" s="310"/>
      <c r="AA56" s="311">
        <f t="shared" si="29"/>
        <v>19</v>
      </c>
      <c r="AB56" s="312">
        <f t="shared" si="30"/>
        <v>1</v>
      </c>
      <c r="AC56" s="310"/>
      <c r="AD56" s="310"/>
      <c r="AE56" s="311">
        <f>AE55*AF$14^(1/12)</f>
        <v>263.42463099171175</v>
      </c>
      <c r="AF56" s="312">
        <f>AE56/AE55</f>
        <v>1.00054608053265</v>
      </c>
    </row>
    <row r="57" spans="2:32" x14ac:dyDescent="0.25">
      <c r="B57" s="1" t="s">
        <v>75</v>
      </c>
      <c r="C57" s="311">
        <f t="shared" si="40"/>
        <v>59815.615282993727</v>
      </c>
      <c r="D57" s="312">
        <f>C57/C56</f>
        <v>1.0011204767923558</v>
      </c>
      <c r="E57" s="310"/>
      <c r="F57" s="310"/>
      <c r="G57" s="311">
        <f t="shared" si="41"/>
        <v>4541.416233616359</v>
      </c>
      <c r="H57" s="312">
        <f>G57/G56</f>
        <v>1.0008938874384889</v>
      </c>
      <c r="I57" s="310"/>
      <c r="J57" s="310"/>
      <c r="K57" s="311">
        <f t="shared" si="42"/>
        <v>518.64147091035204</v>
      </c>
      <c r="L57" s="312">
        <f>K57/K56</f>
        <v>1.0001338873522807</v>
      </c>
      <c r="M57" s="310"/>
      <c r="N57" s="310"/>
      <c r="O57" s="311">
        <f t="shared" si="43"/>
        <v>18.43667686675661</v>
      </c>
      <c r="P57" s="312">
        <f t="shared" si="25"/>
        <v>1.0028511373361424</v>
      </c>
      <c r="Q57" s="310"/>
      <c r="R57" s="310"/>
      <c r="S57" s="311">
        <f t="shared" si="44"/>
        <v>1</v>
      </c>
      <c r="T57" s="312">
        <f t="shared" si="26"/>
        <v>1</v>
      </c>
      <c r="U57" s="310"/>
      <c r="V57" s="310"/>
      <c r="W57" s="311">
        <f>W56*X$14^(1/12)</f>
        <v>14920.744023585423</v>
      </c>
      <c r="X57" s="312">
        <f>W57/W56</f>
        <v>1.0011351832546356</v>
      </c>
      <c r="Y57" s="310"/>
      <c r="Z57" s="310"/>
      <c r="AA57" s="311">
        <f t="shared" si="29"/>
        <v>19</v>
      </c>
      <c r="AB57" s="312">
        <f t="shared" si="30"/>
        <v>1</v>
      </c>
      <c r="AC57" s="310"/>
      <c r="AD57" s="310"/>
      <c r="AE57" s="311">
        <f>AE56*AF$14^(1/12)</f>
        <v>263.56848205451683</v>
      </c>
      <c r="AF57" s="312">
        <f>AE57/AE56</f>
        <v>1.00054608053265</v>
      </c>
    </row>
    <row r="58" spans="2:32" x14ac:dyDescent="0.25">
      <c r="B58" s="1" t="s">
        <v>76</v>
      </c>
      <c r="C58" s="311">
        <f t="shared" si="40"/>
        <v>59882.637291738807</v>
      </c>
      <c r="D58" s="312">
        <f>C58/C57</f>
        <v>1.0011204767923558</v>
      </c>
      <c r="E58" s="310"/>
      <c r="F58" s="310"/>
      <c r="G58" s="311">
        <f t="shared" si="41"/>
        <v>4545.4757485405389</v>
      </c>
      <c r="H58" s="312">
        <f>G58/G57</f>
        <v>1.0008938874384889</v>
      </c>
      <c r="I58" s="310"/>
      <c r="J58" s="310"/>
      <c r="K58" s="311">
        <f t="shared" si="42"/>
        <v>518.71091044367517</v>
      </c>
      <c r="L58" s="312">
        <f>K58/K57</f>
        <v>1.0001338873522807</v>
      </c>
      <c r="M58" s="310"/>
      <c r="N58" s="310"/>
      <c r="O58" s="311">
        <f t="shared" si="43"/>
        <v>18.489242364525811</v>
      </c>
      <c r="P58" s="312">
        <f t="shared" si="25"/>
        <v>1.0028511373361424</v>
      </c>
      <c r="Q58" s="310"/>
      <c r="R58" s="310"/>
      <c r="S58" s="311">
        <f t="shared" si="44"/>
        <v>1</v>
      </c>
      <c r="T58" s="312">
        <f t="shared" si="26"/>
        <v>1</v>
      </c>
      <c r="U58" s="310"/>
      <c r="V58" s="310"/>
      <c r="W58" s="311">
        <f>W57*X$14^(1/12)</f>
        <v>14937.681802347701</v>
      </c>
      <c r="X58" s="312">
        <f>W58/W57</f>
        <v>1.0011351832546356</v>
      </c>
      <c r="Y58" s="310"/>
      <c r="Z58" s="310"/>
      <c r="AA58" s="311">
        <f t="shared" si="29"/>
        <v>19</v>
      </c>
      <c r="AB58" s="312">
        <f t="shared" si="30"/>
        <v>1</v>
      </c>
      <c r="AC58" s="310"/>
      <c r="AD58" s="310"/>
      <c r="AE58" s="311">
        <f>AE57*AF$14^(1/12)</f>
        <v>263.71241167158695</v>
      </c>
      <c r="AF58" s="312">
        <f>AE58/AE57</f>
        <v>1.00054608053265</v>
      </c>
    </row>
  </sheetData>
  <mergeCells count="16">
    <mergeCell ref="AD2:AE2"/>
    <mergeCell ref="AF2:AF3"/>
    <mergeCell ref="V2:W2"/>
    <mergeCell ref="X2:X3"/>
    <mergeCell ref="B2:C2"/>
    <mergeCell ref="D2:D3"/>
    <mergeCell ref="F2:G2"/>
    <mergeCell ref="H2:H3"/>
    <mergeCell ref="J2:K2"/>
    <mergeCell ref="L2:L3"/>
    <mergeCell ref="N2:O2"/>
    <mergeCell ref="P2:P3"/>
    <mergeCell ref="R2:S2"/>
    <mergeCell ref="T2:T3"/>
    <mergeCell ref="Z2:AA2"/>
    <mergeCell ref="AB2:AB3"/>
  </mergeCells>
  <phoneticPr fontId="3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A2:AR50"/>
  <sheetViews>
    <sheetView topLeftCell="U1" workbookViewId="0">
      <selection activeCell="G45" sqref="G45"/>
    </sheetView>
  </sheetViews>
  <sheetFormatPr defaultColWidth="8.88671875" defaultRowHeight="13.2" x14ac:dyDescent="0.25"/>
  <cols>
    <col min="1" max="2" width="8.88671875" style="1"/>
    <col min="3" max="3" width="17.44140625" style="1" bestFit="1" customWidth="1"/>
    <col min="4" max="4" width="15.33203125" style="1" customWidth="1"/>
    <col min="5" max="5" width="12.77734375" style="1" customWidth="1"/>
    <col min="6" max="6" width="11.33203125" style="1" bestFit="1" customWidth="1"/>
    <col min="7" max="7" width="11.33203125" style="1" customWidth="1"/>
    <col min="8" max="8" width="12.109375" style="1" customWidth="1"/>
    <col min="9" max="10" width="8.88671875" style="1"/>
    <col min="11" max="11" width="14.44140625" style="1" bestFit="1" customWidth="1"/>
    <col min="12" max="12" width="8.88671875" style="1"/>
    <col min="13" max="13" width="9.77734375" style="1" customWidth="1"/>
    <col min="14" max="14" width="10.44140625" style="1" customWidth="1"/>
    <col min="15" max="19" width="8.88671875" style="1"/>
    <col min="20" max="20" width="10.109375" style="1" bestFit="1" customWidth="1"/>
    <col min="21" max="21" width="8.88671875" style="1"/>
    <col min="22" max="22" width="11.6640625" style="1" customWidth="1"/>
    <col min="23" max="23" width="11.109375" style="1" customWidth="1"/>
    <col min="24" max="27" width="8.88671875" style="1"/>
    <col min="28" max="28" width="14.6640625" style="1" customWidth="1"/>
    <col min="29" max="29" width="16.109375" style="1" customWidth="1"/>
    <col min="30" max="30" width="15.77734375" style="1" customWidth="1"/>
    <col min="31" max="31" width="11" style="1" customWidth="1"/>
    <col min="32" max="32" width="8.88671875" style="1"/>
    <col min="33" max="33" width="9.33203125" style="1" customWidth="1"/>
    <col min="34" max="34" width="10.6640625" style="1" bestFit="1" customWidth="1"/>
    <col min="35" max="38" width="8.88671875" style="1"/>
    <col min="39" max="39" width="9.77734375" style="1" bestFit="1" customWidth="1"/>
    <col min="40" max="40" width="11.44140625" style="1" customWidth="1"/>
    <col min="41" max="16384" width="8.88671875" style="1"/>
  </cols>
  <sheetData>
    <row r="2" spans="1:44" x14ac:dyDescent="0.25">
      <c r="C2" s="493" t="s">
        <v>303</v>
      </c>
      <c r="D2" s="493"/>
      <c r="E2" s="493"/>
      <c r="F2" s="274"/>
      <c r="K2" s="493" t="s">
        <v>304</v>
      </c>
      <c r="L2" s="493"/>
      <c r="M2" s="493"/>
      <c r="N2" s="274"/>
      <c r="T2" s="493" t="s">
        <v>115</v>
      </c>
      <c r="U2" s="493"/>
      <c r="V2" s="493"/>
      <c r="W2" s="274"/>
      <c r="AB2" s="493" t="s">
        <v>444</v>
      </c>
      <c r="AC2" s="493"/>
      <c r="AD2" s="493"/>
      <c r="AE2" s="274"/>
      <c r="AK2" s="493" t="s">
        <v>117</v>
      </c>
      <c r="AL2" s="493"/>
      <c r="AM2" s="493"/>
      <c r="AN2" s="274"/>
    </row>
    <row r="3" spans="1:44" x14ac:dyDescent="0.25">
      <c r="A3" s="13"/>
      <c r="B3" s="13"/>
      <c r="C3" s="166" t="s">
        <v>401</v>
      </c>
      <c r="D3" s="166" t="s">
        <v>402</v>
      </c>
      <c r="E3" s="166" t="s">
        <v>445</v>
      </c>
      <c r="F3" s="166" t="s">
        <v>446</v>
      </c>
      <c r="G3" s="298"/>
      <c r="H3" s="298"/>
      <c r="J3" s="13"/>
      <c r="K3" s="166" t="s">
        <v>401</v>
      </c>
      <c r="L3" s="166" t="s">
        <v>402</v>
      </c>
      <c r="M3" s="166" t="s">
        <v>445</v>
      </c>
      <c r="N3" s="166" t="s">
        <v>446</v>
      </c>
      <c r="O3" s="298"/>
      <c r="P3" s="298"/>
      <c r="S3" s="13"/>
      <c r="T3" s="166" t="s">
        <v>401</v>
      </c>
      <c r="U3" s="166" t="s">
        <v>402</v>
      </c>
      <c r="V3" s="166" t="s">
        <v>445</v>
      </c>
      <c r="W3" s="166" t="s">
        <v>446</v>
      </c>
      <c r="X3" s="298"/>
      <c r="Y3" s="298"/>
      <c r="AB3" s="166" t="s">
        <v>401</v>
      </c>
      <c r="AC3" s="166" t="s">
        <v>402</v>
      </c>
      <c r="AD3" s="166" t="s">
        <v>445</v>
      </c>
      <c r="AE3" s="166" t="s">
        <v>446</v>
      </c>
      <c r="AG3" s="13"/>
      <c r="AH3" s="298"/>
      <c r="AI3" s="298"/>
      <c r="AK3" s="166" t="s">
        <v>401</v>
      </c>
      <c r="AL3" s="166" t="s">
        <v>402</v>
      </c>
      <c r="AM3" s="166" t="s">
        <v>445</v>
      </c>
      <c r="AN3" s="166" t="s">
        <v>446</v>
      </c>
      <c r="AP3" s="13"/>
      <c r="AQ3" s="298"/>
      <c r="AR3" s="298"/>
    </row>
    <row r="4" spans="1:44" x14ac:dyDescent="0.25">
      <c r="A4" s="13"/>
      <c r="B4" s="13"/>
      <c r="C4" s="166" t="s">
        <v>308</v>
      </c>
      <c r="D4" s="166" t="s">
        <v>310</v>
      </c>
      <c r="E4" s="166" t="s">
        <v>447</v>
      </c>
      <c r="F4" s="166"/>
      <c r="G4" s="298"/>
      <c r="H4" s="298"/>
      <c r="J4" s="13"/>
      <c r="K4" s="166" t="s">
        <v>308</v>
      </c>
      <c r="L4" s="166" t="s">
        <v>310</v>
      </c>
      <c r="M4" s="166" t="s">
        <v>447</v>
      </c>
      <c r="N4" s="166"/>
      <c r="O4" s="298"/>
      <c r="P4" s="298"/>
      <c r="S4" s="13"/>
      <c r="T4" s="166" t="s">
        <v>308</v>
      </c>
      <c r="U4" s="166" t="s">
        <v>310</v>
      </c>
      <c r="V4" s="166" t="s">
        <v>447</v>
      </c>
      <c r="W4" s="166"/>
      <c r="X4" s="298"/>
      <c r="Y4" s="298"/>
      <c r="AB4" s="166" t="s">
        <v>308</v>
      </c>
      <c r="AC4" s="166" t="s">
        <v>310</v>
      </c>
      <c r="AD4" s="166" t="s">
        <v>447</v>
      </c>
      <c r="AE4" s="166"/>
      <c r="AG4" s="13"/>
      <c r="AH4" s="298"/>
      <c r="AI4" s="298"/>
      <c r="AK4" s="166" t="s">
        <v>308</v>
      </c>
      <c r="AL4" s="166" t="s">
        <v>310</v>
      </c>
      <c r="AM4" s="166" t="s">
        <v>447</v>
      </c>
      <c r="AN4" s="166"/>
      <c r="AP4" s="13"/>
      <c r="AQ4" s="298"/>
      <c r="AR4" s="298"/>
    </row>
    <row r="5" spans="1:44" x14ac:dyDescent="0.25">
      <c r="A5" s="295"/>
      <c r="B5" s="295">
        <v>2015</v>
      </c>
      <c r="C5" s="299">
        <f>'Normalized Annual Summary'!Y5</f>
        <v>331248131.3818177</v>
      </c>
      <c r="D5" s="299">
        <f>SUMIF('Monthly Data'!B:B,B5,'Monthly Data'!O:O)</f>
        <v>839348</v>
      </c>
      <c r="E5" s="300">
        <f t="shared" ref="E5:E14" si="0">D5/C5</f>
        <v>2.5338950487014643E-3</v>
      </c>
      <c r="F5" s="301"/>
      <c r="G5" s="301"/>
      <c r="H5" s="301"/>
      <c r="J5" s="295">
        <v>2015</v>
      </c>
      <c r="K5" s="299">
        <f>'Normalized Annual Summary'!AJ5</f>
        <v>81262023.618182287</v>
      </c>
      <c r="L5" s="299">
        <f>SUMIF('Monthly Data'!B:B,J5,'Monthly Data'!T:T)</f>
        <v>190622</v>
      </c>
      <c r="M5" s="300">
        <f t="shared" ref="M5:M14" si="1">L5/K5</f>
        <v>2.3457697890426218E-3</v>
      </c>
      <c r="N5" s="301"/>
      <c r="O5" s="301"/>
      <c r="P5" s="301"/>
      <c r="S5" s="295">
        <v>2015</v>
      </c>
      <c r="T5" s="299">
        <f>'Normalized Annual Summary'!AU5</f>
        <v>41948975.999999993</v>
      </c>
      <c r="U5" s="299">
        <f>SUMIF('Monthly Data'!B:B,S5,'Monthly Data'!Y:Y)</f>
        <v>95646</v>
      </c>
      <c r="V5" s="300">
        <f t="shared" ref="V5:V14" si="2">U5/T5</f>
        <v>2.2800556561857438E-3</v>
      </c>
      <c r="W5" s="301"/>
      <c r="X5" s="301"/>
      <c r="Y5" s="301"/>
      <c r="AA5" s="295">
        <v>2015</v>
      </c>
      <c r="AB5" s="299">
        <f>'Normalized Annual Summary'!BF5</f>
        <v>9200437</v>
      </c>
      <c r="AC5" s="299">
        <f>SUMIF('Monthly Data'!$B:$B,AA5,'Monthly Data'!AB:AB)</f>
        <v>26108</v>
      </c>
      <c r="AD5" s="300">
        <f t="shared" ref="AD5:AD14" si="3">AC5/AB5</f>
        <v>2.8376912966199324E-3</v>
      </c>
      <c r="AE5" s="301"/>
      <c r="AF5" s="301"/>
      <c r="AG5" s="295"/>
      <c r="AH5" s="299"/>
      <c r="AI5" s="299"/>
      <c r="AJ5" s="295">
        <v>2015</v>
      </c>
      <c r="AK5" s="299">
        <f>'Normalized Annual Summary'!BL5</f>
        <v>27388.346366584021</v>
      </c>
      <c r="AL5" s="299">
        <f>SUMIF('Monthly Data'!$B:$B,AJ5,'Monthly Data'!AE:AE)</f>
        <v>100</v>
      </c>
      <c r="AM5" s="300">
        <f>AL5/AK5</f>
        <v>3.6511879418177659E-3</v>
      </c>
      <c r="AN5" s="301"/>
      <c r="AO5" s="301"/>
      <c r="AP5" s="295"/>
      <c r="AQ5" s="299"/>
      <c r="AR5" s="299"/>
    </row>
    <row r="6" spans="1:44" x14ac:dyDescent="0.25">
      <c r="A6" s="295"/>
      <c r="B6" s="295">
        <f t="shared" ref="B6:B14" si="4">B5+1</f>
        <v>2016</v>
      </c>
      <c r="C6" s="299">
        <f>'Normalized Annual Summary'!Y6</f>
        <v>336135880.18643844</v>
      </c>
      <c r="D6" s="299">
        <f>SUMIF('Monthly Data'!B:B,B6,'Monthly Data'!O:O)</f>
        <v>851612</v>
      </c>
      <c r="E6" s="300">
        <f t="shared" si="0"/>
        <v>2.5335349488059761E-3</v>
      </c>
      <c r="F6" s="301"/>
      <c r="G6" s="301"/>
      <c r="H6" s="301"/>
      <c r="J6" s="295">
        <f t="shared" ref="J6:J14" si="5">J5+1</f>
        <v>2016</v>
      </c>
      <c r="K6" s="299">
        <f>'Normalized Annual Summary'!AJ6</f>
        <v>84479483.913561568</v>
      </c>
      <c r="L6" s="299">
        <f>SUMIF('Monthly Data'!B:B,J6,'Monthly Data'!T:T)</f>
        <v>203972</v>
      </c>
      <c r="M6" s="300">
        <f t="shared" si="1"/>
        <v>2.414456037736947E-3</v>
      </c>
      <c r="N6" s="301"/>
      <c r="O6" s="301"/>
      <c r="P6" s="301"/>
      <c r="S6" s="295">
        <f t="shared" ref="S6:S14" si="6">S5+1</f>
        <v>2016</v>
      </c>
      <c r="T6" s="299">
        <f>'Normalized Annual Summary'!AU6</f>
        <v>41438245.999999993</v>
      </c>
      <c r="U6" s="299">
        <f>SUMIF('Monthly Data'!B:B,S6,'Monthly Data'!Y:Y)</f>
        <v>99493</v>
      </c>
      <c r="V6" s="300">
        <f t="shared" si="2"/>
        <v>2.4009944822471498E-3</v>
      </c>
      <c r="W6" s="301"/>
      <c r="X6" s="301"/>
      <c r="Y6" s="301"/>
      <c r="AA6" s="295">
        <f t="shared" ref="AA6:AA14" si="7">AA5+1</f>
        <v>2016</v>
      </c>
      <c r="AB6" s="299">
        <f>'Normalized Annual Summary'!BF6</f>
        <v>9395991</v>
      </c>
      <c r="AC6" s="299">
        <f>SUMIF('Monthly Data'!$B:$B,AA6,'Monthly Data'!AB:AB)</f>
        <v>26524</v>
      </c>
      <c r="AD6" s="300">
        <f t="shared" si="3"/>
        <v>2.8229060670662627E-3</v>
      </c>
      <c r="AE6" s="301"/>
      <c r="AF6" s="301"/>
      <c r="AG6" s="295"/>
      <c r="AH6" s="299"/>
      <c r="AI6" s="299"/>
      <c r="AJ6" s="295">
        <f t="shared" ref="AJ6:AJ14" si="8">AJ5+1</f>
        <v>2016</v>
      </c>
      <c r="AK6" s="299">
        <f>'Normalized Annual Summary'!BL6</f>
        <v>25737.974442113293</v>
      </c>
      <c r="AL6" s="299">
        <f>SUMIF('Monthly Data'!$B:$B,AJ6,'Monthly Data'!AE:AE)</f>
        <v>85</v>
      </c>
      <c r="AM6" s="300">
        <f>AL6/AK6</f>
        <v>3.30251318693208E-3</v>
      </c>
      <c r="AN6" s="301"/>
      <c r="AO6" s="301"/>
      <c r="AP6" s="295"/>
      <c r="AQ6" s="299"/>
      <c r="AR6" s="299"/>
    </row>
    <row r="7" spans="1:44" x14ac:dyDescent="0.25">
      <c r="A7" s="295"/>
      <c r="B7" s="295">
        <f t="shared" si="4"/>
        <v>2017</v>
      </c>
      <c r="C7" s="299">
        <f>'Normalized Annual Summary'!Y7</f>
        <v>344049960.45204061</v>
      </c>
      <c r="D7" s="299">
        <f>SUMIF('Monthly Data'!B:B,B7,'Monthly Data'!O:O)</f>
        <v>818803.64996520523</v>
      </c>
      <c r="E7" s="300">
        <f t="shared" si="0"/>
        <v>2.3798975267702253E-3</v>
      </c>
      <c r="F7" s="301">
        <f t="shared" ref="F7:F14" si="9">AVERAGE(E5:E7)</f>
        <v>2.4824425080925551E-3</v>
      </c>
      <c r="G7" s="301"/>
      <c r="H7" s="301"/>
      <c r="J7" s="295">
        <f t="shared" si="5"/>
        <v>2017</v>
      </c>
      <c r="K7" s="299">
        <f>'Normalized Annual Summary'!AJ7</f>
        <v>82458080.47410427</v>
      </c>
      <c r="L7" s="299">
        <f>SUMIF('Monthly Data'!B:B,J7,'Monthly Data'!T:T)</f>
        <v>192774</v>
      </c>
      <c r="M7" s="300">
        <f t="shared" si="1"/>
        <v>2.337842439353656E-3</v>
      </c>
      <c r="N7" s="301">
        <f t="shared" ref="N7:N14" si="10">AVERAGE(M5:M7)</f>
        <v>2.3660227553777414E-3</v>
      </c>
      <c r="O7" s="301"/>
      <c r="P7" s="301"/>
      <c r="S7" s="295">
        <f t="shared" si="6"/>
        <v>2017</v>
      </c>
      <c r="T7" s="299">
        <f>'Normalized Annual Summary'!AU7</f>
        <v>37536243</v>
      </c>
      <c r="U7" s="299">
        <f>SUMIF('Monthly Data'!B:B,S7,'Monthly Data'!Y:Y)</f>
        <v>91980.923849603059</v>
      </c>
      <c r="V7" s="300">
        <f t="shared" si="2"/>
        <v>2.4504563189662603E-3</v>
      </c>
      <c r="W7" s="301">
        <f t="shared" ref="W7:W14" si="11">AVERAGE(V5:V7)</f>
        <v>2.3771688191330516E-3</v>
      </c>
      <c r="X7" s="301"/>
      <c r="Y7" s="301"/>
      <c r="AA7" s="295">
        <f t="shared" si="7"/>
        <v>2017</v>
      </c>
      <c r="AB7" s="299">
        <f>'Normalized Annual Summary'!BF7</f>
        <v>4988073.9999999991</v>
      </c>
      <c r="AC7" s="299">
        <f>SUMIF('Monthly Data'!$B:$B,AA7,'Monthly Data'!AB:AB)</f>
        <v>13944.975</v>
      </c>
      <c r="AD7" s="300">
        <f t="shared" si="3"/>
        <v>2.7956632159025713E-3</v>
      </c>
      <c r="AE7" s="301">
        <f>AVERAGE(AD5:AD6)</f>
        <v>2.8302986818430978E-3</v>
      </c>
      <c r="AF7" s="301"/>
      <c r="AG7" s="295"/>
      <c r="AH7" s="299"/>
      <c r="AI7" s="299"/>
      <c r="AJ7" s="295">
        <f t="shared" si="8"/>
        <v>2017</v>
      </c>
      <c r="AK7" s="299">
        <f>'Normalized Annual Summary'!BL7</f>
        <v>25667.652107572001</v>
      </c>
      <c r="AL7" s="299">
        <f>SUMIF('Monthly Data'!$B:$B,AJ7,'Monthly Data'!AE:AE)</f>
        <v>85</v>
      </c>
      <c r="AM7" s="300">
        <f>AL7/AK7</f>
        <v>3.3115611682661404E-3</v>
      </c>
      <c r="AN7" s="301">
        <f>AVERAGE(AM5:AM6)</f>
        <v>3.4768505643749227E-3</v>
      </c>
      <c r="AO7" s="301"/>
      <c r="AP7" s="295"/>
      <c r="AQ7" s="299"/>
      <c r="AR7" s="299"/>
    </row>
    <row r="8" spans="1:44" x14ac:dyDescent="0.25">
      <c r="A8" s="295"/>
      <c r="B8" s="295">
        <f t="shared" si="4"/>
        <v>2018</v>
      </c>
      <c r="C8" s="299">
        <f>'Normalized Annual Summary'!Y8</f>
        <v>324633082.5551976</v>
      </c>
      <c r="D8" s="299">
        <f>SUMIF('Monthly Data'!B:B,B8,'Monthly Data'!O:O)</f>
        <v>829834.35003479477</v>
      </c>
      <c r="E8" s="300">
        <f t="shared" si="0"/>
        <v>2.5562223772855851E-3</v>
      </c>
      <c r="F8" s="301">
        <f t="shared" si="9"/>
        <v>2.4898849509539288E-3</v>
      </c>
      <c r="G8" s="301"/>
      <c r="H8" s="301"/>
      <c r="J8" s="295">
        <f t="shared" si="5"/>
        <v>2018</v>
      </c>
      <c r="K8" s="299">
        <f>'Normalized Annual Summary'!AJ8</f>
        <v>76765563.974827826</v>
      </c>
      <c r="L8" s="299">
        <f>SUMIF('Monthly Data'!B:B,J8,'Monthly Data'!T:T)</f>
        <v>190148</v>
      </c>
      <c r="M8" s="300">
        <f t="shared" si="1"/>
        <v>2.4769960663918443E-3</v>
      </c>
      <c r="N8" s="301">
        <f t="shared" si="10"/>
        <v>2.4097648478274823E-3</v>
      </c>
      <c r="O8" s="301"/>
      <c r="P8" s="301"/>
      <c r="S8" s="295">
        <f t="shared" si="6"/>
        <v>2018</v>
      </c>
      <c r="T8" s="299">
        <f>'Normalized Annual Summary'!AU8</f>
        <v>44873420</v>
      </c>
      <c r="U8" s="299">
        <f>SUMIF('Monthly Data'!B:B,S8,'Monthly Data'!Y:Y)</f>
        <v>88890.076150396941</v>
      </c>
      <c r="V8" s="300">
        <f t="shared" si="2"/>
        <v>1.9809070971278085E-3</v>
      </c>
      <c r="W8" s="301">
        <f t="shared" si="11"/>
        <v>2.2774526327804059E-3</v>
      </c>
      <c r="X8" s="301"/>
      <c r="Y8" s="301"/>
      <c r="AA8" s="295">
        <f t="shared" si="7"/>
        <v>2018</v>
      </c>
      <c r="AB8" s="299">
        <f>'Normalized Annual Summary'!BF8</f>
        <v>4221567</v>
      </c>
      <c r="AC8" s="299">
        <f>SUMIF('Monthly Data'!$B:$B,AA8,'Monthly Data'!AB:AB)</f>
        <v>12111</v>
      </c>
      <c r="AD8" s="300">
        <f t="shared" si="3"/>
        <v>2.8688399355026226E-3</v>
      </c>
      <c r="AE8" s="301">
        <f>AVERAGE(AD6,AD8)</f>
        <v>2.8458730012844427E-3</v>
      </c>
      <c r="AF8" s="301"/>
      <c r="AG8" s="295"/>
      <c r="AH8" s="299"/>
      <c r="AI8" s="299"/>
      <c r="AJ8" s="295">
        <f t="shared" si="8"/>
        <v>2018</v>
      </c>
      <c r="AK8" s="299">
        <f>'Normalized Annual Summary'!BL8</f>
        <v>25647.396528704936</v>
      </c>
      <c r="AL8" s="299">
        <f>SUMIF('Monthly Data'!$B:$B,AJ8,'Monthly Data'!AE:AE)</f>
        <v>85</v>
      </c>
      <c r="AM8" s="300">
        <f t="shared" ref="AM8:AM14" si="12">AL8/AK8</f>
        <v>3.314176544385968E-3</v>
      </c>
      <c r="AN8" s="301">
        <f>AVERAGE(AM6,AM8)</f>
        <v>3.308344865659024E-3</v>
      </c>
      <c r="AO8" s="301"/>
      <c r="AP8" s="295"/>
      <c r="AQ8" s="299"/>
      <c r="AR8" s="299"/>
    </row>
    <row r="9" spans="1:44" x14ac:dyDescent="0.25">
      <c r="A9" s="295"/>
      <c r="B9" s="295">
        <f t="shared" si="4"/>
        <v>2019</v>
      </c>
      <c r="C9" s="299">
        <f>'Normalized Annual Summary'!Y9</f>
        <v>328874818.72622365</v>
      </c>
      <c r="D9" s="299">
        <f>SUMIF('Monthly Data'!B:B,B9,'Monthly Data'!O:O)</f>
        <v>800107.8899999999</v>
      </c>
      <c r="E9" s="300">
        <f t="shared" si="0"/>
        <v>2.4328645564866453E-3</v>
      </c>
      <c r="F9" s="301">
        <f t="shared" si="9"/>
        <v>2.4563281535141517E-3</v>
      </c>
      <c r="G9" s="301"/>
      <c r="H9" s="301"/>
      <c r="J9" s="295">
        <f t="shared" si="5"/>
        <v>2019</v>
      </c>
      <c r="K9" s="299">
        <f>'Normalized Annual Summary'!AJ9</f>
        <v>76875274.273776412</v>
      </c>
      <c r="L9" s="299">
        <f>SUMIF('Monthly Data'!B:B,J9,'Monthly Data'!T:T)</f>
        <v>184105.52000000002</v>
      </c>
      <c r="M9" s="300">
        <f t="shared" si="1"/>
        <v>2.3948600084904262E-3</v>
      </c>
      <c r="N9" s="301">
        <f t="shared" si="10"/>
        <v>2.4032328380786424E-3</v>
      </c>
      <c r="O9" s="301"/>
      <c r="P9" s="301"/>
      <c r="S9" s="295">
        <f t="shared" si="6"/>
        <v>2019</v>
      </c>
      <c r="T9" s="299">
        <f>'Normalized Annual Summary'!AU9</f>
        <v>38878938</v>
      </c>
      <c r="U9" s="299">
        <f>SUMIF('Monthly Data'!B:B,S9,'Monthly Data'!Y:Y)</f>
        <v>87299.34</v>
      </c>
      <c r="V9" s="300">
        <f t="shared" si="2"/>
        <v>2.24541472814921E-3</v>
      </c>
      <c r="W9" s="301">
        <f t="shared" si="11"/>
        <v>2.2255927147477594E-3</v>
      </c>
      <c r="X9" s="301"/>
      <c r="Y9" s="301"/>
      <c r="AA9" s="295">
        <f t="shared" si="7"/>
        <v>2019</v>
      </c>
      <c r="AB9" s="299">
        <f>'Normalized Annual Summary'!BF9</f>
        <v>4294351.9999999991</v>
      </c>
      <c r="AC9" s="299">
        <f>SUMIF('Monthly Data'!$B:$B,AA9,'Monthly Data'!AB:AB)</f>
        <v>12224.84</v>
      </c>
      <c r="AD9" s="300">
        <f t="shared" si="3"/>
        <v>2.8467251869432227E-3</v>
      </c>
      <c r="AE9" s="301">
        <f>AVERAGE(AD8:AD9)</f>
        <v>2.8577825612229229E-3</v>
      </c>
      <c r="AF9" s="301"/>
      <c r="AG9" s="295"/>
      <c r="AH9" s="299"/>
      <c r="AI9" s="299"/>
      <c r="AJ9" s="295">
        <f t="shared" si="8"/>
        <v>2019</v>
      </c>
      <c r="AK9" s="299">
        <f>'Normalized Annual Summary'!BL9</f>
        <v>25815.827469006294</v>
      </c>
      <c r="AL9" s="299">
        <f>SUMIF('Monthly Data'!$B:$B,AJ9,'Monthly Data'!AE:AE)</f>
        <v>85</v>
      </c>
      <c r="AM9" s="300">
        <f t="shared" si="12"/>
        <v>3.2925537677244102E-3</v>
      </c>
      <c r="AN9" s="301">
        <f>AVERAGE(AM8:AM9)</f>
        <v>3.3033651560551891E-3</v>
      </c>
      <c r="AO9" s="301"/>
      <c r="AP9" s="295"/>
      <c r="AQ9" s="299"/>
      <c r="AR9" s="299"/>
    </row>
    <row r="10" spans="1:44" x14ac:dyDescent="0.25">
      <c r="A10" s="295"/>
      <c r="B10" s="295">
        <f t="shared" si="4"/>
        <v>2020</v>
      </c>
      <c r="C10" s="299">
        <f>'Normalized Annual Summary'!Y10</f>
        <v>304515885.12731272</v>
      </c>
      <c r="D10" s="299">
        <f>SUMIF('Monthly Data'!B:B,B10,'Monthly Data'!O:O)</f>
        <v>816353.62433400005</v>
      </c>
      <c r="E10" s="300">
        <f t="shared" si="0"/>
        <v>2.6808244305307652E-3</v>
      </c>
      <c r="F10" s="301">
        <f t="shared" si="9"/>
        <v>2.5566371214343318E-3</v>
      </c>
      <c r="G10" s="301"/>
      <c r="H10" s="301"/>
      <c r="J10" s="295">
        <f t="shared" si="5"/>
        <v>2020</v>
      </c>
      <c r="K10" s="299">
        <f>'Normalized Annual Summary'!AJ10</f>
        <v>70871831.87268728</v>
      </c>
      <c r="L10" s="299">
        <f>SUMIF('Monthly Data'!B:B,J10,'Monthly Data'!T:T)</f>
        <v>176691.623696</v>
      </c>
      <c r="M10" s="300">
        <f t="shared" si="1"/>
        <v>2.493114951697668E-3</v>
      </c>
      <c r="N10" s="301">
        <f t="shared" si="10"/>
        <v>2.454990342193313E-3</v>
      </c>
      <c r="O10" s="301"/>
      <c r="P10" s="301"/>
      <c r="S10" s="295">
        <f t="shared" si="6"/>
        <v>2020</v>
      </c>
      <c r="T10" s="299">
        <f>'Normalized Annual Summary'!AU10</f>
        <v>30798516</v>
      </c>
      <c r="U10" s="299">
        <f>SUMIF('Monthly Data'!B:B,S10,'Monthly Data'!Y:Y)</f>
        <v>72644.109871999986</v>
      </c>
      <c r="V10" s="300">
        <f t="shared" si="2"/>
        <v>2.3586886417514396E-3</v>
      </c>
      <c r="W10" s="301">
        <f t="shared" si="11"/>
        <v>2.1950034890094862E-3</v>
      </c>
      <c r="X10" s="301"/>
      <c r="Y10" s="301"/>
      <c r="AA10" s="295">
        <f t="shared" si="7"/>
        <v>2020</v>
      </c>
      <c r="AB10" s="299">
        <f>'Normalized Annual Summary'!BF10</f>
        <v>4357194.0000000009</v>
      </c>
      <c r="AC10" s="299">
        <f>SUMIF('Monthly Data'!$B:$B,AA10,'Monthly Data'!AB:AB)</f>
        <v>12275.883962655602</v>
      </c>
      <c r="AD10" s="300">
        <f t="shared" si="3"/>
        <v>2.8173829218197765E-3</v>
      </c>
      <c r="AE10" s="301">
        <f>AVERAGE(AD8,AD10)</f>
        <v>2.8431114286611996E-3</v>
      </c>
      <c r="AF10" s="301"/>
      <c r="AG10" s="295"/>
      <c r="AH10" s="299"/>
      <c r="AI10" s="299"/>
      <c r="AJ10" s="295">
        <f t="shared" si="8"/>
        <v>2020</v>
      </c>
      <c r="AK10" s="299">
        <f>'Normalized Annual Summary'!BL10</f>
        <v>26988.839999999997</v>
      </c>
      <c r="AL10" s="299">
        <f>SUMIF('Monthly Data'!$B:$B,AJ10,'Monthly Data'!AE:AE)</f>
        <v>85</v>
      </c>
      <c r="AM10" s="300">
        <f t="shared" si="12"/>
        <v>3.1494499207820716E-3</v>
      </c>
      <c r="AN10" s="301">
        <f>AVERAGE(AM8,AM10)</f>
        <v>3.2318132325840198E-3</v>
      </c>
      <c r="AO10" s="301"/>
      <c r="AP10" s="295"/>
      <c r="AQ10" s="299"/>
      <c r="AR10" s="299"/>
    </row>
    <row r="11" spans="1:44" x14ac:dyDescent="0.25">
      <c r="A11" s="295"/>
      <c r="B11" s="295">
        <f t="shared" si="4"/>
        <v>2021</v>
      </c>
      <c r="C11" s="299">
        <f>'Normalized Annual Summary'!Y11</f>
        <v>310470030.40933514</v>
      </c>
      <c r="D11" s="299">
        <f>SUMIF('Monthly Data'!B:B,B11,'Monthly Data'!O:O)</f>
        <v>798585.1100000001</v>
      </c>
      <c r="E11" s="300">
        <f t="shared" si="0"/>
        <v>2.5721809894085944E-3</v>
      </c>
      <c r="F11" s="301">
        <f t="shared" si="9"/>
        <v>2.5619566588086684E-3</v>
      </c>
      <c r="G11" s="301"/>
      <c r="H11" s="301"/>
      <c r="J11" s="295">
        <f t="shared" si="5"/>
        <v>2021</v>
      </c>
      <c r="K11" s="299">
        <f>'Normalized Annual Summary'!AJ11</f>
        <v>70260671.590664953</v>
      </c>
      <c r="L11" s="299">
        <f>SUMIF('Monthly Data'!B:B,J11,'Monthly Data'!T:T)</f>
        <v>171434.78999999998</v>
      </c>
      <c r="M11" s="300">
        <f t="shared" si="1"/>
        <v>2.4399822278780682E-3</v>
      </c>
      <c r="N11" s="301">
        <f t="shared" si="10"/>
        <v>2.4426523960220541E-3</v>
      </c>
      <c r="O11" s="301"/>
      <c r="P11" s="301"/>
      <c r="S11" s="295">
        <f t="shared" si="6"/>
        <v>2021</v>
      </c>
      <c r="T11" s="299">
        <f>'Normalized Annual Summary'!AU11</f>
        <v>36146632</v>
      </c>
      <c r="U11" s="299">
        <f>SUMIF('Monthly Data'!B:B,S11,'Monthly Data'!Y:Y)</f>
        <v>73480.24000000002</v>
      </c>
      <c r="V11" s="300">
        <f t="shared" si="2"/>
        <v>2.0328378035331207E-3</v>
      </c>
      <c r="W11" s="301">
        <f t="shared" si="11"/>
        <v>2.2123137244779239E-3</v>
      </c>
      <c r="X11" s="301"/>
      <c r="Y11" s="301"/>
      <c r="AA11" s="295">
        <f t="shared" si="7"/>
        <v>2021</v>
      </c>
      <c r="AB11" s="299">
        <f>'Normalized Annual Summary'!BF11</f>
        <v>4352366.9999999981</v>
      </c>
      <c r="AC11" s="299">
        <f>SUMIF('Monthly Data'!$B:$B,AA11,'Monthly Data'!AB:AB)</f>
        <v>12332.013166046645</v>
      </c>
      <c r="AD11" s="300">
        <f t="shared" si="3"/>
        <v>2.8334037929353502E-3</v>
      </c>
      <c r="AE11" s="301">
        <f>AVERAGE(AD10:AD11)</f>
        <v>2.8253933573775631E-3</v>
      </c>
      <c r="AF11" s="301"/>
      <c r="AG11" s="295"/>
      <c r="AH11" s="299"/>
      <c r="AI11" s="299"/>
      <c r="AJ11" s="295">
        <f t="shared" si="8"/>
        <v>2021</v>
      </c>
      <c r="AK11" s="299">
        <f>'Normalized Annual Summary'!BL11</f>
        <v>26915.1</v>
      </c>
      <c r="AL11" s="299">
        <f>SUMIF('Monthly Data'!$B:$B,AJ11,'Monthly Data'!AE:AE)</f>
        <v>81</v>
      </c>
      <c r="AM11" s="300">
        <f t="shared" si="12"/>
        <v>3.0094630894925154E-3</v>
      </c>
      <c r="AN11" s="301">
        <f>AVERAGE(AM10:AM11)</f>
        <v>3.0794565051372935E-3</v>
      </c>
      <c r="AO11" s="301"/>
      <c r="AP11" s="295"/>
      <c r="AQ11" s="299"/>
      <c r="AR11" s="299"/>
    </row>
    <row r="12" spans="1:44" x14ac:dyDescent="0.25">
      <c r="A12" s="295"/>
      <c r="B12" s="295">
        <f t="shared" si="4"/>
        <v>2022</v>
      </c>
      <c r="C12" s="299">
        <f>'Normalized Annual Summary'!Y12</f>
        <v>342060680.01827008</v>
      </c>
      <c r="D12" s="299">
        <f>SUMIF('Monthly Data'!B:B,B12,'Monthly Data'!O:O)</f>
        <v>825642.3595324757</v>
      </c>
      <c r="E12" s="300">
        <f t="shared" si="0"/>
        <v>2.4137306851181395E-3</v>
      </c>
      <c r="F12" s="301">
        <f t="shared" si="9"/>
        <v>2.5555787016858329E-3</v>
      </c>
      <c r="G12" s="301"/>
      <c r="H12" s="301"/>
      <c r="J12" s="295">
        <f t="shared" si="5"/>
        <v>2022</v>
      </c>
      <c r="K12" s="299">
        <f>'Normalized Annual Summary'!AJ12</f>
        <v>81816679.460561812</v>
      </c>
      <c r="L12" s="299">
        <f>SUMIF('Monthly Data'!B:B,J12,'Monthly Data'!T:T)</f>
        <v>179599.57558400001</v>
      </c>
      <c r="M12" s="300">
        <f t="shared" si="1"/>
        <v>2.1951462314059398E-3</v>
      </c>
      <c r="N12" s="301">
        <f t="shared" si="10"/>
        <v>2.3760811369938919E-3</v>
      </c>
      <c r="O12" s="301"/>
      <c r="P12" s="301"/>
      <c r="S12" s="295">
        <f t="shared" si="6"/>
        <v>2022</v>
      </c>
      <c r="T12" s="299">
        <f>'Normalized Annual Summary'!AU12</f>
        <v>33850160</v>
      </c>
      <c r="U12" s="299">
        <f>SUMIF('Monthly Data'!B:B,S12,'Monthly Data'!Y:Y)</f>
        <v>76262.768063999989</v>
      </c>
      <c r="V12" s="300">
        <f t="shared" si="2"/>
        <v>2.2529514798157522E-3</v>
      </c>
      <c r="W12" s="301">
        <f t="shared" si="11"/>
        <v>2.2148259750334378E-3</v>
      </c>
      <c r="X12" s="301"/>
      <c r="Y12" s="301"/>
      <c r="AA12" s="295">
        <f t="shared" si="7"/>
        <v>2022</v>
      </c>
      <c r="AB12" s="299">
        <f>'Normalized Annual Summary'!BF12</f>
        <v>4432743</v>
      </c>
      <c r="AC12" s="299">
        <f>SUMIF('Monthly Data'!$B:$B,AA12,'Monthly Data'!AB:AB)</f>
        <v>12587.068869294604</v>
      </c>
      <c r="AD12" s="300">
        <f t="shared" si="3"/>
        <v>2.8395665774656018E-3</v>
      </c>
      <c r="AE12" s="301">
        <f>AVERAGE(AD10,AD12)</f>
        <v>2.8284747496426892E-3</v>
      </c>
      <c r="AF12" s="301"/>
      <c r="AG12" s="295"/>
      <c r="AH12" s="299"/>
      <c r="AI12" s="299"/>
      <c r="AJ12" s="295">
        <f t="shared" si="8"/>
        <v>2022</v>
      </c>
      <c r="AK12" s="299">
        <f>'Normalized Annual Summary'!BL12</f>
        <v>26915.1</v>
      </c>
      <c r="AL12" s="299">
        <f>SUMIF('Monthly Data'!$B:$B,AJ12,'Monthly Data'!AE:AE)</f>
        <v>79</v>
      </c>
      <c r="AM12" s="300">
        <f t="shared" si="12"/>
        <v>2.935155358887762E-3</v>
      </c>
      <c r="AN12" s="301">
        <f>AVERAGE(AM10,AM12)</f>
        <v>3.042302639834917E-3</v>
      </c>
      <c r="AO12" s="301"/>
      <c r="AP12" s="295"/>
      <c r="AQ12" s="299"/>
      <c r="AR12" s="299"/>
    </row>
    <row r="13" spans="1:44" x14ac:dyDescent="0.25">
      <c r="A13" s="295"/>
      <c r="B13" s="295">
        <f t="shared" si="4"/>
        <v>2023</v>
      </c>
      <c r="C13" s="299">
        <f>'Normalized Annual Summary'!Y13</f>
        <v>321367374.95395875</v>
      </c>
      <c r="D13" s="299">
        <f>SUMIF('Monthly Data'!B:B,B13,'Monthly Data'!O:O)</f>
        <v>832495.70427905454</v>
      </c>
      <c r="E13" s="300">
        <f t="shared" si="0"/>
        <v>2.5904798344832717E-3</v>
      </c>
      <c r="F13" s="301">
        <f t="shared" si="9"/>
        <v>2.5254638363366687E-3</v>
      </c>
      <c r="G13" s="301"/>
      <c r="H13" s="301"/>
      <c r="J13" s="295">
        <f t="shared" si="5"/>
        <v>2023</v>
      </c>
      <c r="K13" s="299">
        <f>'Normalized Annual Summary'!AJ13</f>
        <v>77073500.362002477</v>
      </c>
      <c r="L13" s="299">
        <f>SUMIF('Monthly Data'!B:B,J13,'Monthly Data'!T:T)</f>
        <v>179794.09288000004</v>
      </c>
      <c r="M13" s="300">
        <f t="shared" si="1"/>
        <v>2.3327614813851015E-3</v>
      </c>
      <c r="N13" s="301">
        <f t="shared" si="10"/>
        <v>2.3226299802230365E-3</v>
      </c>
      <c r="O13" s="301"/>
      <c r="P13" s="301"/>
      <c r="S13" s="295">
        <f t="shared" si="6"/>
        <v>2023</v>
      </c>
      <c r="T13" s="299">
        <f>'Normalized Annual Summary'!AU13</f>
        <v>33850160.000000007</v>
      </c>
      <c r="U13" s="299">
        <f>SUMIF('Monthly Data'!B:B,S13,'Monthly Data'!Y:Y)</f>
        <v>73164.14</v>
      </c>
      <c r="V13" s="300">
        <f t="shared" si="2"/>
        <v>2.1614119401503562E-3</v>
      </c>
      <c r="W13" s="301">
        <f t="shared" si="11"/>
        <v>2.1490670744997429E-3</v>
      </c>
      <c r="X13" s="301"/>
      <c r="Y13" s="301"/>
      <c r="AA13" s="295">
        <f t="shared" si="7"/>
        <v>2023</v>
      </c>
      <c r="AB13" s="299">
        <f>'Normalized Annual Summary'!BF13</f>
        <v>4495190.04</v>
      </c>
      <c r="AC13" s="299">
        <f>SUMIF('Monthly Data'!$B:$B,AA13,'Monthly Data'!AB:AB)</f>
        <v>12768.599999999999</v>
      </c>
      <c r="AD13" s="300">
        <f t="shared" si="3"/>
        <v>2.8405028233244615E-3</v>
      </c>
      <c r="AE13" s="301">
        <f>AVERAGE(AD12:AD13)</f>
        <v>2.8400347003950319E-3</v>
      </c>
      <c r="AF13" s="301"/>
      <c r="AG13" s="295"/>
      <c r="AH13" s="299"/>
      <c r="AI13" s="299"/>
      <c r="AJ13" s="295">
        <f t="shared" si="8"/>
        <v>2023</v>
      </c>
      <c r="AK13" s="299">
        <f>'Normalized Annual Summary'!BL13</f>
        <v>26915.1</v>
      </c>
      <c r="AL13" s="299">
        <f>SUMIF('Monthly Data'!$B:$B,AJ13,'Monthly Data'!AE:AE)</f>
        <v>77</v>
      </c>
      <c r="AM13" s="300">
        <f t="shared" si="12"/>
        <v>2.8608476282830086E-3</v>
      </c>
      <c r="AN13" s="301">
        <f>AVERAGE(AM12:AM13)</f>
        <v>2.8980014935853851E-3</v>
      </c>
      <c r="AO13" s="301"/>
      <c r="AP13" s="295"/>
      <c r="AQ13" s="299"/>
      <c r="AR13" s="299"/>
    </row>
    <row r="14" spans="1:44" x14ac:dyDescent="0.25">
      <c r="A14" s="295"/>
      <c r="B14" s="295">
        <f t="shared" si="4"/>
        <v>2024</v>
      </c>
      <c r="C14" s="299">
        <f>'Normalized Annual Summary'!Y14</f>
        <v>310385722.80520695</v>
      </c>
      <c r="D14" s="299">
        <f>SUMIF('Monthly Data'!B:B,B14,'Monthly Data'!O:O)</f>
        <v>809029.65951646981</v>
      </c>
      <c r="E14" s="300">
        <f t="shared" si="0"/>
        <v>2.6065298758094092E-3</v>
      </c>
      <c r="F14" s="301">
        <f t="shared" si="9"/>
        <v>2.5369134651369398E-3</v>
      </c>
      <c r="G14" s="301"/>
      <c r="H14" s="301"/>
      <c r="J14" s="295">
        <f t="shared" si="5"/>
        <v>2024</v>
      </c>
      <c r="K14" s="299">
        <f>'Normalized Annual Summary'!AJ14</f>
        <v>81507757</v>
      </c>
      <c r="L14" s="299">
        <f>SUMIF('Monthly Data'!B:B,J14,'Monthly Data'!T:T)</f>
        <v>184986.86000000002</v>
      </c>
      <c r="M14" s="300">
        <f t="shared" si="1"/>
        <v>2.2695614111918208E-3</v>
      </c>
      <c r="N14" s="301">
        <f t="shared" si="10"/>
        <v>2.2658230413276207E-3</v>
      </c>
      <c r="O14" s="301"/>
      <c r="P14" s="301"/>
      <c r="S14" s="295">
        <f t="shared" si="6"/>
        <v>2024</v>
      </c>
      <c r="T14" s="299">
        <f>'Normalized Annual Summary'!AU14</f>
        <v>39718186</v>
      </c>
      <c r="U14" s="299">
        <f>SUMIF('Monthly Data'!B:B,S14,'Monthly Data'!Y:Y)</f>
        <v>82740.489216000002</v>
      </c>
      <c r="V14" s="300">
        <f t="shared" si="2"/>
        <v>2.0831890262057789E-3</v>
      </c>
      <c r="W14" s="301">
        <f t="shared" si="11"/>
        <v>2.1658508153906291E-3</v>
      </c>
      <c r="X14" s="301"/>
      <c r="Y14" s="301"/>
      <c r="AA14" s="295">
        <f t="shared" si="7"/>
        <v>2024</v>
      </c>
      <c r="AB14" s="299">
        <f>'Normalized Annual Summary'!BF14</f>
        <v>4596499.4919100879</v>
      </c>
      <c r="AC14" s="299">
        <f>SUMIF('Monthly Data'!$B:$B,AA14,'Monthly Data'!AB:AB)</f>
        <v>12816.800000000003</v>
      </c>
      <c r="AD14" s="300">
        <f t="shared" si="3"/>
        <v>2.7883827731424258E-3</v>
      </c>
      <c r="AE14" s="301">
        <f>AVERAGE(AD12,AD14)</f>
        <v>2.8139746753040136E-3</v>
      </c>
      <c r="AF14" s="301"/>
      <c r="AG14" s="295"/>
      <c r="AH14" s="299"/>
      <c r="AI14" s="299"/>
      <c r="AJ14" s="295">
        <f t="shared" si="8"/>
        <v>2024</v>
      </c>
      <c r="AK14" s="299">
        <f>'Normalized Annual Summary'!BL14</f>
        <v>26323.559999999998</v>
      </c>
      <c r="AL14" s="299">
        <f>SUMIF('Monthly Data'!$B:$B,AJ14,'Monthly Data'!AE:AE)</f>
        <v>75</v>
      </c>
      <c r="AM14" s="300">
        <f t="shared" si="12"/>
        <v>2.8491587004189404E-3</v>
      </c>
      <c r="AN14" s="301">
        <f>AVERAGE(AM12,AM14)</f>
        <v>2.8921570296533512E-3</v>
      </c>
      <c r="AO14" s="301"/>
      <c r="AP14" s="295"/>
      <c r="AQ14" s="299"/>
      <c r="AR14" s="299"/>
    </row>
    <row r="15" spans="1:44" x14ac:dyDescent="0.25">
      <c r="A15" s="295"/>
      <c r="B15" s="295"/>
      <c r="C15" s="240"/>
      <c r="D15" s="240"/>
      <c r="E15" s="300"/>
      <c r="F15" s="301"/>
      <c r="G15" s="301"/>
      <c r="H15" s="301"/>
      <c r="J15" s="295"/>
      <c r="K15" s="240"/>
      <c r="L15" s="240"/>
      <c r="M15" s="300"/>
      <c r="N15" s="301"/>
      <c r="O15" s="301"/>
      <c r="P15" s="301"/>
      <c r="S15" s="295"/>
      <c r="T15" s="240"/>
      <c r="U15" s="240"/>
      <c r="V15" s="300"/>
      <c r="W15" s="301"/>
      <c r="X15" s="301"/>
      <c r="Y15" s="301"/>
      <c r="AA15" s="295"/>
      <c r="AB15" s="299"/>
      <c r="AC15" s="299"/>
      <c r="AD15" s="300"/>
      <c r="AE15" s="301"/>
      <c r="AF15" s="301"/>
      <c r="AG15" s="295"/>
      <c r="AH15" s="299"/>
      <c r="AI15" s="299"/>
      <c r="AJ15" s="295"/>
      <c r="AK15" s="299"/>
      <c r="AL15" s="299"/>
      <c r="AM15" s="300"/>
      <c r="AN15" s="301"/>
      <c r="AO15" s="301"/>
      <c r="AP15" s="295"/>
      <c r="AQ15" s="299"/>
      <c r="AR15" s="299"/>
    </row>
    <row r="16" spans="1:44" x14ac:dyDescent="0.25">
      <c r="B16" s="295"/>
      <c r="C16" s="295" t="s">
        <v>448</v>
      </c>
      <c r="D16" s="302" t="s">
        <v>449</v>
      </c>
      <c r="E16" s="1" t="s">
        <v>450</v>
      </c>
      <c r="F16" s="1" t="s">
        <v>451</v>
      </c>
      <c r="G16" s="1" t="s">
        <v>429</v>
      </c>
      <c r="H16" s="1" t="s">
        <v>452</v>
      </c>
      <c r="J16" s="295"/>
      <c r="K16" s="295" t="s">
        <v>448</v>
      </c>
      <c r="L16" s="302" t="s">
        <v>449</v>
      </c>
      <c r="M16" s="1" t="s">
        <v>450</v>
      </c>
      <c r="N16" s="1" t="s">
        <v>451</v>
      </c>
      <c r="O16" s="1" t="s">
        <v>429</v>
      </c>
      <c r="P16" s="1" t="s">
        <v>452</v>
      </c>
      <c r="S16" s="295"/>
      <c r="T16" s="295" t="s">
        <v>448</v>
      </c>
      <c r="U16" s="302" t="s">
        <v>449</v>
      </c>
      <c r="V16" s="1" t="s">
        <v>450</v>
      </c>
      <c r="W16" s="1" t="s">
        <v>451</v>
      </c>
      <c r="X16" s="1" t="s">
        <v>429</v>
      </c>
      <c r="Y16" s="1" t="s">
        <v>452</v>
      </c>
      <c r="AA16" s="295"/>
      <c r="AB16" s="295" t="s">
        <v>448</v>
      </c>
      <c r="AC16" s="302" t="s">
        <v>449</v>
      </c>
      <c r="AD16" s="1" t="s">
        <v>450</v>
      </c>
      <c r="AE16" s="1" t="s">
        <v>453</v>
      </c>
      <c r="AG16" s="295"/>
      <c r="AH16" s="295"/>
      <c r="AI16" s="300"/>
      <c r="AJ16" s="295"/>
      <c r="AK16" s="295" t="s">
        <v>448</v>
      </c>
      <c r="AL16" s="302" t="s">
        <v>449</v>
      </c>
      <c r="AM16" s="1" t="s">
        <v>450</v>
      </c>
      <c r="AN16" s="1" t="s">
        <v>453</v>
      </c>
      <c r="AP16" s="295"/>
      <c r="AQ16" s="295"/>
      <c r="AR16" s="300"/>
    </row>
    <row r="17" spans="1:44" x14ac:dyDescent="0.25">
      <c r="B17" s="13"/>
      <c r="C17" s="13" t="s">
        <v>314</v>
      </c>
      <c r="D17" s="14" t="s">
        <v>454</v>
      </c>
      <c r="E17" s="15" t="s">
        <v>318</v>
      </c>
      <c r="F17" s="303" t="s">
        <v>434</v>
      </c>
      <c r="G17" s="303" t="s">
        <v>455</v>
      </c>
      <c r="H17" s="303" t="s">
        <v>456</v>
      </c>
      <c r="J17" s="13"/>
      <c r="K17" s="13" t="s">
        <v>314</v>
      </c>
      <c r="L17" s="14" t="s">
        <v>454</v>
      </c>
      <c r="M17" s="15" t="s">
        <v>318</v>
      </c>
      <c r="N17" s="303" t="s">
        <v>434</v>
      </c>
      <c r="O17" s="303" t="s">
        <v>455</v>
      </c>
      <c r="P17" s="303" t="s">
        <v>456</v>
      </c>
      <c r="S17" s="13"/>
      <c r="T17" s="13" t="s">
        <v>314</v>
      </c>
      <c r="U17" s="14" t="s">
        <v>454</v>
      </c>
      <c r="V17" s="15" t="s">
        <v>318</v>
      </c>
      <c r="W17" s="303" t="s">
        <v>434</v>
      </c>
      <c r="X17" s="303" t="s">
        <v>455</v>
      </c>
      <c r="Y17" s="303" t="s">
        <v>456</v>
      </c>
      <c r="AA17" s="13"/>
      <c r="AB17" s="13" t="s">
        <v>314</v>
      </c>
      <c r="AC17" s="14" t="s">
        <v>457</v>
      </c>
      <c r="AD17" s="15" t="s">
        <v>318</v>
      </c>
      <c r="AE17" s="303" t="s">
        <v>434</v>
      </c>
      <c r="AG17" s="13"/>
      <c r="AH17" s="13"/>
      <c r="AI17" s="14"/>
      <c r="AJ17" s="13"/>
      <c r="AK17" s="13" t="s">
        <v>314</v>
      </c>
      <c r="AL17" s="14" t="s">
        <v>457</v>
      </c>
      <c r="AM17" s="15" t="s">
        <v>318</v>
      </c>
      <c r="AN17" s="303" t="s">
        <v>434</v>
      </c>
      <c r="AP17" s="13"/>
      <c r="AQ17" s="13"/>
      <c r="AR17" s="14"/>
    </row>
    <row r="18" spans="1:44" x14ac:dyDescent="0.25">
      <c r="B18" s="10">
        <v>2023</v>
      </c>
      <c r="C18" s="11">
        <f ca="1">'Normalized Annual Summary'!AE13</f>
        <v>330846044.65305156</v>
      </c>
      <c r="D18" s="16">
        <f ca="1">C18*E18</f>
        <v>837045.79555426817</v>
      </c>
      <c r="E18" s="26">
        <f>AVERAGE(E5:E14)</f>
        <v>2.5300160273400074E-3</v>
      </c>
      <c r="F18" s="137">
        <f>TREND($E$5:$E$14,$B$5:$B$14,B18)</f>
        <v>2.5622017971007847E-3</v>
      </c>
      <c r="G18" s="27"/>
      <c r="H18" s="135">
        <f ca="1">D18+G18</f>
        <v>837045.79555426817</v>
      </c>
      <c r="J18" s="10">
        <v>2023</v>
      </c>
      <c r="K18" s="11">
        <f ca="1">'Normalized Annual Summary'!AR13</f>
        <v>80424534.531425565</v>
      </c>
      <c r="L18" s="16">
        <f ca="1">K18*M18</f>
        <v>190610.09282562777</v>
      </c>
      <c r="M18" s="26">
        <f>AVERAGE(M5:M14)</f>
        <v>2.3700490644574094E-3</v>
      </c>
      <c r="N18" s="137">
        <f>TREND($M$5:$M$14,$J$5:$J$14,J18)</f>
        <v>2.3279641118805934E-3</v>
      </c>
      <c r="O18" s="27"/>
      <c r="P18" s="135">
        <f ca="1">L18+O18</f>
        <v>190610.09282562777</v>
      </c>
      <c r="S18" s="10">
        <v>2023</v>
      </c>
      <c r="T18" s="11">
        <f ca="1">'Normalized Annual Summary'!BA13</f>
        <v>38728508.770573214</v>
      </c>
      <c r="U18" s="16">
        <f ca="1">T18*V18</f>
        <v>86158.953961152336</v>
      </c>
      <c r="V18" s="26">
        <f>AVERAGE(V5:V14)</f>
        <v>2.2246907174132621E-3</v>
      </c>
      <c r="W18" s="137">
        <f>TREND($V$5:$V$14,$S$5:$S$14,S18)</f>
        <v>2.1362926889525943E-3</v>
      </c>
      <c r="X18" s="27"/>
      <c r="Y18" s="135">
        <f ca="1">U18+X18</f>
        <v>86158.953961152336</v>
      </c>
      <c r="AA18" s="10">
        <v>2023</v>
      </c>
      <c r="AB18" s="11">
        <f>'Normalized Annual Summary'!BI13</f>
        <v>4495190.04</v>
      </c>
      <c r="AC18" s="16">
        <f>AB18*AD18</f>
        <v>12717.371176921122</v>
      </c>
      <c r="AD18" s="26">
        <f>AVERAGE(AD5:AD14)</f>
        <v>2.8291064590722226E-3</v>
      </c>
      <c r="AE18" s="17">
        <f>TREND($AE$7:$AE$14,$AA$7:$AA$14,AA18)</f>
        <v>2.828204172554318E-3</v>
      </c>
      <c r="AG18" s="13"/>
      <c r="AH18" s="13"/>
      <c r="AI18" s="14"/>
      <c r="AJ18" s="10">
        <v>2023</v>
      </c>
      <c r="AK18" s="11">
        <f>'Normalized Annual Summary'!BO13</f>
        <v>26915.1</v>
      </c>
      <c r="AL18" s="16">
        <f>AK18*AM18</f>
        <v>79.690630180097472</v>
      </c>
      <c r="AM18" s="26">
        <f>AVERAGE(AM10:AM14)</f>
        <v>2.9608149395728596E-3</v>
      </c>
      <c r="AN18" s="17">
        <f>TREND($AN$7:$AN$14,$AJ$7:$AJ$14,AJ18)</f>
        <v>2.9433187013507833E-3</v>
      </c>
      <c r="AP18" s="13"/>
      <c r="AQ18" s="13"/>
      <c r="AR18" s="14"/>
    </row>
    <row r="19" spans="1:44" x14ac:dyDescent="0.25">
      <c r="B19" s="10">
        <v>2024</v>
      </c>
      <c r="C19" s="11">
        <f ca="1">'Normalized Annual Summary'!AE14</f>
        <v>330372183.0580917</v>
      </c>
      <c r="D19" s="16">
        <f ca="1">C19*E19</f>
        <v>835846.91812427889</v>
      </c>
      <c r="E19" s="26">
        <f>E18</f>
        <v>2.5300160273400074E-3</v>
      </c>
      <c r="F19" s="137">
        <f>TREND($E$5:$E$14,$B$5:$B$14,B19)</f>
        <v>2.5713977313181514E-3</v>
      </c>
      <c r="G19" s="136"/>
      <c r="H19" s="135">
        <f ca="1">D19+G19</f>
        <v>835846.91812427889</v>
      </c>
      <c r="J19" s="10">
        <v>2024</v>
      </c>
      <c r="K19" s="11">
        <f ca="1">'Normalized Annual Summary'!AR14</f>
        <v>79390482.944134414</v>
      </c>
      <c r="L19" s="16">
        <f ca="1">K19*M19</f>
        <v>188159.3398285677</v>
      </c>
      <c r="M19" s="26">
        <f>M18</f>
        <v>2.3700490644574094E-3</v>
      </c>
      <c r="N19" s="137">
        <f>TREND($M$5:$M$14,$J$5:$J$14,J19)</f>
        <v>2.3159398397157895E-3</v>
      </c>
      <c r="O19" s="136"/>
      <c r="P19" s="135">
        <f ca="1">L19+O19</f>
        <v>188159.3398285677</v>
      </c>
      <c r="S19" s="10">
        <v>2024</v>
      </c>
      <c r="T19" s="11">
        <f ca="1">'Normalized Annual Summary'!BA14</f>
        <v>38576056.660491265</v>
      </c>
      <c r="U19" s="16">
        <f ca="1">T19*V19</f>
        <v>85819.795167002958</v>
      </c>
      <c r="V19" s="26">
        <f>V18</f>
        <v>2.2246907174132621E-3</v>
      </c>
      <c r="W19" s="137">
        <f>TREND($V$5:$V$14,$S$5:$S$14,S19)</f>
        <v>2.1110361093924015E-3</v>
      </c>
      <c r="X19" s="136"/>
      <c r="Y19" s="135">
        <f ca="1">U19+X19</f>
        <v>85819.795167002958</v>
      </c>
      <c r="AA19" s="10">
        <v>2024</v>
      </c>
      <c r="AB19" s="11">
        <f>'Normalized Annual Summary'!BI14</f>
        <v>4596499.4919100879</v>
      </c>
      <c r="AC19" s="16">
        <f>AB19*AD19</f>
        <v>13003.986401685019</v>
      </c>
      <c r="AD19" s="26">
        <f>AD18</f>
        <v>2.8291064590722226E-3</v>
      </c>
      <c r="AE19" s="17">
        <f>TREND($AE$7:$AE$14,$AA$7:$AA$14,AA19)</f>
        <v>2.8252386837894971E-3</v>
      </c>
      <c r="AG19" s="10"/>
      <c r="AH19" s="11"/>
      <c r="AI19" s="16"/>
      <c r="AJ19" s="10">
        <v>2024</v>
      </c>
      <c r="AK19" s="11">
        <f>'Normalized Annual Summary'!BO14</f>
        <v>26323.559999999998</v>
      </c>
      <c r="AL19" s="16">
        <f>AK19*AM19</f>
        <v>77.939189710742539</v>
      </c>
      <c r="AM19" s="26">
        <f>AM18</f>
        <v>2.9608149395728596E-3</v>
      </c>
      <c r="AN19" s="17">
        <f>TREND($AN$7:$AN$14,$AJ$7:$AJ$14,AJ19)</f>
        <v>2.8590316075468858E-3</v>
      </c>
      <c r="AP19" s="10"/>
      <c r="AQ19" s="11"/>
      <c r="AR19" s="16"/>
    </row>
    <row r="20" spans="1:44" x14ac:dyDescent="0.25">
      <c r="B20" s="10">
        <v>2025</v>
      </c>
      <c r="C20" s="11">
        <f ca="1">'Normalized Annual Summary'!AE15</f>
        <v>330893891.08494335</v>
      </c>
      <c r="D20" s="16">
        <f ca="1">C20*E20</f>
        <v>837166.84779380541</v>
      </c>
      <c r="E20" s="26">
        <f>E19</f>
        <v>2.5300160273400074E-3</v>
      </c>
      <c r="F20" s="137">
        <f>TREND($E$5:$E$14,$B$5:$B$14,B20)</f>
        <v>2.5805936655355181E-3</v>
      </c>
      <c r="G20" s="136">
        <f>'Total Additional-Lost Loads'!H18</f>
        <v>733.89043289437188</v>
      </c>
      <c r="H20" s="135">
        <f ca="1">D20+G20</f>
        <v>837900.73822669976</v>
      </c>
      <c r="J20" s="10">
        <v>2025</v>
      </c>
      <c r="K20" s="11">
        <f ca="1">'Normalized Annual Summary'!AR15</f>
        <v>80415845.859158918</v>
      </c>
      <c r="L20" s="16">
        <f ca="1">K20*M20</f>
        <v>190589.50024605083</v>
      </c>
      <c r="M20" s="26">
        <f>M19</f>
        <v>2.3700490644574094E-3</v>
      </c>
      <c r="N20" s="137">
        <f>TREND($M$5:$M$14,$J$5:$J$14,J20)</f>
        <v>2.3039155675509855E-3</v>
      </c>
      <c r="O20" s="136">
        <f>'Total Additional-Lost Loads'!H19</f>
        <v>476.52774015133616</v>
      </c>
      <c r="P20" s="135">
        <f ca="1">L20+O20</f>
        <v>191066.02798620216</v>
      </c>
      <c r="S20" s="10">
        <v>2025</v>
      </c>
      <c r="T20" s="11">
        <f ca="1">'Normalized Annual Summary'!BA15</f>
        <v>38477444.078484654</v>
      </c>
      <c r="U20" s="16">
        <f ca="1">T20*V20</f>
        <v>85600.412671192695</v>
      </c>
      <c r="V20" s="26">
        <f>V19</f>
        <v>2.2246907174132621E-3</v>
      </c>
      <c r="W20" s="137">
        <f>TREND($V$5:$V$14,$S$5:$S$14,S20)</f>
        <v>2.0857795298322088E-3</v>
      </c>
      <c r="X20" s="136">
        <f>'Total Additional-Lost Loads'!H20</f>
        <v>58.80569504732928</v>
      </c>
      <c r="Y20" s="135">
        <f ca="1">U20+X20</f>
        <v>85659.21836624002</v>
      </c>
      <c r="AA20" s="10">
        <v>2025</v>
      </c>
      <c r="AB20" s="11">
        <f>'Normalized Annual Summary'!BI15</f>
        <v>4601999.7364925863</v>
      </c>
      <c r="AC20" s="16">
        <f>AB20*AD20</f>
        <v>13019.547179159843</v>
      </c>
      <c r="AD20" s="26">
        <f>AD19</f>
        <v>2.8291064590722226E-3</v>
      </c>
      <c r="AE20" s="17">
        <f>TREND($AE$7:$AE$14,$AA$7:$AA$14,AA20)</f>
        <v>2.8222731950246754E-3</v>
      </c>
      <c r="AG20" s="10"/>
      <c r="AH20" s="11"/>
      <c r="AI20" s="16"/>
      <c r="AJ20" s="10">
        <v>2025</v>
      </c>
      <c r="AK20" s="11">
        <f>'Normalized Annual Summary'!BO15</f>
        <v>26717.919999999998</v>
      </c>
      <c r="AL20" s="16">
        <f>AK20*AM20</f>
        <v>79.106816690312485</v>
      </c>
      <c r="AM20" s="26">
        <f>AM19</f>
        <v>2.9608149395728596E-3</v>
      </c>
      <c r="AN20" s="17">
        <f>TREND($AN$7:$AN$14,$AJ$7:$AJ$14,AJ20)</f>
        <v>2.774744513743016E-3</v>
      </c>
      <c r="AP20" s="10"/>
      <c r="AQ20" s="11"/>
      <c r="AR20" s="16"/>
    </row>
    <row r="21" spans="1:44" x14ac:dyDescent="0.25">
      <c r="B21" s="10">
        <v>2026</v>
      </c>
      <c r="C21" s="11">
        <f ca="1">'Normalized Annual Summary'!AE16</f>
        <v>331925080.26876336</v>
      </c>
      <c r="D21" s="16">
        <f ca="1">C21*E21</f>
        <v>839775.7729560897</v>
      </c>
      <c r="E21" s="26">
        <f>E20</f>
        <v>2.5300160273400074E-3</v>
      </c>
      <c r="F21" s="137">
        <f>TREND($E$5:$E$14,$B$5:$B$14,B21)</f>
        <v>2.5897895997528814E-3</v>
      </c>
      <c r="G21" s="136">
        <f>'Total Additional-Lost Loads'!I18</f>
        <v>2359.021615900494</v>
      </c>
      <c r="H21" s="135">
        <f ca="1">D21+G21</f>
        <v>842134.79457199015</v>
      </c>
      <c r="J21" s="10">
        <v>2026</v>
      </c>
      <c r="K21" s="11">
        <f ca="1">'Normalized Annual Summary'!AR16</f>
        <v>81008539.989905819</v>
      </c>
      <c r="L21" s="16">
        <f ca="1">K21*M21</f>
        <v>191994.21441613694</v>
      </c>
      <c r="M21" s="26">
        <f>M20</f>
        <v>2.3700490644574094E-3</v>
      </c>
      <c r="N21" s="137">
        <f>TREND($M$5:$M$14,$J$5:$J$14,J21)</f>
        <v>2.2918912953861781E-3</v>
      </c>
      <c r="O21" s="136">
        <f>'Total Additional-Lost Loads'!I19</f>
        <v>1550.3176440637349</v>
      </c>
      <c r="P21" s="135">
        <f ca="1">L21+O21</f>
        <v>193544.53206020067</v>
      </c>
      <c r="S21" s="10">
        <v>2026</v>
      </c>
      <c r="T21" s="11">
        <f ca="1">'Normalized Annual Summary'!BA16</f>
        <v>38484690.918478541</v>
      </c>
      <c r="U21" s="16">
        <f ca="1">T21*V21</f>
        <v>85616.534648857676</v>
      </c>
      <c r="V21" s="26">
        <f>V20</f>
        <v>2.2246907174132621E-3</v>
      </c>
      <c r="W21" s="137">
        <f>TREND($V$5:$V$14,$S$5:$S$14,S21)</f>
        <v>2.060522950272016E-3</v>
      </c>
      <c r="X21" s="136">
        <f>'Total Additional-Lost Loads'!I20</f>
        <v>182.72729324974915</v>
      </c>
      <c r="Y21" s="135">
        <f ca="1">U21+X21</f>
        <v>85799.26194210742</v>
      </c>
      <c r="AA21" s="10">
        <v>2026</v>
      </c>
      <c r="AB21" s="11">
        <f>'Normalized Annual Summary'!BI16</f>
        <v>4665081.9792804932</v>
      </c>
      <c r="AC21" s="16">
        <f>AB21*AD21</f>
        <v>13198.013559683872</v>
      </c>
      <c r="AD21" s="26">
        <f>AD20</f>
        <v>2.8291064590722226E-3</v>
      </c>
      <c r="AE21" s="17">
        <f>TREND($AE$7:$AE$14,$AA$7:$AA$14,AA21)</f>
        <v>2.8193077062598545E-3</v>
      </c>
      <c r="AG21" s="10"/>
      <c r="AH21" s="11"/>
      <c r="AI21" s="16"/>
      <c r="AJ21" s="10">
        <v>2026</v>
      </c>
      <c r="AK21" s="11">
        <f>'Normalized Annual Summary'!BO16</f>
        <v>26717.919999999998</v>
      </c>
      <c r="AL21" s="16">
        <f>AK21*AM21</f>
        <v>79.106816690312485</v>
      </c>
      <c r="AM21" s="26">
        <f>AM20</f>
        <v>2.9608149395728596E-3</v>
      </c>
      <c r="AN21" s="17">
        <f>TREND($AN$7:$AN$14,$AJ$7:$AJ$14,AJ21)</f>
        <v>2.6904574199391185E-3</v>
      </c>
      <c r="AP21" s="10"/>
      <c r="AQ21" s="11"/>
      <c r="AR21" s="16"/>
    </row>
    <row r="23" spans="1:44" x14ac:dyDescent="0.25">
      <c r="A23" s="295"/>
      <c r="B23" s="295"/>
      <c r="C23" s="304" t="s">
        <v>401</v>
      </c>
      <c r="D23" s="22" t="s">
        <v>402</v>
      </c>
      <c r="E23" s="300" t="s">
        <v>458</v>
      </c>
      <c r="F23" s="295"/>
      <c r="G23" s="295"/>
      <c r="H23" s="295"/>
      <c r="I23" s="295"/>
      <c r="J23" s="295"/>
      <c r="K23" s="304" t="s">
        <v>401</v>
      </c>
      <c r="L23" s="22" t="s">
        <v>402</v>
      </c>
      <c r="M23" s="300" t="s">
        <v>458</v>
      </c>
      <c r="N23" s="295"/>
      <c r="O23" s="295"/>
      <c r="P23" s="295"/>
      <c r="Q23" s="295"/>
      <c r="R23" s="295"/>
      <c r="S23" s="295"/>
      <c r="T23" s="304" t="s">
        <v>401</v>
      </c>
      <c r="U23" s="22" t="s">
        <v>402</v>
      </c>
      <c r="V23" s="300" t="s">
        <v>458</v>
      </c>
      <c r="W23" s="295"/>
      <c r="X23" s="295"/>
      <c r="Y23" s="295"/>
      <c r="Z23" s="295"/>
      <c r="AA23" s="295"/>
      <c r="AB23" s="304" t="s">
        <v>401</v>
      </c>
      <c r="AC23" s="22" t="s">
        <v>402</v>
      </c>
      <c r="AD23" s="300" t="s">
        <v>458</v>
      </c>
      <c r="AJ23" s="295"/>
      <c r="AK23" s="304" t="s">
        <v>401</v>
      </c>
      <c r="AL23" s="22" t="s">
        <v>402</v>
      </c>
      <c r="AM23" s="300" t="s">
        <v>458</v>
      </c>
    </row>
    <row r="24" spans="1:44" x14ac:dyDescent="0.25">
      <c r="A24" s="295" t="s">
        <v>459</v>
      </c>
      <c r="B24" s="295"/>
      <c r="C24" s="23">
        <f>C14/C10-1</f>
        <v>1.927596544081811E-2</v>
      </c>
      <c r="D24" s="23">
        <f>D14/D10-1</f>
        <v>-8.9715591371389847E-3</v>
      </c>
      <c r="E24" s="305">
        <f>D24-C24</f>
        <v>-2.8247524577957095E-2</v>
      </c>
      <c r="F24" s="295"/>
      <c r="G24" s="295"/>
      <c r="H24" s="295"/>
      <c r="I24" s="295"/>
      <c r="J24" s="295"/>
      <c r="K24" s="23">
        <f>K14/K10-1</f>
        <v>0.15007267127536483</v>
      </c>
      <c r="L24" s="23">
        <f>L14/L10-1</f>
        <v>4.6947535658351747E-2</v>
      </c>
      <c r="M24" s="305">
        <f>L24-K24</f>
        <v>-0.10312513561701309</v>
      </c>
      <c r="N24" s="295"/>
      <c r="O24" s="295"/>
      <c r="P24" s="295"/>
      <c r="Q24" s="295"/>
      <c r="R24" s="295"/>
      <c r="S24" s="295"/>
      <c r="T24" s="23">
        <f>T14/T10-1</f>
        <v>0.28961362943591173</v>
      </c>
      <c r="U24" s="23">
        <f>U14/U10-1</f>
        <v>0.13898414285466476</v>
      </c>
      <c r="V24" s="305">
        <f>U24-T24</f>
        <v>-0.15062948658124697</v>
      </c>
      <c r="W24" s="295"/>
      <c r="X24" s="295"/>
      <c r="Y24" s="295"/>
      <c r="Z24" s="295"/>
      <c r="AA24" s="295"/>
      <c r="AB24" s="23">
        <f>AB14/AB10-1</f>
        <v>5.492192725641476E-2</v>
      </c>
      <c r="AC24" s="23">
        <f>AC14/AC10-1</f>
        <v>4.4063306478777209E-2</v>
      </c>
      <c r="AD24" s="305">
        <f>AC24-AB24</f>
        <v>-1.0858620777637551E-2</v>
      </c>
      <c r="AJ24" s="295"/>
      <c r="AK24" s="23">
        <f>AK14/AK10-1</f>
        <v>-2.4650188744681056E-2</v>
      </c>
      <c r="AL24" s="23">
        <f>AL14/AL10-1</f>
        <v>-0.11764705882352944</v>
      </c>
      <c r="AM24" s="305">
        <f>AL24-AK24</f>
        <v>-9.2996870078848382E-2</v>
      </c>
    </row>
    <row r="25" spans="1:44" x14ac:dyDescent="0.25">
      <c r="A25" s="295" t="s">
        <v>460</v>
      </c>
      <c r="B25" s="295"/>
      <c r="C25" s="23">
        <f>C14/C5-1</f>
        <v>-6.2981211364369627E-2</v>
      </c>
      <c r="D25" s="23">
        <f>D14/D5-1</f>
        <v>-3.6121299489044079E-2</v>
      </c>
      <c r="E25" s="305">
        <f>D25-C25</f>
        <v>2.6859911875325548E-2</v>
      </c>
      <c r="F25" s="295"/>
      <c r="G25" s="295"/>
      <c r="H25" s="295"/>
      <c r="I25" s="295"/>
      <c r="J25" s="295"/>
      <c r="K25" s="23">
        <f>K14/K5-1</f>
        <v>3.0239633579927094E-3</v>
      </c>
      <c r="L25" s="23">
        <f>L14/L5-1</f>
        <v>-2.9561855399691472E-2</v>
      </c>
      <c r="M25" s="305">
        <f>L25-K25</f>
        <v>-3.2585818757684182E-2</v>
      </c>
      <c r="N25" s="295"/>
      <c r="O25" s="295"/>
      <c r="P25" s="295"/>
      <c r="Q25" s="295"/>
      <c r="R25" s="295"/>
      <c r="S25" s="295"/>
      <c r="T25" s="23">
        <f>T14/T5-1</f>
        <v>-5.3178652084379663E-2</v>
      </c>
      <c r="U25" s="23">
        <f>U14/U5-1</f>
        <v>-0.13492995822093967</v>
      </c>
      <c r="V25" s="305">
        <f>U25-T25</f>
        <v>-8.1751306136560009E-2</v>
      </c>
      <c r="W25" s="295"/>
      <c r="X25" s="295"/>
      <c r="Y25" s="295"/>
      <c r="Z25" s="295"/>
      <c r="AA25" s="295"/>
      <c r="AB25" s="23">
        <f>AB14/AB5-1</f>
        <v>-0.50040422080928459</v>
      </c>
      <c r="AC25" s="23">
        <f>AC14/AC5-1</f>
        <v>-0.50908533782748577</v>
      </c>
      <c r="AD25" s="305">
        <f>AC25-AB25</f>
        <v>-8.6811170182011788E-3</v>
      </c>
      <c r="AJ25" s="295"/>
      <c r="AK25" s="23">
        <f>AK14/AK5-1</f>
        <v>-3.8877351422835327E-2</v>
      </c>
      <c r="AL25" s="23">
        <f>AL14/AL5-1</f>
        <v>-0.25</v>
      </c>
      <c r="AM25" s="305">
        <f>AL25-AK25</f>
        <v>-0.21112264857716467</v>
      </c>
    </row>
    <row r="26" spans="1:44" x14ac:dyDescent="0.25">
      <c r="A26" s="295"/>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J26" s="295"/>
      <c r="AK26" s="295"/>
      <c r="AL26" s="295"/>
      <c r="AM26" s="295"/>
    </row>
    <row r="27" spans="1:44" x14ac:dyDescent="0.25">
      <c r="A27" s="295"/>
      <c r="B27" s="295"/>
      <c r="C27" s="295"/>
      <c r="D27" s="295" t="s">
        <v>461</v>
      </c>
      <c r="E27" s="295"/>
      <c r="F27" s="295"/>
      <c r="G27" s="295"/>
      <c r="H27" s="295"/>
      <c r="I27" s="295"/>
      <c r="J27" s="295"/>
      <c r="K27" s="295"/>
      <c r="L27" s="295" t="s">
        <v>461</v>
      </c>
      <c r="M27" s="295"/>
      <c r="N27" s="295"/>
      <c r="O27" s="295"/>
      <c r="P27" s="295"/>
      <c r="Q27" s="295"/>
      <c r="R27" s="295"/>
      <c r="S27" s="295"/>
      <c r="T27" s="295"/>
      <c r="U27" s="295" t="s">
        <v>461</v>
      </c>
      <c r="V27" s="295"/>
      <c r="W27" s="295"/>
      <c r="X27" s="295"/>
      <c r="Y27" s="295"/>
      <c r="Z27" s="295"/>
      <c r="AA27" s="295"/>
      <c r="AB27" s="295"/>
      <c r="AC27" s="295" t="s">
        <v>461</v>
      </c>
      <c r="AD27" s="295"/>
      <c r="AJ27" s="295"/>
      <c r="AK27" s="295"/>
      <c r="AL27" s="295" t="s">
        <v>462</v>
      </c>
      <c r="AM27" s="295"/>
    </row>
    <row r="50" spans="5:5" x14ac:dyDescent="0.25">
      <c r="E50" s="268"/>
    </row>
  </sheetData>
  <mergeCells count="5">
    <mergeCell ref="AK2:AM2"/>
    <mergeCell ref="C2:E2"/>
    <mergeCell ref="AB2:AD2"/>
    <mergeCell ref="K2:M2"/>
    <mergeCell ref="T2:V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dimension ref="A2:AQ36"/>
  <sheetViews>
    <sheetView topLeftCell="U4" workbookViewId="0">
      <selection activeCell="AR19" sqref="AR19"/>
    </sheetView>
  </sheetViews>
  <sheetFormatPr defaultColWidth="9.33203125" defaultRowHeight="13.2" x14ac:dyDescent="0.25"/>
  <cols>
    <col min="1" max="1" width="9.33203125" style="1"/>
    <col min="2" max="2" width="9.44140625" style="1" bestFit="1" customWidth="1"/>
    <col min="3" max="3" width="17.5546875" style="1" bestFit="1" customWidth="1"/>
    <col min="4" max="4" width="15.33203125" style="1" customWidth="1"/>
    <col min="5" max="5" width="12.77734375" style="1" customWidth="1"/>
    <col min="6" max="6" width="11.44140625" style="1" bestFit="1" customWidth="1"/>
    <col min="7" max="8" width="11.33203125" style="1" customWidth="1"/>
    <col min="9" max="9" width="9.33203125" style="1"/>
    <col min="10" max="10" width="9.44140625" style="1" bestFit="1" customWidth="1"/>
    <col min="11" max="11" width="11.77734375" style="1" customWidth="1"/>
    <col min="12" max="12" width="9.44140625" style="1" bestFit="1" customWidth="1"/>
    <col min="13" max="14" width="9.88671875" style="1" bestFit="1" customWidth="1"/>
    <col min="15" max="16" width="9.44140625" style="1" bestFit="1" customWidth="1"/>
    <col min="17" max="18" width="9.33203125" style="1"/>
    <col min="19" max="19" width="9.44140625" style="1" bestFit="1" customWidth="1"/>
    <col min="20" max="20" width="14.5546875" style="1" bestFit="1" customWidth="1"/>
    <col min="21" max="21" width="9.44140625" style="1" bestFit="1" customWidth="1"/>
    <col min="22" max="23" width="9.88671875" style="1" bestFit="1" customWidth="1"/>
    <col min="24" max="25" width="9.44140625" style="1" bestFit="1" customWidth="1"/>
    <col min="26" max="26" width="9.33203125" style="1"/>
    <col min="27" max="27" width="9.44140625" style="1" bestFit="1" customWidth="1"/>
    <col min="28" max="28" width="14.6640625" style="1" customWidth="1"/>
    <col min="29" max="29" width="16.109375" style="1" customWidth="1"/>
    <col min="30" max="30" width="15.77734375" style="1" customWidth="1"/>
    <col min="31" max="31" width="11" style="1" customWidth="1"/>
    <col min="32" max="32" width="9.33203125" style="1"/>
    <col min="33" max="33" width="9.33203125" style="1" customWidth="1"/>
    <col min="34" max="34" width="9.33203125" style="1"/>
    <col min="35" max="36" width="9.44140625" style="1" bestFit="1" customWidth="1"/>
    <col min="37" max="37" width="13.5546875" style="1" bestFit="1" customWidth="1"/>
    <col min="38" max="38" width="19.21875" style="1" bestFit="1" customWidth="1"/>
    <col min="39" max="39" width="9.88671875" style="1" bestFit="1" customWidth="1"/>
    <col min="40" max="16384" width="9.33203125" style="1"/>
  </cols>
  <sheetData>
    <row r="2" spans="1:43" x14ac:dyDescent="0.25">
      <c r="C2" s="493" t="s">
        <v>463</v>
      </c>
      <c r="D2" s="493"/>
      <c r="E2" s="493"/>
      <c r="F2" s="274"/>
      <c r="K2" s="493" t="s">
        <v>304</v>
      </c>
      <c r="L2" s="493"/>
      <c r="M2" s="493"/>
      <c r="N2" s="274"/>
      <c r="T2" s="493" t="s">
        <v>115</v>
      </c>
      <c r="U2" s="493"/>
      <c r="V2" s="493"/>
      <c r="W2" s="274"/>
      <c r="AB2" s="493" t="s">
        <v>444</v>
      </c>
      <c r="AC2" s="493"/>
      <c r="AD2" s="493"/>
      <c r="AE2" s="274"/>
      <c r="AJ2" s="493" t="s">
        <v>117</v>
      </c>
      <c r="AK2" s="493"/>
      <c r="AL2" s="493"/>
      <c r="AM2" s="274"/>
    </row>
    <row r="3" spans="1:43" x14ac:dyDescent="0.25">
      <c r="A3" s="13"/>
      <c r="B3" s="13"/>
      <c r="C3" s="166" t="s">
        <v>401</v>
      </c>
      <c r="D3" s="166" t="s">
        <v>402</v>
      </c>
      <c r="E3" s="166" t="s">
        <v>445</v>
      </c>
      <c r="F3" s="166" t="s">
        <v>446</v>
      </c>
      <c r="G3" s="298"/>
      <c r="H3" s="298"/>
      <c r="J3" s="13"/>
      <c r="K3" s="166" t="s">
        <v>401</v>
      </c>
      <c r="L3" s="166" t="s">
        <v>402</v>
      </c>
      <c r="M3" s="166" t="s">
        <v>445</v>
      </c>
      <c r="N3" s="166" t="s">
        <v>446</v>
      </c>
      <c r="O3" s="298"/>
      <c r="P3" s="298"/>
      <c r="S3" s="13"/>
      <c r="T3" s="166" t="s">
        <v>401</v>
      </c>
      <c r="U3" s="166" t="s">
        <v>402</v>
      </c>
      <c r="V3" s="166" t="s">
        <v>445</v>
      </c>
      <c r="W3" s="166" t="s">
        <v>446</v>
      </c>
      <c r="X3" s="298"/>
      <c r="Y3" s="298"/>
      <c r="AA3" s="13"/>
      <c r="AB3" s="166" t="s">
        <v>401</v>
      </c>
      <c r="AC3" s="166" t="s">
        <v>402</v>
      </c>
      <c r="AD3" s="166" t="s">
        <v>445</v>
      </c>
      <c r="AE3" s="166" t="s">
        <v>446</v>
      </c>
      <c r="AG3" s="13"/>
      <c r="AH3" s="298"/>
      <c r="AJ3" s="166" t="s">
        <v>401</v>
      </c>
      <c r="AK3" s="166" t="s">
        <v>402</v>
      </c>
      <c r="AL3" s="166" t="s">
        <v>445</v>
      </c>
      <c r="AM3" s="166" t="s">
        <v>446</v>
      </c>
      <c r="AO3" s="13"/>
      <c r="AP3" s="298"/>
      <c r="AQ3" s="298"/>
    </row>
    <row r="4" spans="1:43" x14ac:dyDescent="0.25">
      <c r="A4" s="13"/>
      <c r="B4" s="13"/>
      <c r="C4" s="166" t="s">
        <v>308</v>
      </c>
      <c r="D4" s="166" t="s">
        <v>310</v>
      </c>
      <c r="E4" s="166" t="s">
        <v>447</v>
      </c>
      <c r="F4" s="166"/>
      <c r="G4" s="298"/>
      <c r="H4" s="298"/>
      <c r="J4" s="13"/>
      <c r="K4" s="166" t="s">
        <v>308</v>
      </c>
      <c r="L4" s="166" t="s">
        <v>310</v>
      </c>
      <c r="M4" s="166" t="s">
        <v>447</v>
      </c>
      <c r="N4" s="166"/>
      <c r="O4" s="298"/>
      <c r="P4" s="298"/>
      <c r="S4" s="13"/>
      <c r="T4" s="166" t="s">
        <v>308</v>
      </c>
      <c r="U4" s="166" t="s">
        <v>310</v>
      </c>
      <c r="V4" s="166" t="s">
        <v>447</v>
      </c>
      <c r="W4" s="166"/>
      <c r="X4" s="298"/>
      <c r="Y4" s="298"/>
      <c r="AA4" s="13"/>
      <c r="AB4" s="166" t="s">
        <v>308</v>
      </c>
      <c r="AC4" s="166" t="s">
        <v>310</v>
      </c>
      <c r="AD4" s="166" t="s">
        <v>447</v>
      </c>
      <c r="AE4" s="166"/>
      <c r="AG4" s="13"/>
      <c r="AH4" s="298"/>
      <c r="AJ4" s="166" t="s">
        <v>308</v>
      </c>
      <c r="AK4" s="166" t="s">
        <v>310</v>
      </c>
      <c r="AL4" s="166" t="s">
        <v>447</v>
      </c>
      <c r="AM4" s="166"/>
      <c r="AO4" s="13"/>
      <c r="AP4" s="298"/>
      <c r="AQ4" s="298"/>
    </row>
    <row r="5" spans="1:43" x14ac:dyDescent="0.25">
      <c r="A5" s="295"/>
      <c r="B5" s="295">
        <v>2015</v>
      </c>
      <c r="C5" s="299">
        <f ca="1">'Normalized Annual Summary'!AE5</f>
        <v>330581700.19327295</v>
      </c>
      <c r="D5" s="299">
        <f t="shared" ref="D5:D14" ca="1" si="0">C5*E5</f>
        <v>837659.33331104624</v>
      </c>
      <c r="E5" s="300">
        <f>'kW Forecast'!E5</f>
        <v>2.5338950487014643E-3</v>
      </c>
      <c r="F5" s="301"/>
      <c r="G5" s="301"/>
      <c r="H5" s="301"/>
      <c r="J5" s="295">
        <v>2015</v>
      </c>
      <c r="K5" s="299">
        <f>'Normalized Annual Summary'!AJ5</f>
        <v>81262023.618182287</v>
      </c>
      <c r="L5" s="299">
        <f>SUMIF('Monthly Data'!B:B,J5,'Monthly Data'!T:T)</f>
        <v>190622</v>
      </c>
      <c r="M5" s="300">
        <f t="shared" ref="M5:M14" si="1">L5/K5</f>
        <v>2.3457697890426218E-3</v>
      </c>
      <c r="N5" s="301"/>
      <c r="O5" s="301"/>
      <c r="P5" s="301"/>
      <c r="S5" s="295">
        <v>2015</v>
      </c>
      <c r="T5" s="299">
        <f>'Normalized Annual Summary'!AU5</f>
        <v>41948975.999999993</v>
      </c>
      <c r="U5" s="299">
        <f>SUMIF('Monthly Data'!B:B,S5,'Monthly Data'!Y:Y)</f>
        <v>95646</v>
      </c>
      <c r="V5" s="300">
        <f t="shared" ref="V5:V14" si="2">U5/T5</f>
        <v>2.2800556561857438E-3</v>
      </c>
      <c r="W5" s="301"/>
      <c r="X5" s="301"/>
      <c r="Y5" s="301"/>
      <c r="AA5" s="295">
        <v>2015</v>
      </c>
      <c r="AB5" s="299">
        <f>'Normalized Annual Summary'!BF5</f>
        <v>9200437</v>
      </c>
      <c r="AC5" s="299">
        <f>SUMIF('Monthly Data'!$B:$B,AA5,'Monthly Data'!AB:AB)</f>
        <v>26108</v>
      </c>
      <c r="AD5" s="300">
        <f t="shared" ref="AD5:AD14" si="3">AC5/AB5</f>
        <v>2.8376912966199324E-3</v>
      </c>
      <c r="AE5" s="301"/>
      <c r="AF5" s="301"/>
      <c r="AG5" s="295"/>
      <c r="AH5" s="299"/>
      <c r="AI5" s="295">
        <v>2015</v>
      </c>
      <c r="AJ5" s="299">
        <f>'Normalized Annual Summary'!BL5</f>
        <v>27388.346366584021</v>
      </c>
      <c r="AK5" s="299">
        <f>SUMIF('Monthly Data'!$B:$B,AI5,'Monthly Data'!AE:AE)</f>
        <v>100</v>
      </c>
      <c r="AL5" s="300">
        <f>AK5/AJ5</f>
        <v>3.6511879418177659E-3</v>
      </c>
      <c r="AM5" s="301"/>
      <c r="AN5" s="301"/>
      <c r="AO5" s="295"/>
      <c r="AP5" s="299"/>
      <c r="AQ5" s="299"/>
    </row>
    <row r="6" spans="1:43" x14ac:dyDescent="0.25">
      <c r="A6" s="295"/>
      <c r="B6" s="295">
        <f t="shared" ref="B6:B14" si="4">B5+1</f>
        <v>2016</v>
      </c>
      <c r="C6" s="299">
        <f ca="1">'Normalized Annual Summary'!AE6</f>
        <v>331234560.70928603</v>
      </c>
      <c r="D6" s="299">
        <f t="shared" ca="1" si="0"/>
        <v>839194.33580937097</v>
      </c>
      <c r="E6" s="300">
        <f>'kW Forecast'!E6</f>
        <v>2.5335349488059761E-3</v>
      </c>
      <c r="F6" s="301">
        <f>AVERAGE(E5:E6)</f>
        <v>2.5337149987537202E-3</v>
      </c>
      <c r="G6" s="301"/>
      <c r="H6" s="301"/>
      <c r="J6" s="295">
        <f t="shared" ref="J6:J14" si="5">J5+1</f>
        <v>2016</v>
      </c>
      <c r="K6" s="299">
        <f>'Normalized Annual Summary'!AJ6</f>
        <v>84479483.913561568</v>
      </c>
      <c r="L6" s="299">
        <f>SUMIF('Monthly Data'!B:B,J6,'Monthly Data'!T:T)</f>
        <v>203972</v>
      </c>
      <c r="M6" s="300">
        <f t="shared" si="1"/>
        <v>2.414456037736947E-3</v>
      </c>
      <c r="N6" s="301"/>
      <c r="O6" s="301"/>
      <c r="P6" s="301"/>
      <c r="S6" s="295">
        <f t="shared" ref="S6:S14" si="6">S5+1</f>
        <v>2016</v>
      </c>
      <c r="T6" s="299">
        <f>'Normalized Annual Summary'!AU6</f>
        <v>41438245.999999993</v>
      </c>
      <c r="U6" s="299">
        <f>SUMIF('Monthly Data'!B:B,S6,'Monthly Data'!Y:Y)</f>
        <v>99493</v>
      </c>
      <c r="V6" s="300">
        <f t="shared" si="2"/>
        <v>2.4009944822471498E-3</v>
      </c>
      <c r="W6" s="301"/>
      <c r="X6" s="301"/>
      <c r="Y6" s="301"/>
      <c r="AA6" s="295">
        <f t="shared" ref="AA6:AA14" si="7">AA5+1</f>
        <v>2016</v>
      </c>
      <c r="AB6" s="299">
        <f>'Normalized Annual Summary'!BF6</f>
        <v>9395991</v>
      </c>
      <c r="AC6" s="299">
        <f>SUMIF('Monthly Data'!$B:$B,AA6,'Monthly Data'!AB:AB)</f>
        <v>26524</v>
      </c>
      <c r="AD6" s="300">
        <f t="shared" si="3"/>
        <v>2.8229060670662627E-3</v>
      </c>
      <c r="AE6" s="301">
        <f>AVERAGE(AD5:AD6)</f>
        <v>2.8302986818430978E-3</v>
      </c>
      <c r="AF6" s="301"/>
      <c r="AG6" s="295"/>
      <c r="AH6" s="299"/>
      <c r="AI6" s="295">
        <f t="shared" ref="AI6:AI14" si="8">AI5+1</f>
        <v>2016</v>
      </c>
      <c r="AJ6" s="299">
        <f>'Normalized Annual Summary'!BL6</f>
        <v>25737.974442113293</v>
      </c>
      <c r="AK6" s="299">
        <f>SUMIF('Monthly Data'!$B:$B,AI6,'Monthly Data'!AE:AE)</f>
        <v>85</v>
      </c>
      <c r="AL6" s="300">
        <f>AK6/AJ6</f>
        <v>3.30251318693208E-3</v>
      </c>
      <c r="AM6" s="301"/>
      <c r="AN6" s="301"/>
      <c r="AO6" s="295"/>
      <c r="AP6" s="299"/>
      <c r="AQ6" s="299"/>
    </row>
    <row r="7" spans="1:43" x14ac:dyDescent="0.25">
      <c r="A7" s="295"/>
      <c r="B7" s="295">
        <f t="shared" si="4"/>
        <v>2017</v>
      </c>
      <c r="C7" s="299">
        <f ca="1">'Normalized Annual Summary'!AE7</f>
        <v>329654776.47097468</v>
      </c>
      <c r="D7" s="299">
        <f t="shared" ca="1" si="0"/>
        <v>784544.58721126406</v>
      </c>
      <c r="E7" s="300">
        <f>'kW Forecast'!E7</f>
        <v>2.3798975267702253E-3</v>
      </c>
      <c r="F7" s="301">
        <f t="shared" ref="F7:F14" si="9">AVERAGE(E5:E7)</f>
        <v>2.4824425080925551E-3</v>
      </c>
      <c r="G7" s="301"/>
      <c r="H7" s="301"/>
      <c r="J7" s="295">
        <f t="shared" si="5"/>
        <v>2017</v>
      </c>
      <c r="K7" s="299">
        <f>'Normalized Annual Summary'!AJ7</f>
        <v>82458080.47410427</v>
      </c>
      <c r="L7" s="299">
        <f>SUMIF('Monthly Data'!B:B,J7,'Monthly Data'!T:T)</f>
        <v>192774</v>
      </c>
      <c r="M7" s="300">
        <f t="shared" si="1"/>
        <v>2.337842439353656E-3</v>
      </c>
      <c r="N7" s="301">
        <f t="shared" ref="N7:N14" si="10">AVERAGE(M5:M7)</f>
        <v>2.3660227553777414E-3</v>
      </c>
      <c r="O7" s="301"/>
      <c r="P7" s="301"/>
      <c r="S7" s="295">
        <f t="shared" si="6"/>
        <v>2017</v>
      </c>
      <c r="T7" s="299">
        <f>'Normalized Annual Summary'!AU7</f>
        <v>37536243</v>
      </c>
      <c r="U7" s="299">
        <f>SUMIF('Monthly Data'!B:B,S7,'Monthly Data'!Y:Y)</f>
        <v>91980.923849603059</v>
      </c>
      <c r="V7" s="300">
        <f t="shared" si="2"/>
        <v>2.4504563189662603E-3</v>
      </c>
      <c r="W7" s="301">
        <f t="shared" ref="W7:W14" si="11">AVERAGE(V5:V7)</f>
        <v>2.3771688191330516E-3</v>
      </c>
      <c r="X7" s="301"/>
      <c r="Y7" s="301"/>
      <c r="AA7" s="295">
        <f t="shared" si="7"/>
        <v>2017</v>
      </c>
      <c r="AB7" s="299">
        <f>'Normalized Annual Summary'!BF7</f>
        <v>4988073.9999999991</v>
      </c>
      <c r="AC7" s="299">
        <f>SUMIF('Monthly Data'!$B:$B,AA7,'Monthly Data'!AB:AB)</f>
        <v>13944.975</v>
      </c>
      <c r="AD7" s="300">
        <f t="shared" si="3"/>
        <v>2.7956632159025713E-3</v>
      </c>
      <c r="AE7" s="301">
        <f>AVERAGE(AD5:AD6)</f>
        <v>2.8302986818430978E-3</v>
      </c>
      <c r="AF7" s="301"/>
      <c r="AG7" s="295"/>
      <c r="AH7" s="299"/>
      <c r="AI7" s="295">
        <f t="shared" si="8"/>
        <v>2017</v>
      </c>
      <c r="AJ7" s="299">
        <f>'Normalized Annual Summary'!BL7</f>
        <v>25667.652107572001</v>
      </c>
      <c r="AK7" s="299">
        <f>SUMIF('Monthly Data'!$B:$B,AI7,'Monthly Data'!AE:AE)</f>
        <v>85</v>
      </c>
      <c r="AL7" s="300">
        <f>AK7/AJ7</f>
        <v>3.3115611682661404E-3</v>
      </c>
      <c r="AM7" s="301">
        <f>AVERAGE(AL5:AL6)</f>
        <v>3.4768505643749227E-3</v>
      </c>
      <c r="AN7" s="301"/>
      <c r="AO7" s="295"/>
      <c r="AP7" s="299"/>
      <c r="AQ7" s="299"/>
    </row>
    <row r="8" spans="1:43" x14ac:dyDescent="0.25">
      <c r="A8" s="295"/>
      <c r="B8" s="295">
        <f t="shared" si="4"/>
        <v>2018</v>
      </c>
      <c r="C8" s="299">
        <f ca="1">'Normalized Annual Summary'!AE8</f>
        <v>329406592.14083856</v>
      </c>
      <c r="D8" s="299">
        <f t="shared" ca="1" si="0"/>
        <v>842036.50205579749</v>
      </c>
      <c r="E8" s="300">
        <f>'kW Forecast'!E8</f>
        <v>2.5562223772855851E-3</v>
      </c>
      <c r="F8" s="301">
        <f t="shared" si="9"/>
        <v>2.4898849509539288E-3</v>
      </c>
      <c r="G8" s="301"/>
      <c r="H8" s="301"/>
      <c r="J8" s="295">
        <f t="shared" si="5"/>
        <v>2018</v>
      </c>
      <c r="K8" s="299">
        <f>'Normalized Annual Summary'!AJ8</f>
        <v>76765563.974827826</v>
      </c>
      <c r="L8" s="299">
        <f>SUMIF('Monthly Data'!B:B,J8,'Monthly Data'!T:T)</f>
        <v>190148</v>
      </c>
      <c r="M8" s="300">
        <f t="shared" si="1"/>
        <v>2.4769960663918443E-3</v>
      </c>
      <c r="N8" s="301">
        <f t="shared" si="10"/>
        <v>2.4097648478274823E-3</v>
      </c>
      <c r="O8" s="301"/>
      <c r="P8" s="301"/>
      <c r="S8" s="295">
        <f t="shared" si="6"/>
        <v>2018</v>
      </c>
      <c r="T8" s="299">
        <f>'Normalized Annual Summary'!AU8</f>
        <v>44873420</v>
      </c>
      <c r="U8" s="299">
        <f>SUMIF('Monthly Data'!B:B,S8,'Monthly Data'!Y:Y)</f>
        <v>88890.076150396941</v>
      </c>
      <c r="V8" s="300">
        <f t="shared" si="2"/>
        <v>1.9809070971278085E-3</v>
      </c>
      <c r="W8" s="301">
        <f t="shared" si="11"/>
        <v>2.2774526327804059E-3</v>
      </c>
      <c r="X8" s="301"/>
      <c r="Y8" s="301"/>
      <c r="AA8" s="295">
        <f t="shared" si="7"/>
        <v>2018</v>
      </c>
      <c r="AB8" s="299">
        <f>'Normalized Annual Summary'!BF8</f>
        <v>4221567</v>
      </c>
      <c r="AC8" s="299">
        <f>SUMIF('Monthly Data'!$B:$B,AA8,'Monthly Data'!AB:AB)</f>
        <v>12111</v>
      </c>
      <c r="AD8" s="300">
        <f t="shared" si="3"/>
        <v>2.8688399355026226E-3</v>
      </c>
      <c r="AE8" s="301">
        <f>AVERAGE(AD6,AD8)</f>
        <v>2.8458730012844427E-3</v>
      </c>
      <c r="AF8" s="301"/>
      <c r="AG8" s="295"/>
      <c r="AH8" s="299"/>
      <c r="AI8" s="295">
        <f t="shared" si="8"/>
        <v>2018</v>
      </c>
      <c r="AJ8" s="299">
        <f>'Normalized Annual Summary'!BL8</f>
        <v>25647.396528704936</v>
      </c>
      <c r="AK8" s="299">
        <f>SUMIF('Monthly Data'!$B:$B,AI8,'Monthly Data'!AE:AE)</f>
        <v>85</v>
      </c>
      <c r="AL8" s="300">
        <f t="shared" ref="AL8:AL14" si="12">AK8/AJ8</f>
        <v>3.314176544385968E-3</v>
      </c>
      <c r="AM8" s="301">
        <f>AVERAGE(AL6,AL8)</f>
        <v>3.308344865659024E-3</v>
      </c>
      <c r="AN8" s="301"/>
      <c r="AO8" s="295"/>
      <c r="AP8" s="299"/>
      <c r="AQ8" s="299"/>
    </row>
    <row r="9" spans="1:43" x14ac:dyDescent="0.25">
      <c r="A9" s="295"/>
      <c r="B9" s="295">
        <f t="shared" si="4"/>
        <v>2019</v>
      </c>
      <c r="C9" s="299">
        <f ca="1">'Normalized Annual Summary'!AE9</f>
        <v>330344957.53348422</v>
      </c>
      <c r="D9" s="299">
        <f t="shared" ca="1" si="0"/>
        <v>803684.53859729972</v>
      </c>
      <c r="E9" s="300">
        <f>'kW Forecast'!E9</f>
        <v>2.4328645564866453E-3</v>
      </c>
      <c r="F9" s="301">
        <f t="shared" si="9"/>
        <v>2.4563281535141517E-3</v>
      </c>
      <c r="G9" s="301"/>
      <c r="H9" s="301"/>
      <c r="J9" s="295">
        <f t="shared" si="5"/>
        <v>2019</v>
      </c>
      <c r="K9" s="299">
        <f>'Normalized Annual Summary'!AJ9</f>
        <v>76875274.273776412</v>
      </c>
      <c r="L9" s="299">
        <f>SUMIF('Monthly Data'!B:B,J9,'Monthly Data'!T:T)</f>
        <v>184105.52000000002</v>
      </c>
      <c r="M9" s="300">
        <f t="shared" si="1"/>
        <v>2.3948600084904262E-3</v>
      </c>
      <c r="N9" s="301">
        <f t="shared" si="10"/>
        <v>2.4032328380786424E-3</v>
      </c>
      <c r="O9" s="301"/>
      <c r="P9" s="301"/>
      <c r="S9" s="295">
        <f t="shared" si="6"/>
        <v>2019</v>
      </c>
      <c r="T9" s="299">
        <f>'Normalized Annual Summary'!AU9</f>
        <v>38878938</v>
      </c>
      <c r="U9" s="299">
        <f>SUMIF('Monthly Data'!B:B,S9,'Monthly Data'!Y:Y)</f>
        <v>87299.34</v>
      </c>
      <c r="V9" s="300">
        <f t="shared" si="2"/>
        <v>2.24541472814921E-3</v>
      </c>
      <c r="W9" s="301">
        <f t="shared" si="11"/>
        <v>2.2255927147477594E-3</v>
      </c>
      <c r="X9" s="301"/>
      <c r="Y9" s="301"/>
      <c r="AA9" s="295">
        <f t="shared" si="7"/>
        <v>2019</v>
      </c>
      <c r="AB9" s="299">
        <f>'Normalized Annual Summary'!BF9</f>
        <v>4294351.9999999991</v>
      </c>
      <c r="AC9" s="299">
        <f>SUMIF('Monthly Data'!$B:$B,AA9,'Monthly Data'!AB:AB)</f>
        <v>12224.84</v>
      </c>
      <c r="AD9" s="300">
        <f t="shared" si="3"/>
        <v>2.8467251869432227E-3</v>
      </c>
      <c r="AE9" s="301">
        <f>AVERAGE(AD8:AD9)</f>
        <v>2.8577825612229229E-3</v>
      </c>
      <c r="AF9" s="301"/>
      <c r="AG9" s="295"/>
      <c r="AH9" s="299"/>
      <c r="AI9" s="295">
        <f t="shared" si="8"/>
        <v>2019</v>
      </c>
      <c r="AJ9" s="299">
        <f>'Normalized Annual Summary'!BL9</f>
        <v>25815.827469006294</v>
      </c>
      <c r="AK9" s="299">
        <f>SUMIF('Monthly Data'!$B:$B,AI9,'Monthly Data'!AE:AE)</f>
        <v>85</v>
      </c>
      <c r="AL9" s="300">
        <f t="shared" si="12"/>
        <v>3.2925537677244102E-3</v>
      </c>
      <c r="AM9" s="301">
        <f>AVERAGE(AL8:AL9)</f>
        <v>3.3033651560551891E-3</v>
      </c>
      <c r="AN9" s="301"/>
      <c r="AO9" s="295"/>
      <c r="AP9" s="299"/>
      <c r="AQ9" s="299"/>
    </row>
    <row r="10" spans="1:43" x14ac:dyDescent="0.25">
      <c r="A10" s="295"/>
      <c r="B10" s="295">
        <f t="shared" si="4"/>
        <v>2020</v>
      </c>
      <c r="C10" s="299">
        <f ca="1">'Normalized Annual Summary'!AE10</f>
        <v>310834182.69730043</v>
      </c>
      <c r="D10" s="299">
        <f t="shared" ca="1" si="0"/>
        <v>833291.87081898621</v>
      </c>
      <c r="E10" s="300">
        <f>'kW Forecast'!E10</f>
        <v>2.6808244305307652E-3</v>
      </c>
      <c r="F10" s="301">
        <f t="shared" si="9"/>
        <v>2.5566371214343318E-3</v>
      </c>
      <c r="G10" s="301"/>
      <c r="H10" s="301"/>
      <c r="J10" s="295">
        <f t="shared" si="5"/>
        <v>2020</v>
      </c>
      <c r="K10" s="299">
        <f>'Normalized Annual Summary'!AJ10</f>
        <v>70871831.87268728</v>
      </c>
      <c r="L10" s="299">
        <f>SUMIF('Monthly Data'!B:B,J10,'Monthly Data'!T:T)</f>
        <v>176691.623696</v>
      </c>
      <c r="M10" s="300">
        <f t="shared" si="1"/>
        <v>2.493114951697668E-3</v>
      </c>
      <c r="N10" s="301">
        <f t="shared" si="10"/>
        <v>2.454990342193313E-3</v>
      </c>
      <c r="O10" s="301"/>
      <c r="P10" s="301"/>
      <c r="S10" s="295">
        <f t="shared" si="6"/>
        <v>2020</v>
      </c>
      <c r="T10" s="299">
        <f>'Normalized Annual Summary'!AU10</f>
        <v>30798516</v>
      </c>
      <c r="U10" s="299">
        <f>SUMIF('Monthly Data'!B:B,S10,'Monthly Data'!Y:Y)</f>
        <v>72644.109871999986</v>
      </c>
      <c r="V10" s="300">
        <f t="shared" si="2"/>
        <v>2.3586886417514396E-3</v>
      </c>
      <c r="W10" s="301">
        <f t="shared" si="11"/>
        <v>2.1950034890094862E-3</v>
      </c>
      <c r="X10" s="301"/>
      <c r="Y10" s="301"/>
      <c r="AA10" s="295">
        <f t="shared" si="7"/>
        <v>2020</v>
      </c>
      <c r="AB10" s="299">
        <f>'Normalized Annual Summary'!BF10</f>
        <v>4357194.0000000009</v>
      </c>
      <c r="AC10" s="299">
        <f>SUMIF('Monthly Data'!$B:$B,AA10,'Monthly Data'!AB:AB)</f>
        <v>12275.883962655602</v>
      </c>
      <c r="AD10" s="300">
        <f t="shared" si="3"/>
        <v>2.8173829218197765E-3</v>
      </c>
      <c r="AE10" s="301">
        <f>AVERAGE(AD8,AD10)</f>
        <v>2.8431114286611996E-3</v>
      </c>
      <c r="AF10" s="301"/>
      <c r="AG10" s="295"/>
      <c r="AH10" s="299"/>
      <c r="AI10" s="295">
        <f t="shared" si="8"/>
        <v>2020</v>
      </c>
      <c r="AJ10" s="299">
        <f>'Normalized Annual Summary'!BL10</f>
        <v>26988.839999999997</v>
      </c>
      <c r="AK10" s="299">
        <f>SUMIF('Monthly Data'!$B:$B,AI10,'Monthly Data'!AE:AE)</f>
        <v>85</v>
      </c>
      <c r="AL10" s="300">
        <f t="shared" si="12"/>
        <v>3.1494499207820716E-3</v>
      </c>
      <c r="AM10" s="301">
        <f>AVERAGE(AL8,AL10)</f>
        <v>3.2318132325840198E-3</v>
      </c>
      <c r="AN10" s="301"/>
      <c r="AO10" s="295"/>
      <c r="AP10" s="299"/>
      <c r="AQ10" s="299"/>
    </row>
    <row r="11" spans="1:43" x14ac:dyDescent="0.25">
      <c r="A11" s="295"/>
      <c r="B11" s="295">
        <f t="shared" si="4"/>
        <v>2021</v>
      </c>
      <c r="C11" s="299">
        <f ca="1">'Normalized Annual Summary'!AE11</f>
        <v>313503496.58541137</v>
      </c>
      <c r="D11" s="299">
        <f t="shared" ca="1" si="0"/>
        <v>806387.73403011728</v>
      </c>
      <c r="E11" s="300">
        <f>'kW Forecast'!E11</f>
        <v>2.5721809894085944E-3</v>
      </c>
      <c r="F11" s="301">
        <f t="shared" si="9"/>
        <v>2.5619566588086684E-3</v>
      </c>
      <c r="G11" s="301"/>
      <c r="H11" s="301"/>
      <c r="J11" s="295">
        <f t="shared" si="5"/>
        <v>2021</v>
      </c>
      <c r="K11" s="299">
        <f>'Normalized Annual Summary'!AJ11</f>
        <v>70260671.590664953</v>
      </c>
      <c r="L11" s="299">
        <f>SUMIF('Monthly Data'!B:B,J11,'Monthly Data'!T:T)</f>
        <v>171434.78999999998</v>
      </c>
      <c r="M11" s="300">
        <f t="shared" si="1"/>
        <v>2.4399822278780682E-3</v>
      </c>
      <c r="N11" s="301">
        <f t="shared" si="10"/>
        <v>2.4426523960220541E-3</v>
      </c>
      <c r="O11" s="301"/>
      <c r="P11" s="301"/>
      <c r="S11" s="295">
        <f t="shared" si="6"/>
        <v>2021</v>
      </c>
      <c r="T11" s="299">
        <f>'Normalized Annual Summary'!AU11</f>
        <v>36146632</v>
      </c>
      <c r="U11" s="299">
        <f>SUMIF('Monthly Data'!B:B,S11,'Monthly Data'!Y:Y)</f>
        <v>73480.24000000002</v>
      </c>
      <c r="V11" s="300">
        <f t="shared" si="2"/>
        <v>2.0328378035331207E-3</v>
      </c>
      <c r="W11" s="301">
        <f t="shared" si="11"/>
        <v>2.2123137244779239E-3</v>
      </c>
      <c r="X11" s="301"/>
      <c r="Y11" s="301"/>
      <c r="AA11" s="295">
        <f t="shared" si="7"/>
        <v>2021</v>
      </c>
      <c r="AB11" s="299">
        <f>'Normalized Annual Summary'!BF11</f>
        <v>4352366.9999999981</v>
      </c>
      <c r="AC11" s="299">
        <f>SUMIF('Monthly Data'!$B:$B,AA11,'Monthly Data'!AB:AB)</f>
        <v>12332.013166046645</v>
      </c>
      <c r="AD11" s="300">
        <f t="shared" si="3"/>
        <v>2.8334037929353502E-3</v>
      </c>
      <c r="AE11" s="301">
        <f>AVERAGE(AD10:AD11)</f>
        <v>2.8253933573775631E-3</v>
      </c>
      <c r="AF11" s="301"/>
      <c r="AG11" s="295"/>
      <c r="AH11" s="299"/>
      <c r="AI11" s="295">
        <f t="shared" si="8"/>
        <v>2021</v>
      </c>
      <c r="AJ11" s="299">
        <f>'Normalized Annual Summary'!BL11</f>
        <v>26915.1</v>
      </c>
      <c r="AK11" s="299">
        <f>SUMIF('Monthly Data'!$B:$B,AI11,'Monthly Data'!AE:AE)</f>
        <v>81</v>
      </c>
      <c r="AL11" s="300">
        <f t="shared" si="12"/>
        <v>3.0094630894925154E-3</v>
      </c>
      <c r="AM11" s="301">
        <f>AVERAGE(AL10:AL11)</f>
        <v>3.0794565051372935E-3</v>
      </c>
      <c r="AN11" s="301"/>
      <c r="AO11" s="295"/>
      <c r="AP11" s="299"/>
      <c r="AQ11" s="299"/>
    </row>
    <row r="12" spans="1:43" x14ac:dyDescent="0.25">
      <c r="A12" s="295"/>
      <c r="B12" s="295">
        <f t="shared" si="4"/>
        <v>2022</v>
      </c>
      <c r="C12" s="299">
        <f ca="1">'Normalized Annual Summary'!AE12</f>
        <v>323207136.43672186</v>
      </c>
      <c r="D12" s="299">
        <f t="shared" ca="1" si="0"/>
        <v>780134.9828664806</v>
      </c>
      <c r="E12" s="300">
        <f>'kW Forecast'!E12</f>
        <v>2.4137306851181395E-3</v>
      </c>
      <c r="F12" s="301">
        <f t="shared" si="9"/>
        <v>2.5555787016858329E-3</v>
      </c>
      <c r="G12" s="301"/>
      <c r="H12" s="301"/>
      <c r="J12" s="295">
        <f t="shared" si="5"/>
        <v>2022</v>
      </c>
      <c r="K12" s="299">
        <f>'Normalized Annual Summary'!AJ12</f>
        <v>81816679.460561812</v>
      </c>
      <c r="L12" s="299">
        <f>SUMIF('Monthly Data'!B:B,J12,'Monthly Data'!T:T)</f>
        <v>179599.57558400001</v>
      </c>
      <c r="M12" s="300">
        <f t="shared" si="1"/>
        <v>2.1951462314059398E-3</v>
      </c>
      <c r="N12" s="301">
        <f t="shared" si="10"/>
        <v>2.3760811369938919E-3</v>
      </c>
      <c r="O12" s="301"/>
      <c r="P12" s="301"/>
      <c r="S12" s="295">
        <f t="shared" si="6"/>
        <v>2022</v>
      </c>
      <c r="T12" s="299">
        <f>'Normalized Annual Summary'!AU12</f>
        <v>33850160</v>
      </c>
      <c r="U12" s="299">
        <f>SUMIF('Monthly Data'!B:B,S12,'Monthly Data'!Y:Y)</f>
        <v>76262.768063999989</v>
      </c>
      <c r="V12" s="300">
        <f t="shared" si="2"/>
        <v>2.2529514798157522E-3</v>
      </c>
      <c r="W12" s="301">
        <f t="shared" si="11"/>
        <v>2.2148259750334378E-3</v>
      </c>
      <c r="X12" s="301"/>
      <c r="Y12" s="301"/>
      <c r="AA12" s="295">
        <f t="shared" si="7"/>
        <v>2022</v>
      </c>
      <c r="AB12" s="299">
        <f>'Normalized Annual Summary'!BF12</f>
        <v>4432743</v>
      </c>
      <c r="AC12" s="299">
        <f>SUMIF('Monthly Data'!$B:$B,AA12,'Monthly Data'!AB:AB)</f>
        <v>12587.068869294604</v>
      </c>
      <c r="AD12" s="300">
        <f t="shared" si="3"/>
        <v>2.8395665774656018E-3</v>
      </c>
      <c r="AE12" s="301">
        <f>AVERAGE(AD10,AD12)</f>
        <v>2.8284747496426892E-3</v>
      </c>
      <c r="AF12" s="301"/>
      <c r="AG12" s="295"/>
      <c r="AH12" s="299"/>
      <c r="AI12" s="295">
        <f t="shared" si="8"/>
        <v>2022</v>
      </c>
      <c r="AJ12" s="299">
        <f>'Normalized Annual Summary'!BL12</f>
        <v>26915.1</v>
      </c>
      <c r="AK12" s="299">
        <f>SUMIF('Monthly Data'!$B:$B,AI12,'Monthly Data'!AE:AE)</f>
        <v>79</v>
      </c>
      <c r="AL12" s="300">
        <f t="shared" si="12"/>
        <v>2.935155358887762E-3</v>
      </c>
      <c r="AM12" s="301">
        <f>AVERAGE(AL10,AL12)</f>
        <v>3.042302639834917E-3</v>
      </c>
      <c r="AN12" s="301"/>
      <c r="AO12" s="295"/>
      <c r="AP12" s="299"/>
      <c r="AQ12" s="299"/>
    </row>
    <row r="13" spans="1:43" x14ac:dyDescent="0.25">
      <c r="A13" s="295"/>
      <c r="B13" s="295">
        <f t="shared" si="4"/>
        <v>2023</v>
      </c>
      <c r="C13" s="299">
        <f ca="1">'Normalized Annual Summary'!AE13</f>
        <v>330846044.65305156</v>
      </c>
      <c r="D13" s="299">
        <f t="shared" ca="1" si="0"/>
        <v>857050.00699228211</v>
      </c>
      <c r="E13" s="300">
        <f>'kW Forecast'!E13</f>
        <v>2.5904798344832717E-3</v>
      </c>
      <c r="F13" s="301">
        <f t="shared" si="9"/>
        <v>2.5254638363366687E-3</v>
      </c>
      <c r="G13" s="301"/>
      <c r="H13" s="301"/>
      <c r="J13" s="295">
        <f t="shared" si="5"/>
        <v>2023</v>
      </c>
      <c r="K13" s="299">
        <f>'Normalized Annual Summary'!AJ13</f>
        <v>77073500.362002477</v>
      </c>
      <c r="L13" s="299">
        <f>SUMIF('Monthly Data'!B:B,J13,'Monthly Data'!T:T)</f>
        <v>179794.09288000004</v>
      </c>
      <c r="M13" s="300">
        <f t="shared" si="1"/>
        <v>2.3327614813851015E-3</v>
      </c>
      <c r="N13" s="301">
        <f t="shared" si="10"/>
        <v>2.3226299802230365E-3</v>
      </c>
      <c r="O13" s="301"/>
      <c r="P13" s="301"/>
      <c r="S13" s="295">
        <f t="shared" si="6"/>
        <v>2023</v>
      </c>
      <c r="T13" s="299">
        <f>'Normalized Annual Summary'!AU13</f>
        <v>33850160.000000007</v>
      </c>
      <c r="U13" s="299">
        <f>SUMIF('Monthly Data'!B:B,S13,'Monthly Data'!Y:Y)</f>
        <v>73164.14</v>
      </c>
      <c r="V13" s="300">
        <f t="shared" si="2"/>
        <v>2.1614119401503562E-3</v>
      </c>
      <c r="W13" s="301">
        <f t="shared" si="11"/>
        <v>2.1490670744997429E-3</v>
      </c>
      <c r="X13" s="301"/>
      <c r="Y13" s="301"/>
      <c r="AA13" s="295">
        <f t="shared" si="7"/>
        <v>2023</v>
      </c>
      <c r="AB13" s="299">
        <f>'Normalized Annual Summary'!BF13</f>
        <v>4495190.04</v>
      </c>
      <c r="AC13" s="299">
        <f>SUMIF('Monthly Data'!$B:$B,AA13,'Monthly Data'!AB:AB)</f>
        <v>12768.599999999999</v>
      </c>
      <c r="AD13" s="300">
        <f t="shared" si="3"/>
        <v>2.8405028233244615E-3</v>
      </c>
      <c r="AE13" s="301">
        <f>AVERAGE(AD12:AD13)</f>
        <v>2.8400347003950319E-3</v>
      </c>
      <c r="AF13" s="301"/>
      <c r="AG13" s="295"/>
      <c r="AH13" s="299"/>
      <c r="AI13" s="295">
        <f t="shared" si="8"/>
        <v>2023</v>
      </c>
      <c r="AJ13" s="299">
        <f>'Normalized Annual Summary'!BL13</f>
        <v>26915.1</v>
      </c>
      <c r="AK13" s="299">
        <f>SUMIF('Monthly Data'!$B:$B,AI13,'Monthly Data'!AE:AE)</f>
        <v>77</v>
      </c>
      <c r="AL13" s="300">
        <f t="shared" si="12"/>
        <v>2.8608476282830086E-3</v>
      </c>
      <c r="AM13" s="301">
        <f>AVERAGE(AL12:AL13)</f>
        <v>2.8980014935853851E-3</v>
      </c>
      <c r="AN13" s="301"/>
      <c r="AO13" s="295"/>
      <c r="AP13" s="299"/>
      <c r="AQ13" s="299"/>
    </row>
    <row r="14" spans="1:43" x14ac:dyDescent="0.25">
      <c r="A14" s="295"/>
      <c r="B14" s="295">
        <f t="shared" si="4"/>
        <v>2024</v>
      </c>
      <c r="C14" s="299">
        <f ca="1">'Normalized Annual Summary'!AE14</f>
        <v>330372183.0580917</v>
      </c>
      <c r="D14" s="299">
        <f t="shared" ca="1" si="0"/>
        <v>861124.96527729114</v>
      </c>
      <c r="E14" s="300">
        <f>'kW Forecast'!E14</f>
        <v>2.6065298758094092E-3</v>
      </c>
      <c r="F14" s="301">
        <f t="shared" si="9"/>
        <v>2.5369134651369398E-3</v>
      </c>
      <c r="G14" s="301"/>
      <c r="H14" s="301"/>
      <c r="J14" s="295">
        <f t="shared" si="5"/>
        <v>2024</v>
      </c>
      <c r="K14" s="299">
        <f>'Normalized Annual Summary'!AJ14</f>
        <v>81507757</v>
      </c>
      <c r="L14" s="299">
        <f>SUMIF('Monthly Data'!B:B,J14,'Monthly Data'!T:T)</f>
        <v>184986.86000000002</v>
      </c>
      <c r="M14" s="300">
        <f t="shared" si="1"/>
        <v>2.2695614111918208E-3</v>
      </c>
      <c r="N14" s="301">
        <f t="shared" si="10"/>
        <v>2.2658230413276207E-3</v>
      </c>
      <c r="O14" s="301"/>
      <c r="P14" s="301"/>
      <c r="S14" s="295">
        <f t="shared" si="6"/>
        <v>2024</v>
      </c>
      <c r="T14" s="299">
        <f>'Normalized Annual Summary'!AU14</f>
        <v>39718186</v>
      </c>
      <c r="U14" s="299">
        <f>SUMIF('Monthly Data'!B:B,S14,'Monthly Data'!Y:Y)</f>
        <v>82740.489216000002</v>
      </c>
      <c r="V14" s="300">
        <f t="shared" si="2"/>
        <v>2.0831890262057789E-3</v>
      </c>
      <c r="W14" s="301">
        <f t="shared" si="11"/>
        <v>2.1658508153906291E-3</v>
      </c>
      <c r="X14" s="301"/>
      <c r="Y14" s="301"/>
      <c r="AA14" s="295">
        <f t="shared" si="7"/>
        <v>2024</v>
      </c>
      <c r="AB14" s="299">
        <f>'Normalized Annual Summary'!BF14</f>
        <v>4596499.4919100879</v>
      </c>
      <c r="AC14" s="299">
        <f>SUMIF('Monthly Data'!$B:$B,AA14,'Monthly Data'!AB:AB)</f>
        <v>12816.800000000003</v>
      </c>
      <c r="AD14" s="300">
        <f t="shared" si="3"/>
        <v>2.7883827731424258E-3</v>
      </c>
      <c r="AE14" s="301">
        <f>AVERAGE(AD13:AD14)</f>
        <v>2.8144427982334437E-3</v>
      </c>
      <c r="AF14" s="301"/>
      <c r="AG14" s="295"/>
      <c r="AH14" s="299"/>
      <c r="AI14" s="295">
        <f t="shared" si="8"/>
        <v>2024</v>
      </c>
      <c r="AJ14" s="299">
        <f>'Normalized Annual Summary'!BL14</f>
        <v>26323.559999999998</v>
      </c>
      <c r="AK14" s="299">
        <f>SUMIF('Monthly Data'!$B:$B,AI14,'Monthly Data'!AE:AE)</f>
        <v>75</v>
      </c>
      <c r="AL14" s="300">
        <f t="shared" si="12"/>
        <v>2.8491587004189404E-3</v>
      </c>
      <c r="AM14" s="301">
        <f>AVERAGE(AL12,AL14)</f>
        <v>2.8921570296533512E-3</v>
      </c>
      <c r="AN14" s="301"/>
      <c r="AO14" s="295"/>
      <c r="AP14" s="299"/>
      <c r="AQ14" s="299"/>
    </row>
    <row r="15" spans="1:43" x14ac:dyDescent="0.25">
      <c r="J15" s="295"/>
      <c r="K15" s="240"/>
      <c r="L15" s="240"/>
      <c r="M15" s="300"/>
      <c r="N15" s="301"/>
      <c r="O15" s="301"/>
      <c r="P15" s="301"/>
      <c r="S15" s="295"/>
      <c r="T15" s="240"/>
      <c r="U15" s="240"/>
      <c r="V15" s="300"/>
      <c r="W15" s="301"/>
      <c r="X15" s="301"/>
      <c r="Y15" s="301"/>
      <c r="AI15" s="295"/>
      <c r="AJ15" s="299"/>
      <c r="AK15" s="299"/>
      <c r="AL15" s="300"/>
      <c r="AM15" s="301"/>
      <c r="AN15" s="301"/>
      <c r="AO15" s="295"/>
      <c r="AP15" s="299"/>
      <c r="AQ15" s="299"/>
    </row>
    <row r="16" spans="1:43" x14ac:dyDescent="0.25">
      <c r="B16" s="295"/>
      <c r="C16" s="295" t="s">
        <v>448</v>
      </c>
      <c r="D16" s="302" t="s">
        <v>449</v>
      </c>
      <c r="E16" s="1" t="s">
        <v>450</v>
      </c>
      <c r="F16" s="1" t="s">
        <v>464</v>
      </c>
      <c r="G16" s="1" t="s">
        <v>426</v>
      </c>
      <c r="H16" s="1" t="s">
        <v>452</v>
      </c>
      <c r="J16" s="295"/>
      <c r="K16" s="295" t="s">
        <v>448</v>
      </c>
      <c r="L16" s="302" t="s">
        <v>449</v>
      </c>
      <c r="M16" s="1" t="s">
        <v>450</v>
      </c>
      <c r="N16" s="1" t="s">
        <v>451</v>
      </c>
      <c r="O16" s="1" t="s">
        <v>429</v>
      </c>
      <c r="P16" s="1" t="s">
        <v>452</v>
      </c>
      <c r="S16" s="295"/>
      <c r="T16" s="295" t="s">
        <v>448</v>
      </c>
      <c r="U16" s="302" t="s">
        <v>449</v>
      </c>
      <c r="V16" s="1" t="s">
        <v>450</v>
      </c>
      <c r="W16" s="1" t="s">
        <v>451</v>
      </c>
      <c r="X16" s="1" t="s">
        <v>429</v>
      </c>
      <c r="Y16" s="1" t="s">
        <v>452</v>
      </c>
      <c r="AA16" s="295"/>
      <c r="AB16" s="295" t="s">
        <v>448</v>
      </c>
      <c r="AC16" s="302" t="s">
        <v>449</v>
      </c>
      <c r="AD16" s="1" t="s">
        <v>450</v>
      </c>
      <c r="AE16" s="1" t="s">
        <v>453</v>
      </c>
      <c r="AG16" s="295"/>
      <c r="AH16" s="295"/>
      <c r="AI16" s="295"/>
      <c r="AJ16" s="295" t="s">
        <v>448</v>
      </c>
      <c r="AK16" s="302" t="s">
        <v>449</v>
      </c>
      <c r="AL16" s="1" t="s">
        <v>450</v>
      </c>
      <c r="AM16" s="1" t="s">
        <v>453</v>
      </c>
      <c r="AO16" s="295"/>
      <c r="AP16" s="295"/>
      <c r="AQ16" s="300"/>
    </row>
    <row r="17" spans="1:43" x14ac:dyDescent="0.25">
      <c r="B17" s="13"/>
      <c r="C17" s="13" t="s">
        <v>314</v>
      </c>
      <c r="D17" s="14" t="s">
        <v>454</v>
      </c>
      <c r="E17" s="15" t="s">
        <v>318</v>
      </c>
      <c r="F17" s="15" t="s">
        <v>434</v>
      </c>
      <c r="G17" s="15"/>
      <c r="H17" s="15"/>
      <c r="J17" s="13"/>
      <c r="K17" s="13" t="s">
        <v>314</v>
      </c>
      <c r="L17" s="14" t="s">
        <v>454</v>
      </c>
      <c r="M17" s="15" t="s">
        <v>318</v>
      </c>
      <c r="N17" s="303" t="s">
        <v>434</v>
      </c>
      <c r="O17" s="303" t="s">
        <v>455</v>
      </c>
      <c r="P17" s="303" t="s">
        <v>456</v>
      </c>
      <c r="S17" s="13"/>
      <c r="T17" s="13" t="s">
        <v>314</v>
      </c>
      <c r="U17" s="14" t="s">
        <v>454</v>
      </c>
      <c r="V17" s="15" t="s">
        <v>318</v>
      </c>
      <c r="W17" s="303" t="s">
        <v>434</v>
      </c>
      <c r="X17" s="303" t="s">
        <v>455</v>
      </c>
      <c r="Y17" s="303" t="s">
        <v>456</v>
      </c>
      <c r="AA17" s="13"/>
      <c r="AB17" s="13" t="s">
        <v>314</v>
      </c>
      <c r="AC17" s="14" t="s">
        <v>457</v>
      </c>
      <c r="AD17" s="15" t="s">
        <v>318</v>
      </c>
      <c r="AE17" s="1" t="s">
        <v>434</v>
      </c>
      <c r="AG17" s="13"/>
      <c r="AH17" s="13"/>
      <c r="AI17" s="13"/>
      <c r="AJ17" s="13" t="s">
        <v>314</v>
      </c>
      <c r="AK17" s="14" t="s">
        <v>457</v>
      </c>
      <c r="AL17" s="15" t="s">
        <v>318</v>
      </c>
      <c r="AM17" s="303" t="s">
        <v>434</v>
      </c>
      <c r="AO17" s="13"/>
      <c r="AP17" s="13"/>
      <c r="AQ17" s="14"/>
    </row>
    <row r="18" spans="1:43" x14ac:dyDescent="0.25">
      <c r="B18" s="10">
        <v>2015</v>
      </c>
      <c r="C18" s="11">
        <f ca="1">'Normalized Annual Summary'!AE5</f>
        <v>330581700.19327295</v>
      </c>
      <c r="D18" s="16">
        <f t="shared" ref="D18:D29" ca="1" si="13">C18*E18</f>
        <v>836376.99983428977</v>
      </c>
      <c r="E18" s="26">
        <f>AVERAGE(E5:E14)</f>
        <v>2.5300160273400074E-3</v>
      </c>
      <c r="F18" s="137">
        <f t="shared" ref="F18:F29" si="14">TREND($E$5:$E$14,$B$5:$B$14,B18)</f>
        <v>2.4886343233618616E-3</v>
      </c>
      <c r="G18" s="27"/>
      <c r="H18" s="135">
        <f t="shared" ref="H18:H26" ca="1" si="15">D18+G18</f>
        <v>836376.99983428977</v>
      </c>
      <c r="J18" s="10">
        <v>2015</v>
      </c>
      <c r="K18" s="11">
        <f ca="1">'Normalized Annual Summary'!AR5</f>
        <v>82763929.271368042</v>
      </c>
      <c r="L18" s="16">
        <f t="shared" ref="L18:L25" ca="1" si="16">K18*M18</f>
        <v>196154.57314042503</v>
      </c>
      <c r="M18" s="26">
        <f>AVERAGE(M5:M14)</f>
        <v>2.3700490644574094E-3</v>
      </c>
      <c r="N18" s="137">
        <f t="shared" ref="N18:N25" si="17">TREND($M$5:$M$14,$J$5:$J$14,J18)</f>
        <v>2.424158289199032E-3</v>
      </c>
      <c r="O18" s="27"/>
      <c r="P18" s="135">
        <f t="shared" ref="P18:P25" ca="1" si="18">L18+O18</f>
        <v>196154.57314042503</v>
      </c>
      <c r="S18" s="10">
        <v>2015</v>
      </c>
      <c r="T18" s="11">
        <f ca="1">'Normalized Annual Summary'!BA5</f>
        <v>39273931.115661256</v>
      </c>
      <c r="U18" s="16">
        <f t="shared" ref="U18:U25" ca="1" si="19">T18*V18</f>
        <v>87372.349989339476</v>
      </c>
      <c r="V18" s="26">
        <f>AVERAGE(V5:V14)</f>
        <v>2.2246907174132621E-3</v>
      </c>
      <c r="W18" s="137">
        <f t="shared" ref="W18:W25" si="20">TREND($V$5:$V$14,$S$5:$S$14,S18)</f>
        <v>2.3383453254341227E-3</v>
      </c>
      <c r="X18" s="136"/>
      <c r="Y18" s="135">
        <f t="shared" ref="Y18:Y25" ca="1" si="21">U18+X18</f>
        <v>87372.349989339476</v>
      </c>
      <c r="AA18" s="10">
        <v>2015</v>
      </c>
      <c r="AB18" s="11">
        <f>'Normalized Annual Summary'!BI5</f>
        <v>9200437</v>
      </c>
      <c r="AC18" s="16">
        <f t="shared" ref="AC18:AC29" si="22">AB18*AD18</f>
        <v>26029.015742987063</v>
      </c>
      <c r="AD18" s="26">
        <f>AVERAGE(AD5:AD14)</f>
        <v>2.8291064590722226E-3</v>
      </c>
      <c r="AE18" s="17">
        <f t="shared" ref="AE18:AE29" si="23">TREND($AE$7:$AE$14,$AA$7:$AA$14,AA18)</f>
        <v>2.85177204169641E-3</v>
      </c>
      <c r="AG18" s="13"/>
      <c r="AH18" s="13"/>
      <c r="AI18" s="10">
        <v>2015</v>
      </c>
      <c r="AJ18" s="11">
        <f>'Normalized Annual Summary'!BO5</f>
        <v>27388.346366584021</v>
      </c>
      <c r="AK18" s="16">
        <f t="shared" ref="AK18:AK25" si="24">AJ18*AL18</f>
        <v>86.755510293508848</v>
      </c>
      <c r="AL18" s="26">
        <f>AVERAGE(AL5:AL14)</f>
        <v>3.1676067306990658E-3</v>
      </c>
      <c r="AM18" s="17">
        <f t="shared" ref="AM18:AM25" si="25">TREND($AM$7:$AM$14,$AI$7:$AI$14,AI18)</f>
        <v>3.6176154517819081E-3</v>
      </c>
    </row>
    <row r="19" spans="1:43" x14ac:dyDescent="0.25">
      <c r="B19" s="10">
        <v>2016</v>
      </c>
      <c r="C19" s="11">
        <f ca="1">'Normalized Annual Summary'!AE6</f>
        <v>331234560.70928603</v>
      </c>
      <c r="D19" s="16">
        <f t="shared" ca="1" si="13"/>
        <v>838028.74740342039</v>
      </c>
      <c r="E19" s="26">
        <f t="shared" ref="E19:E26" si="26">E18</f>
        <v>2.5300160273400074E-3</v>
      </c>
      <c r="F19" s="137">
        <f t="shared" si="14"/>
        <v>2.4978302575792283E-3</v>
      </c>
      <c r="G19" s="27"/>
      <c r="H19" s="135">
        <f t="shared" ca="1" si="15"/>
        <v>838028.74740342039</v>
      </c>
      <c r="J19" s="10">
        <v>2016</v>
      </c>
      <c r="K19" s="11">
        <f ca="1">'Normalized Annual Summary'!AR6</f>
        <v>80129039.512099355</v>
      </c>
      <c r="L19" s="16">
        <f t="shared" ca="1" si="16"/>
        <v>189909.75513152187</v>
      </c>
      <c r="M19" s="26">
        <f t="shared" ref="M19:M26" si="27">M18</f>
        <v>2.3700490644574094E-3</v>
      </c>
      <c r="N19" s="137">
        <f t="shared" si="17"/>
        <v>2.412134017034228E-3</v>
      </c>
      <c r="O19" s="136"/>
      <c r="P19" s="135">
        <f t="shared" ca="1" si="18"/>
        <v>189909.75513152187</v>
      </c>
      <c r="S19" s="10">
        <v>2016</v>
      </c>
      <c r="T19" s="11">
        <f ca="1">'Normalized Annual Summary'!BA6</f>
        <v>39271689.680394858</v>
      </c>
      <c r="U19" s="16">
        <f t="shared" ca="1" si="19"/>
        <v>87367.36348910864</v>
      </c>
      <c r="V19" s="26">
        <f t="shared" ref="V19:V26" si="28">V18</f>
        <v>2.2246907174132621E-3</v>
      </c>
      <c r="W19" s="137">
        <f t="shared" si="20"/>
        <v>2.3130887458739369E-3</v>
      </c>
      <c r="X19" s="136"/>
      <c r="Y19" s="135">
        <f t="shared" ca="1" si="21"/>
        <v>87367.36348910864</v>
      </c>
      <c r="AA19" s="10">
        <v>2016</v>
      </c>
      <c r="AB19" s="11">
        <f>'Normalized Annual Summary'!BI6</f>
        <v>9395991</v>
      </c>
      <c r="AC19" s="16">
        <f t="shared" si="22"/>
        <v>26582.258827484471</v>
      </c>
      <c r="AD19" s="26">
        <f t="shared" ref="AD19:AD26" si="29">AD18</f>
        <v>2.8291064590722226E-3</v>
      </c>
      <c r="AE19" s="17">
        <f t="shared" si="23"/>
        <v>2.8488455631757083E-3</v>
      </c>
      <c r="AG19" s="13"/>
      <c r="AH19" s="13"/>
      <c r="AI19" s="10">
        <v>2016</v>
      </c>
      <c r="AJ19" s="11">
        <f>'Normalized Annual Summary'!BO6</f>
        <v>25737.974442113293</v>
      </c>
      <c r="AK19" s="16">
        <f t="shared" si="24"/>
        <v>81.5277810773986</v>
      </c>
      <c r="AL19" s="26">
        <f t="shared" ref="AL19:AL26" si="30">AL18</f>
        <v>3.1676067306990658E-3</v>
      </c>
      <c r="AM19" s="17">
        <f t="shared" si="25"/>
        <v>3.5333283579780106E-3</v>
      </c>
    </row>
    <row r="20" spans="1:43" x14ac:dyDescent="0.25">
      <c r="B20" s="10">
        <v>2017</v>
      </c>
      <c r="C20" s="11">
        <f ca="1">'Normalized Annual Summary'!AE7</f>
        <v>329654776.47097468</v>
      </c>
      <c r="D20" s="16">
        <f t="shared" ca="1" si="13"/>
        <v>834031.8679607535</v>
      </c>
      <c r="E20" s="26">
        <f t="shared" si="26"/>
        <v>2.5300160273400074E-3</v>
      </c>
      <c r="F20" s="137">
        <f t="shared" si="14"/>
        <v>2.507026191796595E-3</v>
      </c>
      <c r="G20" s="27"/>
      <c r="H20" s="135">
        <f t="shared" ca="1" si="15"/>
        <v>834031.8679607535</v>
      </c>
      <c r="J20" s="10">
        <v>2017</v>
      </c>
      <c r="K20" s="11">
        <f ca="1">'Normalized Annual Summary'!AR7</f>
        <v>79477718.138554513</v>
      </c>
      <c r="L20" s="16">
        <f t="shared" ca="1" si="16"/>
        <v>188366.09151949082</v>
      </c>
      <c r="M20" s="26">
        <f t="shared" si="27"/>
        <v>2.3700490644574094E-3</v>
      </c>
      <c r="N20" s="137">
        <f t="shared" si="17"/>
        <v>2.400109744869424E-3</v>
      </c>
      <c r="O20" s="27"/>
      <c r="P20" s="135">
        <f t="shared" ca="1" si="18"/>
        <v>188366.09151949082</v>
      </c>
      <c r="S20" s="10">
        <v>2017</v>
      </c>
      <c r="T20" s="11">
        <f ca="1">'Normalized Annual Summary'!BA7</f>
        <v>39177297.611567885</v>
      </c>
      <c r="U20" s="16">
        <f t="shared" ca="1" si="19"/>
        <v>87157.37032979184</v>
      </c>
      <c r="V20" s="26">
        <f t="shared" si="28"/>
        <v>2.2246907174132621E-3</v>
      </c>
      <c r="W20" s="137">
        <f t="shared" si="20"/>
        <v>2.2878321663137441E-3</v>
      </c>
      <c r="X20" s="27"/>
      <c r="Y20" s="135">
        <f t="shared" ca="1" si="21"/>
        <v>87157.37032979184</v>
      </c>
      <c r="AA20" s="10">
        <v>2017</v>
      </c>
      <c r="AB20" s="11">
        <f>'Normalized Annual Summary'!BI7</f>
        <v>4988073.9999999991</v>
      </c>
      <c r="AC20" s="16">
        <f t="shared" si="22"/>
        <v>14111.792371730215</v>
      </c>
      <c r="AD20" s="26">
        <f t="shared" si="29"/>
        <v>2.8291064590722226E-3</v>
      </c>
      <c r="AE20" s="17">
        <f t="shared" si="23"/>
        <v>2.8459190846550067E-3</v>
      </c>
      <c r="AG20" s="13"/>
      <c r="AH20" s="13"/>
      <c r="AI20" s="10">
        <v>2017</v>
      </c>
      <c r="AJ20" s="11">
        <f>'Normalized Annual Summary'!BO7</f>
        <v>25667.652107572001</v>
      </c>
      <c r="AK20" s="16">
        <f t="shared" si="24"/>
        <v>81.305027577187133</v>
      </c>
      <c r="AL20" s="26">
        <f t="shared" si="30"/>
        <v>3.1676067306990658E-3</v>
      </c>
      <c r="AM20" s="17">
        <f t="shared" si="25"/>
        <v>3.4490412641741131E-3</v>
      </c>
    </row>
    <row r="21" spans="1:43" x14ac:dyDescent="0.25">
      <c r="B21" s="10">
        <v>2018</v>
      </c>
      <c r="C21" s="11">
        <f ca="1">'Normalized Annual Summary'!AE8</f>
        <v>329406592.14083856</v>
      </c>
      <c r="D21" s="16">
        <f ca="1">C21*E21</f>
        <v>833403.95762777445</v>
      </c>
      <c r="E21" s="26">
        <f t="shared" si="26"/>
        <v>2.5300160273400074E-3</v>
      </c>
      <c r="F21" s="137">
        <f t="shared" si="14"/>
        <v>2.5162221260139582E-3</v>
      </c>
      <c r="G21" s="27"/>
      <c r="H21" s="135">
        <f t="shared" ca="1" si="15"/>
        <v>833403.95762777445</v>
      </c>
      <c r="J21" s="10">
        <v>2018</v>
      </c>
      <c r="K21" s="11">
        <f ca="1">'Normalized Annual Summary'!AR8</f>
        <v>80553555.646208495</v>
      </c>
      <c r="L21" s="16">
        <f t="shared" ca="1" si="16"/>
        <v>190915.8791980143</v>
      </c>
      <c r="M21" s="26">
        <f t="shared" si="27"/>
        <v>2.3700490644574094E-3</v>
      </c>
      <c r="N21" s="137">
        <f t="shared" si="17"/>
        <v>2.3880854727046166E-3</v>
      </c>
      <c r="O21" s="136"/>
      <c r="P21" s="135">
        <f t="shared" ca="1" si="18"/>
        <v>190915.8791980143</v>
      </c>
      <c r="S21" s="10">
        <v>2018</v>
      </c>
      <c r="T21" s="11">
        <f ca="1">'Normalized Annual Summary'!BA8</f>
        <v>39050939.185597748</v>
      </c>
      <c r="U21" s="16">
        <f t="shared" ca="1" si="19"/>
        <v>86876.261912469126</v>
      </c>
      <c r="V21" s="26">
        <f t="shared" si="28"/>
        <v>2.2246907174132621E-3</v>
      </c>
      <c r="W21" s="137">
        <f t="shared" si="20"/>
        <v>2.2625755867535513E-3</v>
      </c>
      <c r="X21" s="136"/>
      <c r="Y21" s="135">
        <f t="shared" ca="1" si="21"/>
        <v>86876.261912469126</v>
      </c>
      <c r="AA21" s="10">
        <v>2018</v>
      </c>
      <c r="AB21" s="11">
        <f>'Normalized Annual Summary'!BI8</f>
        <v>4221567</v>
      </c>
      <c r="AC21" s="16">
        <f t="shared" si="22"/>
        <v>11943.262467106146</v>
      </c>
      <c r="AD21" s="26">
        <f t="shared" si="29"/>
        <v>2.8291064590722226E-3</v>
      </c>
      <c r="AE21" s="17">
        <f t="shared" si="23"/>
        <v>2.8429926061343041E-3</v>
      </c>
      <c r="AG21" s="13"/>
      <c r="AH21" s="13"/>
      <c r="AI21" s="10">
        <v>2018</v>
      </c>
      <c r="AJ21" s="11">
        <f>'Normalized Annual Summary'!BO8</f>
        <v>25647.396528704936</v>
      </c>
      <c r="AK21" s="16">
        <f t="shared" si="24"/>
        <v>81.240865869233616</v>
      </c>
      <c r="AL21" s="26">
        <f t="shared" si="30"/>
        <v>3.1676067306990658E-3</v>
      </c>
      <c r="AM21" s="17">
        <f t="shared" si="25"/>
        <v>3.3647541703702433E-3</v>
      </c>
    </row>
    <row r="22" spans="1:43" x14ac:dyDescent="0.25">
      <c r="B22" s="10">
        <v>2019</v>
      </c>
      <c r="C22" s="11">
        <f ca="1">'Normalized Annual Summary'!AE9</f>
        <v>330344957.53348422</v>
      </c>
      <c r="D22" s="16">
        <f t="shared" ca="1" si="13"/>
        <v>835778.03711066919</v>
      </c>
      <c r="E22" s="26">
        <f t="shared" si="26"/>
        <v>2.5300160273400074E-3</v>
      </c>
      <c r="F22" s="137">
        <f t="shared" si="14"/>
        <v>2.5254180602313249E-3</v>
      </c>
      <c r="G22" s="27"/>
      <c r="H22" s="135">
        <f t="shared" ca="1" si="15"/>
        <v>835778.03711066919</v>
      </c>
      <c r="J22" s="10">
        <v>2019</v>
      </c>
      <c r="K22" s="11">
        <f ca="1">'Normalized Annual Summary'!AR9</f>
        <v>80570448.041938782</v>
      </c>
      <c r="L22" s="16">
        <f t="shared" ca="1" si="16"/>
        <v>190955.91500471134</v>
      </c>
      <c r="M22" s="26">
        <f t="shared" si="27"/>
        <v>2.3700490644574094E-3</v>
      </c>
      <c r="N22" s="137">
        <f t="shared" si="17"/>
        <v>2.3760612005398127E-3</v>
      </c>
      <c r="O22" s="27"/>
      <c r="P22" s="135">
        <f t="shared" ca="1" si="18"/>
        <v>190955.91500471134</v>
      </c>
      <c r="S22" s="10">
        <v>2019</v>
      </c>
      <c r="T22" s="11">
        <f ca="1">'Normalized Annual Summary'!BA9</f>
        <v>38948965.039660946</v>
      </c>
      <c r="U22" s="16">
        <f t="shared" ca="1" si="19"/>
        <v>86649.400976587378</v>
      </c>
      <c r="V22" s="26">
        <f t="shared" si="28"/>
        <v>2.2246907174132621E-3</v>
      </c>
      <c r="W22" s="137">
        <f t="shared" si="20"/>
        <v>2.2373190071933585E-3</v>
      </c>
      <c r="X22" s="136"/>
      <c r="Y22" s="135">
        <f t="shared" ca="1" si="21"/>
        <v>86649.400976587378</v>
      </c>
      <c r="AA22" s="10">
        <v>2019</v>
      </c>
      <c r="AB22" s="11">
        <f>'Normalized Annual Summary'!BI9</f>
        <v>4294351.9999999991</v>
      </c>
      <c r="AC22" s="16">
        <f t="shared" si="22"/>
        <v>12149.178980729714</v>
      </c>
      <c r="AD22" s="26">
        <f t="shared" si="29"/>
        <v>2.8291064590722226E-3</v>
      </c>
      <c r="AE22" s="17">
        <f t="shared" si="23"/>
        <v>2.8400661276136024E-3</v>
      </c>
      <c r="AG22" s="10"/>
      <c r="AH22" s="11"/>
      <c r="AI22" s="10">
        <v>2019</v>
      </c>
      <c r="AJ22" s="11">
        <f>'Normalized Annual Summary'!BO9</f>
        <v>25815.827469006294</v>
      </c>
      <c r="AK22" s="16">
        <f t="shared" si="24"/>
        <v>81.774388849390164</v>
      </c>
      <c r="AL22" s="26">
        <f t="shared" si="30"/>
        <v>3.1676067306990658E-3</v>
      </c>
      <c r="AM22" s="17">
        <f t="shared" si="25"/>
        <v>3.2804670765663457E-3</v>
      </c>
    </row>
    <row r="23" spans="1:43" x14ac:dyDescent="0.25">
      <c r="B23" s="10">
        <v>2020</v>
      </c>
      <c r="C23" s="11">
        <f ca="1">'Normalized Annual Summary'!AE10</f>
        <v>310834182.69730043</v>
      </c>
      <c r="D23" s="16">
        <f t="shared" ca="1" si="13"/>
        <v>786415.46406930208</v>
      </c>
      <c r="E23" s="26">
        <f t="shared" si="26"/>
        <v>2.5300160273400074E-3</v>
      </c>
      <c r="F23" s="137">
        <f t="shared" si="14"/>
        <v>2.5346139944486881E-3</v>
      </c>
      <c r="G23" s="27"/>
      <c r="H23" s="135">
        <f t="shared" ca="1" si="15"/>
        <v>786415.46406930208</v>
      </c>
      <c r="J23" s="10">
        <v>2020</v>
      </c>
      <c r="K23" s="11">
        <f ca="1">'Normalized Annual Summary'!AR10</f>
        <v>70906898.795949608</v>
      </c>
      <c r="L23" s="16">
        <f t="shared" ca="1" si="16"/>
        <v>168052.82915491657</v>
      </c>
      <c r="M23" s="26">
        <f t="shared" si="27"/>
        <v>2.3700490644574094E-3</v>
      </c>
      <c r="N23" s="137">
        <f t="shared" si="17"/>
        <v>2.3640369283750087E-3</v>
      </c>
      <c r="O23" s="136"/>
      <c r="P23" s="135">
        <f t="shared" ca="1" si="18"/>
        <v>168052.82915491657</v>
      </c>
      <c r="S23" s="10">
        <v>2020</v>
      </c>
      <c r="T23" s="11">
        <f ca="1">'Normalized Annual Summary'!BA10</f>
        <v>34713907.37866617</v>
      </c>
      <c r="U23" s="16">
        <f t="shared" ca="1" si="19"/>
        <v>77227.70751046238</v>
      </c>
      <c r="V23" s="26">
        <f t="shared" si="28"/>
        <v>2.2246907174132621E-3</v>
      </c>
      <c r="W23" s="137">
        <f t="shared" si="20"/>
        <v>2.2120624276331657E-3</v>
      </c>
      <c r="X23" s="27"/>
      <c r="Y23" s="135">
        <f t="shared" ca="1" si="21"/>
        <v>77227.70751046238</v>
      </c>
      <c r="AA23" s="10">
        <v>2020</v>
      </c>
      <c r="AB23" s="11">
        <f>'Normalized Annual Summary'!BI10</f>
        <v>4357194.0000000009</v>
      </c>
      <c r="AC23" s="16">
        <f t="shared" si="22"/>
        <v>12326.965688830736</v>
      </c>
      <c r="AD23" s="26">
        <f t="shared" si="29"/>
        <v>2.8291064590722226E-3</v>
      </c>
      <c r="AE23" s="17">
        <f t="shared" si="23"/>
        <v>2.8371396490928999E-3</v>
      </c>
      <c r="AG23" s="10"/>
      <c r="AH23" s="11"/>
      <c r="AI23" s="10">
        <v>2020</v>
      </c>
      <c r="AJ23" s="11">
        <f>'Normalized Annual Summary'!BO10</f>
        <v>26988.839999999997</v>
      </c>
      <c r="AK23" s="16">
        <f t="shared" si="24"/>
        <v>85.490031237760164</v>
      </c>
      <c r="AL23" s="26">
        <f t="shared" si="30"/>
        <v>3.1676067306990658E-3</v>
      </c>
      <c r="AM23" s="17">
        <f t="shared" si="25"/>
        <v>3.1961799827624482E-3</v>
      </c>
    </row>
    <row r="24" spans="1:43" x14ac:dyDescent="0.25">
      <c r="B24" s="10">
        <v>2021</v>
      </c>
      <c r="C24" s="11">
        <f ca="1">'Normalized Annual Summary'!AE11</f>
        <v>313503496.58541137</v>
      </c>
      <c r="D24" s="16">
        <f t="shared" ca="1" si="13"/>
        <v>793168.87098822405</v>
      </c>
      <c r="E24" s="26">
        <f t="shared" si="26"/>
        <v>2.5300160273400074E-3</v>
      </c>
      <c r="F24" s="137">
        <f t="shared" si="14"/>
        <v>2.5438099286660548E-3</v>
      </c>
      <c r="G24" s="27"/>
      <c r="H24" s="135">
        <f t="shared" ca="1" si="15"/>
        <v>793168.87098822405</v>
      </c>
      <c r="J24" s="10">
        <v>2021</v>
      </c>
      <c r="K24" s="11">
        <f ca="1">'Normalized Annual Summary'!AR11</f>
        <v>71410272.649126142</v>
      </c>
      <c r="L24" s="16">
        <f t="shared" ca="1" si="16"/>
        <v>169245.84988470995</v>
      </c>
      <c r="M24" s="26">
        <f t="shared" si="27"/>
        <v>2.3700490644574094E-3</v>
      </c>
      <c r="N24" s="137">
        <f t="shared" si="17"/>
        <v>2.3520126562102048E-3</v>
      </c>
      <c r="O24" s="27"/>
      <c r="P24" s="135">
        <f t="shared" ca="1" si="18"/>
        <v>169245.84988470995</v>
      </c>
      <c r="S24" s="10">
        <v>2021</v>
      </c>
      <c r="T24" s="11">
        <f ca="1">'Normalized Annual Summary'!BA11</f>
        <v>34969257.707107</v>
      </c>
      <c r="U24" s="16">
        <f t="shared" ca="1" si="19"/>
        <v>77795.78301583312</v>
      </c>
      <c r="V24" s="26">
        <f t="shared" si="28"/>
        <v>2.2246907174132621E-3</v>
      </c>
      <c r="W24" s="137">
        <f t="shared" si="20"/>
        <v>2.186805848072973E-3</v>
      </c>
      <c r="X24" s="136"/>
      <c r="Y24" s="135">
        <f t="shared" ca="1" si="21"/>
        <v>77795.78301583312</v>
      </c>
      <c r="AA24" s="10">
        <v>2021</v>
      </c>
      <c r="AB24" s="11">
        <f>'Normalized Annual Summary'!BI11</f>
        <v>4352366.9999999981</v>
      </c>
      <c r="AC24" s="16">
        <f t="shared" si="22"/>
        <v>12313.309591952788</v>
      </c>
      <c r="AD24" s="26">
        <f t="shared" si="29"/>
        <v>2.8291064590722226E-3</v>
      </c>
      <c r="AE24" s="17">
        <f t="shared" si="23"/>
        <v>2.8342131705721982E-3</v>
      </c>
      <c r="AG24" s="10"/>
      <c r="AH24" s="11"/>
      <c r="AI24" s="10">
        <v>2021</v>
      </c>
      <c r="AJ24" s="11">
        <f>'Normalized Annual Summary'!BO11</f>
        <v>26915.1</v>
      </c>
      <c r="AK24" s="16">
        <f t="shared" si="24"/>
        <v>85.256451917438426</v>
      </c>
      <c r="AL24" s="26">
        <f t="shared" si="30"/>
        <v>3.1676067306990658E-3</v>
      </c>
      <c r="AM24" s="17">
        <f t="shared" si="25"/>
        <v>3.1118928889585507E-3</v>
      </c>
    </row>
    <row r="25" spans="1:43" x14ac:dyDescent="0.25">
      <c r="B25" s="10">
        <v>2022</v>
      </c>
      <c r="C25" s="11">
        <f ca="1">'Normalized Annual Summary'!AE12</f>
        <v>323207136.43672186</v>
      </c>
      <c r="D25" s="16">
        <f t="shared" ca="1" si="13"/>
        <v>817719.23533557483</v>
      </c>
      <c r="E25" s="26">
        <f t="shared" si="26"/>
        <v>2.5300160273400074E-3</v>
      </c>
      <c r="F25" s="137">
        <f t="shared" si="14"/>
        <v>2.5530058628834215E-3</v>
      </c>
      <c r="G25" s="27"/>
      <c r="H25" s="135">
        <f t="shared" ca="1" si="15"/>
        <v>817719.23533557483</v>
      </c>
      <c r="J25" s="10">
        <v>2022</v>
      </c>
      <c r="K25" s="11">
        <f ca="1">'Normalized Annual Summary'!AR12</f>
        <v>77551073.920502976</v>
      </c>
      <c r="L25" s="16">
        <f t="shared" ca="1" si="16"/>
        <v>183799.85019295549</v>
      </c>
      <c r="M25" s="26">
        <f t="shared" si="27"/>
        <v>2.3700490644574094E-3</v>
      </c>
      <c r="N25" s="137">
        <f t="shared" si="17"/>
        <v>2.3399883840453974E-3</v>
      </c>
      <c r="O25" s="136"/>
      <c r="P25" s="135">
        <f t="shared" ca="1" si="18"/>
        <v>183799.85019295549</v>
      </c>
      <c r="S25" s="10">
        <v>2022</v>
      </c>
      <c r="T25" s="11">
        <f ca="1">'Normalized Annual Summary'!BA12</f>
        <v>36780670.755650245</v>
      </c>
      <c r="U25" s="16">
        <f t="shared" ca="1" si="19"/>
        <v>81825.616810328531</v>
      </c>
      <c r="V25" s="26">
        <f t="shared" si="28"/>
        <v>2.2246907174132621E-3</v>
      </c>
      <c r="W25" s="137">
        <f t="shared" si="20"/>
        <v>2.1615492685127871E-3</v>
      </c>
      <c r="X25" s="136">
        <f>'Total Additional-Lost Loads'!H17</f>
        <v>0</v>
      </c>
      <c r="Y25" s="135">
        <f t="shared" ca="1" si="21"/>
        <v>81825.616810328531</v>
      </c>
      <c r="AA25" s="10">
        <v>2022</v>
      </c>
      <c r="AB25" s="11">
        <f>'Normalized Annual Summary'!BI12</f>
        <v>4432743</v>
      </c>
      <c r="AC25" s="16">
        <f t="shared" si="22"/>
        <v>12540.701852707181</v>
      </c>
      <c r="AD25" s="26">
        <f t="shared" si="29"/>
        <v>2.8291064590722226E-3</v>
      </c>
      <c r="AE25" s="17">
        <f t="shared" si="23"/>
        <v>2.8312866920514965E-3</v>
      </c>
      <c r="AG25" s="10"/>
      <c r="AH25" s="11"/>
      <c r="AI25" s="10">
        <v>2022</v>
      </c>
      <c r="AJ25" s="11">
        <f>'Normalized Annual Summary'!BO12</f>
        <v>26915.1</v>
      </c>
      <c r="AK25" s="16">
        <f t="shared" si="24"/>
        <v>85.256451917438426</v>
      </c>
      <c r="AL25" s="26">
        <f t="shared" si="30"/>
        <v>3.1676067306990658E-3</v>
      </c>
      <c r="AM25" s="17">
        <f t="shared" si="25"/>
        <v>3.0276057951546809E-3</v>
      </c>
    </row>
    <row r="26" spans="1:43" x14ac:dyDescent="0.25">
      <c r="B26" s="10">
        <v>2023</v>
      </c>
      <c r="C26" s="11">
        <f ca="1">'Normalized Annual Summary'!AE13</f>
        <v>330846044.65305156</v>
      </c>
      <c r="D26" s="16">
        <f t="shared" ca="1" si="13"/>
        <v>837045.79555426817</v>
      </c>
      <c r="E26" s="26">
        <f t="shared" si="26"/>
        <v>2.5300160273400074E-3</v>
      </c>
      <c r="F26" s="137">
        <f t="shared" si="14"/>
        <v>2.5622017971007847E-3</v>
      </c>
      <c r="G26" s="27"/>
      <c r="H26" s="135">
        <f t="shared" ca="1" si="15"/>
        <v>837045.79555426817</v>
      </c>
      <c r="J26" s="10">
        <v>2023</v>
      </c>
      <c r="K26" s="11">
        <f ca="1">'Normalized Annual Summary'!AR13</f>
        <v>80424534.531425565</v>
      </c>
      <c r="L26" s="16">
        <f ca="1">K26*M26</f>
        <v>190610.09282562777</v>
      </c>
      <c r="M26" s="26">
        <f t="shared" si="27"/>
        <v>2.3700490644574094E-3</v>
      </c>
      <c r="N26" s="137">
        <f>TREND($M$5:$M$14,$J$5:$J$14,J26)</f>
        <v>2.3279641118805934E-3</v>
      </c>
      <c r="O26" s="27"/>
      <c r="P26" s="135">
        <f ca="1">L26+O26</f>
        <v>190610.09282562777</v>
      </c>
      <c r="S26" s="10">
        <v>2023</v>
      </c>
      <c r="T26" s="11">
        <f ca="1">'Normalized Annual Summary'!BA13</f>
        <v>38728508.770573214</v>
      </c>
      <c r="U26" s="16">
        <f ca="1">T26*V26</f>
        <v>86158.953961152336</v>
      </c>
      <c r="V26" s="26">
        <f t="shared" si="28"/>
        <v>2.2246907174132621E-3</v>
      </c>
      <c r="W26" s="137">
        <f>TREND($V$5:$V$14,$S$5:$S$14,S26)</f>
        <v>2.1362926889525943E-3</v>
      </c>
      <c r="X26" s="27"/>
      <c r="Y26" s="135">
        <f ca="1">U26+X26</f>
        <v>86158.953961152336</v>
      </c>
      <c r="AA26" s="10">
        <v>2023</v>
      </c>
      <c r="AB26" s="11">
        <f>'Normalized Annual Summary'!BI13</f>
        <v>4495190.04</v>
      </c>
      <c r="AC26" s="16">
        <f t="shared" si="22"/>
        <v>12717.371176921122</v>
      </c>
      <c r="AD26" s="26">
        <f t="shared" si="29"/>
        <v>2.8291064590722226E-3</v>
      </c>
      <c r="AE26" s="17">
        <f t="shared" si="23"/>
        <v>2.828360213530794E-3</v>
      </c>
      <c r="AG26" s="10"/>
      <c r="AH26" s="11"/>
      <c r="AI26" s="10">
        <v>2023</v>
      </c>
      <c r="AJ26" s="11">
        <f>'Normalized Annual Summary'!BO13</f>
        <v>26915.1</v>
      </c>
      <c r="AK26" s="16">
        <f>AJ26*AL26</f>
        <v>85.256451917438426</v>
      </c>
      <c r="AL26" s="26">
        <f t="shared" si="30"/>
        <v>3.1676067306990658E-3</v>
      </c>
      <c r="AM26" s="17">
        <f>TREND($AM$7:$AM$14,$AI$7:$AI$14,AI26)</f>
        <v>2.9433187013507833E-3</v>
      </c>
      <c r="AO26" s="13"/>
      <c r="AP26" s="13"/>
      <c r="AQ26" s="14"/>
    </row>
    <row r="27" spans="1:43" x14ac:dyDescent="0.25">
      <c r="B27" s="10">
        <v>2024</v>
      </c>
      <c r="C27" s="11">
        <f ca="1">'Normalized Annual Summary'!AE14</f>
        <v>330372183.0580917</v>
      </c>
      <c r="D27" s="16">
        <f t="shared" ca="1" si="13"/>
        <v>835846.91812427889</v>
      </c>
      <c r="E27" s="26">
        <f>E26</f>
        <v>2.5300160273400074E-3</v>
      </c>
      <c r="F27" s="137">
        <f t="shared" si="14"/>
        <v>2.5713977313181514E-3</v>
      </c>
      <c r="G27" s="136"/>
      <c r="H27" s="135">
        <f ca="1">D27+G27</f>
        <v>835846.91812427889</v>
      </c>
      <c r="J27" s="10">
        <v>2024</v>
      </c>
      <c r="K27" s="11">
        <f ca="1">'Normalized Annual Summary'!AR14</f>
        <v>79390482.944134414</v>
      </c>
      <c r="L27" s="16">
        <f ca="1">K27*M27</f>
        <v>188159.3398285677</v>
      </c>
      <c r="M27" s="26">
        <f>M26</f>
        <v>2.3700490644574094E-3</v>
      </c>
      <c r="N27" s="137">
        <f>TREND($M$5:$M$14,$J$5:$J$14,J27)</f>
        <v>2.3159398397157895E-3</v>
      </c>
      <c r="O27" s="136"/>
      <c r="P27" s="135">
        <f ca="1">L27+O27</f>
        <v>188159.3398285677</v>
      </c>
      <c r="S27" s="10">
        <v>2024</v>
      </c>
      <c r="T27" s="11">
        <f ca="1">'Normalized Annual Summary'!BA14</f>
        <v>38576056.660491265</v>
      </c>
      <c r="U27" s="16">
        <f ca="1">T27*V27</f>
        <v>85819.795167002958</v>
      </c>
      <c r="V27" s="26">
        <f>V26</f>
        <v>2.2246907174132621E-3</v>
      </c>
      <c r="W27" s="137">
        <f>TREND($V$5:$V$14,$S$5:$S$14,S27)</f>
        <v>2.1110361093924015E-3</v>
      </c>
      <c r="X27" s="136"/>
      <c r="Y27" s="135">
        <f ca="1">U27+X27</f>
        <v>85819.795167002958</v>
      </c>
      <c r="AA27" s="10">
        <v>2024</v>
      </c>
      <c r="AB27" s="11">
        <f>'Normalized Annual Summary'!BI14</f>
        <v>4596499.4919100879</v>
      </c>
      <c r="AC27" s="16">
        <f t="shared" si="22"/>
        <v>13003.986401685019</v>
      </c>
      <c r="AD27" s="26">
        <f>AD26</f>
        <v>2.8291064590722226E-3</v>
      </c>
      <c r="AE27" s="17">
        <f t="shared" si="23"/>
        <v>2.8254337350100923E-3</v>
      </c>
      <c r="AG27" s="10"/>
      <c r="AH27" s="11"/>
      <c r="AI27" s="10">
        <v>2024</v>
      </c>
      <c r="AJ27" s="11">
        <f>'Normalized Annual Summary'!BO14</f>
        <v>26323.559999999998</v>
      </c>
      <c r="AK27" s="16">
        <f>AJ27*AL27</f>
        <v>83.3826858319607</v>
      </c>
      <c r="AL27" s="26">
        <f>AL26</f>
        <v>3.1676067306990658E-3</v>
      </c>
      <c r="AM27" s="17">
        <f>TREND($AM$7:$AM$14,$AI$7:$AI$14,AI27)</f>
        <v>2.8590316075468858E-3</v>
      </c>
      <c r="AO27" s="10"/>
      <c r="AP27" s="11"/>
      <c r="AQ27" s="16"/>
    </row>
    <row r="28" spans="1:43" x14ac:dyDescent="0.25">
      <c r="B28" s="10">
        <v>2025</v>
      </c>
      <c r="C28" s="11">
        <f ca="1">'Normalized Annual Summary'!AE15</f>
        <v>330893891.08494335</v>
      </c>
      <c r="D28" s="16">
        <f t="shared" ca="1" si="13"/>
        <v>837166.84779380541</v>
      </c>
      <c r="E28" s="26">
        <f>E27</f>
        <v>2.5300160273400074E-3</v>
      </c>
      <c r="F28" s="137">
        <f t="shared" si="14"/>
        <v>2.5805936655355181E-3</v>
      </c>
      <c r="G28" s="136">
        <f>'Total Additional-Lost Loads'!H18+'Total Additional-Lost Loads'!H28</f>
        <v>733.89043289437188</v>
      </c>
      <c r="H28" s="135">
        <f ca="1">D28+G28</f>
        <v>837900.73822669976</v>
      </c>
      <c r="J28" s="10">
        <v>2025</v>
      </c>
      <c r="K28" s="11">
        <f ca="1">'Normalized Annual Summary'!AR15</f>
        <v>80415845.859158918</v>
      </c>
      <c r="L28" s="16">
        <f ca="1">K28*M28</f>
        <v>190589.50024605083</v>
      </c>
      <c r="M28" s="26">
        <f>M27</f>
        <v>2.3700490644574094E-3</v>
      </c>
      <c r="N28" s="137">
        <f>TREND($M$5:$M$14,$J$5:$J$14,J28)</f>
        <v>2.3039155675509855E-3</v>
      </c>
      <c r="O28" s="136">
        <f>'Total Additional-Lost Loads'!H19</f>
        <v>476.52774015133616</v>
      </c>
      <c r="P28" s="135">
        <f ca="1">L28+O28</f>
        <v>191066.02798620216</v>
      </c>
      <c r="S28" s="10">
        <v>2025</v>
      </c>
      <c r="T28" s="11">
        <f ca="1">'Normalized Annual Summary'!BA15</f>
        <v>38477444.078484654</v>
      </c>
      <c r="U28" s="16">
        <f ca="1">T28*V28</f>
        <v>85600.412671192695</v>
      </c>
      <c r="V28" s="26">
        <f>V27</f>
        <v>2.2246907174132621E-3</v>
      </c>
      <c r="W28" s="137">
        <f>TREND($V$5:$V$14,$S$5:$S$14,S28)</f>
        <v>2.0857795298322088E-3</v>
      </c>
      <c r="X28" s="136">
        <f>'Total Additional-Lost Loads'!H20</f>
        <v>58.80569504732928</v>
      </c>
      <c r="Y28" s="135">
        <f ca="1">U28+X28</f>
        <v>85659.21836624002</v>
      </c>
      <c r="AA28" s="10">
        <v>2025</v>
      </c>
      <c r="AB28" s="11">
        <f>'Normalized Annual Summary'!BI15</f>
        <v>4601999.7364925863</v>
      </c>
      <c r="AC28" s="16">
        <f t="shared" si="22"/>
        <v>13019.547179159843</v>
      </c>
      <c r="AD28" s="26">
        <f>AD27</f>
        <v>2.8291064590722226E-3</v>
      </c>
      <c r="AE28" s="17">
        <f t="shared" si="23"/>
        <v>2.8225072564893898E-3</v>
      </c>
      <c r="AG28" s="10"/>
      <c r="AH28" s="11"/>
      <c r="AI28" s="10">
        <v>2025</v>
      </c>
      <c r="AJ28" s="11">
        <f>'Normalized Annual Summary'!BO15</f>
        <v>26717.919999999998</v>
      </c>
      <c r="AK28" s="16">
        <f>AJ28*AL28</f>
        <v>84.631863222279179</v>
      </c>
      <c r="AL28" s="26">
        <f>AL27</f>
        <v>3.1676067306990658E-3</v>
      </c>
      <c r="AM28" s="17">
        <f>TREND($AM$7:$AM$14,$AI$7:$AI$14,AI28)</f>
        <v>2.774744513743016E-3</v>
      </c>
      <c r="AO28" s="10"/>
      <c r="AP28" s="11"/>
      <c r="AQ28" s="16"/>
    </row>
    <row r="29" spans="1:43" x14ac:dyDescent="0.25">
      <c r="B29" s="10">
        <v>2026</v>
      </c>
      <c r="C29" s="11">
        <f ca="1">'Normalized Annual Summary'!AE16</f>
        <v>331925080.26876336</v>
      </c>
      <c r="D29" s="16">
        <f t="shared" ca="1" si="13"/>
        <v>839775.7729560897</v>
      </c>
      <c r="E29" s="26">
        <f>E28</f>
        <v>2.5300160273400074E-3</v>
      </c>
      <c r="F29" s="137">
        <f t="shared" si="14"/>
        <v>2.5897895997528814E-3</v>
      </c>
      <c r="G29" s="136">
        <f>'Total Additional-Lost Loads'!I18+'Total Additional-Lost Loads'!I28</f>
        <v>2359.021615900494</v>
      </c>
      <c r="H29" s="135">
        <f ca="1">D29+G29</f>
        <v>842134.79457199015</v>
      </c>
      <c r="J29" s="10">
        <v>2026</v>
      </c>
      <c r="K29" s="11">
        <f ca="1">'Normalized Annual Summary'!AR16</f>
        <v>81008539.989905819</v>
      </c>
      <c r="L29" s="16">
        <f ca="1">K29*M29</f>
        <v>191994.21441613694</v>
      </c>
      <c r="M29" s="26">
        <f>M28</f>
        <v>2.3700490644574094E-3</v>
      </c>
      <c r="N29" s="137">
        <f>TREND($M$5:$M$14,$J$5:$J$14,J29)</f>
        <v>2.2918912953861781E-3</v>
      </c>
      <c r="O29" s="136">
        <f>'Total Additional-Lost Loads'!I19</f>
        <v>1550.3176440637349</v>
      </c>
      <c r="P29" s="135">
        <f ca="1">L29+O29</f>
        <v>193544.53206020067</v>
      </c>
      <c r="S29" s="10">
        <v>2026</v>
      </c>
      <c r="T29" s="11">
        <f ca="1">'Normalized Annual Summary'!BA16</f>
        <v>38484690.918478541</v>
      </c>
      <c r="U29" s="16">
        <f ca="1">T29*V29</f>
        <v>85616.534648857676</v>
      </c>
      <c r="V29" s="26">
        <f>V28</f>
        <v>2.2246907174132621E-3</v>
      </c>
      <c r="W29" s="137">
        <f>TREND($V$5:$V$14,$S$5:$S$14,S29)</f>
        <v>2.060522950272016E-3</v>
      </c>
      <c r="X29" s="136">
        <f>'Total Additional-Lost Loads'!I20</f>
        <v>182.72729324974915</v>
      </c>
      <c r="Y29" s="135">
        <f ca="1">U29+X29</f>
        <v>85799.26194210742</v>
      </c>
      <c r="AA29" s="10">
        <v>2026</v>
      </c>
      <c r="AB29" s="11">
        <f>'Normalized Annual Summary'!BI16</f>
        <v>4665081.9792804932</v>
      </c>
      <c r="AC29" s="16">
        <f t="shared" si="22"/>
        <v>13198.013559683872</v>
      </c>
      <c r="AD29" s="26">
        <f>AD28</f>
        <v>2.8291064590722226E-3</v>
      </c>
      <c r="AE29" s="17">
        <f t="shared" si="23"/>
        <v>2.8195807779686881E-3</v>
      </c>
      <c r="AG29" s="10"/>
      <c r="AH29" s="11"/>
      <c r="AI29" s="10">
        <v>2026</v>
      </c>
      <c r="AJ29" s="11">
        <f>'Normalized Annual Summary'!BO16</f>
        <v>26717.919999999998</v>
      </c>
      <c r="AK29" s="16">
        <f>AJ29*AL29</f>
        <v>84.631863222279179</v>
      </c>
      <c r="AL29" s="26">
        <f>AL28</f>
        <v>3.1676067306990658E-3</v>
      </c>
      <c r="AM29" s="17">
        <f>TREND($AM$7:$AM$14,$AI$7:$AI$14,AI29)</f>
        <v>2.6904574199391185E-3</v>
      </c>
      <c r="AO29" s="10"/>
      <c r="AP29" s="11"/>
      <c r="AQ29" s="16"/>
    </row>
    <row r="30" spans="1:43" x14ac:dyDescent="0.25">
      <c r="B30" s="10"/>
      <c r="C30" s="11"/>
      <c r="D30" s="16"/>
      <c r="E30" s="17"/>
      <c r="F30" s="27"/>
      <c r="G30" s="27"/>
      <c r="H30" s="27"/>
      <c r="AA30" s="10"/>
      <c r="AB30" s="11"/>
      <c r="AC30" s="16"/>
      <c r="AD30" s="26"/>
      <c r="AE30" s="17"/>
      <c r="AG30" s="10"/>
      <c r="AH30" s="11"/>
    </row>
    <row r="31" spans="1:43" x14ac:dyDescent="0.25">
      <c r="I31" s="295"/>
      <c r="J31" s="295"/>
      <c r="K31" s="304" t="s">
        <v>401</v>
      </c>
      <c r="L31" s="22" t="s">
        <v>402</v>
      </c>
      <c r="M31" s="300" t="s">
        <v>458</v>
      </c>
      <c r="N31" s="295"/>
      <c r="O31" s="295"/>
      <c r="P31" s="295"/>
      <c r="Q31" s="295"/>
      <c r="R31" s="295"/>
      <c r="S31" s="295"/>
      <c r="T31" s="304" t="s">
        <v>401</v>
      </c>
      <c r="U31" s="22" t="s">
        <v>402</v>
      </c>
      <c r="V31" s="300" t="s">
        <v>458</v>
      </c>
      <c r="W31" s="295"/>
      <c r="X31" s="295"/>
      <c r="Y31" s="295"/>
      <c r="Z31" s="295"/>
      <c r="AI31" s="295"/>
      <c r="AJ31" s="304" t="s">
        <v>401</v>
      </c>
      <c r="AK31" s="22" t="s">
        <v>402</v>
      </c>
      <c r="AL31" s="300" t="s">
        <v>458</v>
      </c>
    </row>
    <row r="32" spans="1:43" x14ac:dyDescent="0.25">
      <c r="A32" s="295"/>
      <c r="B32" s="295"/>
      <c r="C32" s="304" t="s">
        <v>401</v>
      </c>
      <c r="D32" s="22" t="s">
        <v>402</v>
      </c>
      <c r="E32" s="300" t="s">
        <v>458</v>
      </c>
      <c r="F32" s="295"/>
      <c r="G32" s="295"/>
      <c r="H32" s="295"/>
      <c r="I32" s="295"/>
      <c r="J32" s="295"/>
      <c r="K32" s="23">
        <f>K14/K10-1</f>
        <v>0.15007267127536483</v>
      </c>
      <c r="L32" s="23">
        <f>L14/L10-1</f>
        <v>4.6947535658351747E-2</v>
      </c>
      <c r="M32" s="305">
        <f>L32-K32</f>
        <v>-0.10312513561701309</v>
      </c>
      <c r="N32" s="295"/>
      <c r="O32" s="295"/>
      <c r="P32" s="295"/>
      <c r="Q32" s="295"/>
      <c r="R32" s="295"/>
      <c r="S32" s="295"/>
      <c r="T32" s="23">
        <f>T14/T10-1</f>
        <v>0.28961362943591173</v>
      </c>
      <c r="U32" s="23">
        <f>U14/U10-1</f>
        <v>0.13898414285466476</v>
      </c>
      <c r="V32" s="305">
        <f>U32-T32</f>
        <v>-0.15062948658124697</v>
      </c>
      <c r="W32" s="295"/>
      <c r="X32" s="295"/>
      <c r="Y32" s="295"/>
      <c r="Z32" s="295"/>
      <c r="AA32" s="295"/>
      <c r="AB32" s="304" t="s">
        <v>401</v>
      </c>
      <c r="AC32" s="22" t="s">
        <v>402</v>
      </c>
      <c r="AD32" s="300" t="s">
        <v>458</v>
      </c>
      <c r="AI32" s="295"/>
      <c r="AJ32" s="23">
        <f>AJ14/AJ10-1</f>
        <v>-2.4650188744681056E-2</v>
      </c>
      <c r="AK32" s="23">
        <f>AK14/AK10-1</f>
        <v>-0.11764705882352944</v>
      </c>
      <c r="AL32" s="305">
        <f>AK32-AJ32</f>
        <v>-9.2996870078848382E-2</v>
      </c>
    </row>
    <row r="33" spans="1:38" x14ac:dyDescent="0.25">
      <c r="A33" s="295" t="s">
        <v>459</v>
      </c>
      <c r="B33" s="295"/>
      <c r="C33" s="23">
        <f ca="1">C14/C10-1</f>
        <v>6.2856665863606054E-2</v>
      </c>
      <c r="D33" s="23">
        <f ca="1">D14/D10-1</f>
        <v>3.3401375235965869E-2</v>
      </c>
      <c r="E33" s="305">
        <f ca="1">D33-C33</f>
        <v>-2.9455290627640185E-2</v>
      </c>
      <c r="F33" s="295"/>
      <c r="G33" s="295"/>
      <c r="H33" s="295"/>
      <c r="I33" s="295"/>
      <c r="J33" s="295"/>
      <c r="K33" s="23">
        <f>K14/K5-1</f>
        <v>3.0239633579927094E-3</v>
      </c>
      <c r="L33" s="23">
        <f>L14/L5-1</f>
        <v>-2.9561855399691472E-2</v>
      </c>
      <c r="M33" s="305">
        <f>L33-K33</f>
        <v>-3.2585818757684182E-2</v>
      </c>
      <c r="N33" s="295"/>
      <c r="O33" s="295"/>
      <c r="P33" s="295"/>
      <c r="Q33" s="295"/>
      <c r="R33" s="295"/>
      <c r="S33" s="295"/>
      <c r="T33" s="23">
        <f>T14/T5-1</f>
        <v>-5.3178652084379663E-2</v>
      </c>
      <c r="U33" s="23">
        <f>U14/U5-1</f>
        <v>-0.13492995822093967</v>
      </c>
      <c r="V33" s="305">
        <f>U33-T33</f>
        <v>-8.1751306136560009E-2</v>
      </c>
      <c r="W33" s="295"/>
      <c r="X33" s="295"/>
      <c r="Y33" s="295"/>
      <c r="Z33" s="295"/>
      <c r="AA33" s="295"/>
      <c r="AB33" s="23">
        <f>AB14/AB10-1</f>
        <v>5.492192725641476E-2</v>
      </c>
      <c r="AC33" s="23">
        <f>AC14/AC10-1</f>
        <v>4.4063306478777209E-2</v>
      </c>
      <c r="AD33" s="305">
        <f>AC33-AB33</f>
        <v>-1.0858620777637551E-2</v>
      </c>
      <c r="AI33" s="295"/>
      <c r="AJ33" s="23">
        <f>AJ14/AJ5-1</f>
        <v>-3.8877351422835327E-2</v>
      </c>
      <c r="AK33" s="23">
        <f>AK14/AK5-1</f>
        <v>-0.25</v>
      </c>
      <c r="AL33" s="305">
        <f>AK33-AJ33</f>
        <v>-0.21112264857716467</v>
      </c>
    </row>
    <row r="34" spans="1:38" x14ac:dyDescent="0.25">
      <c r="A34" s="295" t="s">
        <v>460</v>
      </c>
      <c r="B34" s="295"/>
      <c r="C34" s="23">
        <f ca="1">C14/C5-1</f>
        <v>-6.3378322229801221E-4</v>
      </c>
      <c r="D34" s="23">
        <f ca="1">D14/D5-1</f>
        <v>2.8013335532825145E-2</v>
      </c>
      <c r="E34" s="305">
        <f ca="1">D34-C34</f>
        <v>2.8647118755123158E-2</v>
      </c>
      <c r="F34" s="295"/>
      <c r="G34" s="295"/>
      <c r="H34" s="295"/>
      <c r="I34" s="295"/>
      <c r="J34" s="295"/>
      <c r="K34" s="295"/>
      <c r="L34" s="295"/>
      <c r="M34" s="295"/>
      <c r="N34" s="295"/>
      <c r="O34" s="295"/>
      <c r="P34" s="295"/>
      <c r="Q34" s="295"/>
      <c r="R34" s="295"/>
      <c r="S34" s="295"/>
      <c r="T34" s="295"/>
      <c r="U34" s="295"/>
      <c r="V34" s="295"/>
      <c r="W34" s="295"/>
      <c r="X34" s="295"/>
      <c r="Y34" s="295"/>
      <c r="Z34" s="295"/>
      <c r="AA34" s="295"/>
      <c r="AB34" s="23">
        <f>AB14/AB5-1</f>
        <v>-0.50040422080928459</v>
      </c>
      <c r="AC34" s="23">
        <f>AC14/AC5-1</f>
        <v>-0.50908533782748577</v>
      </c>
      <c r="AD34" s="305">
        <f>AC34-AB34</f>
        <v>-8.6811170182011788E-3</v>
      </c>
      <c r="AI34" s="295"/>
      <c r="AJ34" s="295"/>
      <c r="AK34" s="295"/>
      <c r="AL34" s="295"/>
    </row>
    <row r="35" spans="1:38" x14ac:dyDescent="0.25">
      <c r="A35" s="295"/>
      <c r="B35" s="295"/>
      <c r="C35" s="295"/>
      <c r="D35" s="295"/>
      <c r="E35" s="295"/>
      <c r="F35" s="295"/>
      <c r="G35" s="295"/>
      <c r="H35" s="295"/>
      <c r="I35" s="295"/>
      <c r="J35" s="295"/>
      <c r="K35" s="295"/>
      <c r="L35" s="295" t="s">
        <v>461</v>
      </c>
      <c r="M35" s="295"/>
      <c r="N35" s="295"/>
      <c r="O35" s="295"/>
      <c r="P35" s="295"/>
      <c r="Q35" s="295"/>
      <c r="R35" s="295"/>
      <c r="S35" s="295"/>
      <c r="T35" s="295"/>
      <c r="U35" s="295" t="s">
        <v>461</v>
      </c>
      <c r="V35" s="295"/>
      <c r="W35" s="295"/>
      <c r="X35" s="295"/>
      <c r="Y35" s="295"/>
      <c r="Z35" s="295"/>
      <c r="AA35" s="295"/>
      <c r="AB35" s="295"/>
      <c r="AC35" s="295"/>
      <c r="AD35" s="295"/>
      <c r="AI35" s="295"/>
      <c r="AJ35" s="295"/>
      <c r="AK35" s="295" t="s">
        <v>462</v>
      </c>
      <c r="AL35" s="295"/>
    </row>
    <row r="36" spans="1:38" x14ac:dyDescent="0.25">
      <c r="A36" s="295"/>
      <c r="B36" s="295"/>
      <c r="C36" s="295"/>
      <c r="D36" s="295" t="s">
        <v>461</v>
      </c>
      <c r="E36" s="295"/>
      <c r="F36" s="295"/>
      <c r="G36" s="295"/>
      <c r="H36" s="295"/>
      <c r="AA36" s="295"/>
      <c r="AB36" s="295"/>
      <c r="AC36" s="295" t="s">
        <v>461</v>
      </c>
      <c r="AD36" s="295"/>
    </row>
  </sheetData>
  <mergeCells count="5">
    <mergeCell ref="C2:E2"/>
    <mergeCell ref="AB2:AD2"/>
    <mergeCell ref="K2:M2"/>
    <mergeCell ref="T2:V2"/>
    <mergeCell ref="AJ2:AL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dimension ref="B1:V138"/>
  <sheetViews>
    <sheetView workbookViewId="0">
      <selection activeCell="G45" sqref="G45"/>
    </sheetView>
  </sheetViews>
  <sheetFormatPr defaultColWidth="8.77734375" defaultRowHeight="13.8" x14ac:dyDescent="0.25"/>
  <cols>
    <col min="1" max="1" width="8.77734375" style="47"/>
    <col min="2" max="2" width="28.6640625" style="47" bestFit="1" customWidth="1"/>
    <col min="3" max="3" width="17.6640625" style="47" customWidth="1"/>
    <col min="4" max="4" width="21.109375" style="47" bestFit="1" customWidth="1"/>
    <col min="5" max="7" width="19.44140625" style="47" bestFit="1" customWidth="1"/>
    <col min="8" max="8" width="17.77734375" style="47" bestFit="1" customWidth="1"/>
    <col min="9" max="9" width="16.44140625" style="47" customWidth="1"/>
    <col min="10" max="10" width="15.109375" style="47" customWidth="1"/>
    <col min="11" max="12" width="10" style="47" customWidth="1"/>
    <col min="13" max="13" width="19.44140625" style="47" bestFit="1" customWidth="1"/>
    <col min="14" max="14" width="16.6640625" style="47" bestFit="1" customWidth="1"/>
    <col min="15" max="15" width="28.6640625" style="47" bestFit="1" customWidth="1"/>
    <col min="16" max="16" width="14.109375" style="47" customWidth="1"/>
    <col min="17" max="17" width="17.77734375" style="47" customWidth="1"/>
    <col min="18" max="18" width="14.33203125" style="47" bestFit="1" customWidth="1"/>
    <col min="19" max="19" width="14.33203125" style="47" customWidth="1"/>
    <col min="20" max="20" width="13.6640625" style="47" bestFit="1" customWidth="1"/>
    <col min="21" max="21" width="13.109375" style="47" customWidth="1"/>
    <col min="22" max="16384" width="8.77734375" style="47"/>
  </cols>
  <sheetData>
    <row r="1" spans="2:21" ht="15.6" x14ac:dyDescent="0.3">
      <c r="R1" s="48"/>
    </row>
    <row r="2" spans="2:21" ht="15.6" x14ac:dyDescent="0.3">
      <c r="B2" s="49"/>
      <c r="C2" s="50" t="s">
        <v>465</v>
      </c>
      <c r="D2" s="50"/>
      <c r="E2" s="50"/>
      <c r="F2" s="50"/>
      <c r="G2" s="49"/>
      <c r="H2" s="49"/>
      <c r="P2" s="48" t="s">
        <v>466</v>
      </c>
      <c r="Q2" s="48"/>
      <c r="R2" s="48"/>
      <c r="S2" s="48"/>
    </row>
    <row r="3" spans="2:21" ht="15.6" x14ac:dyDescent="0.3">
      <c r="B3" s="49"/>
      <c r="C3" s="51">
        <v>2021</v>
      </c>
      <c r="D3" s="51">
        <v>2022</v>
      </c>
      <c r="E3" s="51">
        <v>2023</v>
      </c>
      <c r="F3" s="51">
        <v>2024</v>
      </c>
      <c r="G3" s="52">
        <v>2025</v>
      </c>
      <c r="H3" s="51">
        <v>2026</v>
      </c>
      <c r="I3" s="51">
        <v>2027</v>
      </c>
      <c r="J3" s="51">
        <v>2028</v>
      </c>
      <c r="K3" s="49" t="s">
        <v>467</v>
      </c>
      <c r="L3" s="49"/>
      <c r="P3" s="48">
        <v>2021</v>
      </c>
      <c r="Q3" s="48">
        <v>2022</v>
      </c>
      <c r="R3" s="48">
        <v>2023</v>
      </c>
      <c r="S3" s="48">
        <v>2024</v>
      </c>
      <c r="T3" s="48">
        <v>2025</v>
      </c>
      <c r="U3" s="48">
        <v>2026</v>
      </c>
    </row>
    <row r="4" spans="2:21" x14ac:dyDescent="0.25">
      <c r="B4" s="49" t="s">
        <v>468</v>
      </c>
      <c r="C4" s="53">
        <v>322</v>
      </c>
      <c r="D4" s="53">
        <v>570</v>
      </c>
      <c r="E4" s="53">
        <v>359</v>
      </c>
      <c r="F4" s="53">
        <v>560</v>
      </c>
      <c r="G4" s="54">
        <f>F4</f>
        <v>560</v>
      </c>
      <c r="H4" s="55">
        <f>G4</f>
        <v>560</v>
      </c>
      <c r="I4" s="55">
        <f>H4</f>
        <v>560</v>
      </c>
      <c r="J4" s="55">
        <f>I4</f>
        <v>560</v>
      </c>
      <c r="K4" s="56">
        <f>$I$33*P61+$I$38*(Q61+R61)+$I$43*S61</f>
        <v>8.2671710952268301E-3</v>
      </c>
      <c r="L4" s="57" t="s">
        <v>469</v>
      </c>
      <c r="N4" s="58"/>
      <c r="O4" s="49" t="s">
        <v>468</v>
      </c>
      <c r="P4" s="59">
        <f>C4*$K4*1000000</f>
        <v>2662029.0926630395</v>
      </c>
      <c r="Q4" s="59">
        <f t="shared" ref="P4:U13" si="0">D4*$K4*1000000</f>
        <v>4712287.5242792927</v>
      </c>
      <c r="R4" s="59">
        <f t="shared" si="0"/>
        <v>2967914.4231864321</v>
      </c>
      <c r="S4" s="59">
        <f t="shared" si="0"/>
        <v>4629615.8133270247</v>
      </c>
      <c r="T4" s="59">
        <f t="shared" si="0"/>
        <v>4629615.8133270247</v>
      </c>
      <c r="U4" s="59">
        <f t="shared" si="0"/>
        <v>4629615.8133270247</v>
      </c>
    </row>
    <row r="5" spans="2:21" x14ac:dyDescent="0.25">
      <c r="B5" s="60" t="s">
        <v>366</v>
      </c>
      <c r="C5" s="61">
        <v>10</v>
      </c>
      <c r="D5" s="61">
        <v>4</v>
      </c>
      <c r="E5" s="61">
        <v>20</v>
      </c>
      <c r="F5" s="61">
        <v>65</v>
      </c>
      <c r="G5" s="54">
        <f>F5</f>
        <v>65</v>
      </c>
      <c r="H5" s="55">
        <f t="shared" ref="H5:J13" si="1">G5</f>
        <v>65</v>
      </c>
      <c r="I5" s="55">
        <f t="shared" si="1"/>
        <v>65</v>
      </c>
      <c r="J5" s="55">
        <f t="shared" si="1"/>
        <v>65</v>
      </c>
      <c r="K5" s="56">
        <f>$I$33*P62+$I$38*(Q62+R62)+$I$43*S62</f>
        <v>8.7610377626429516E-3</v>
      </c>
      <c r="L5" s="57" t="str">
        <f>L4</f>
        <v>% of provincial kWh</v>
      </c>
      <c r="N5" s="57"/>
      <c r="O5" s="60" t="s">
        <v>366</v>
      </c>
      <c r="P5" s="59">
        <f t="shared" si="0"/>
        <v>87610.377626429516</v>
      </c>
      <c r="Q5" s="59">
        <f t="shared" si="0"/>
        <v>35044.151050571803</v>
      </c>
      <c r="R5" s="59">
        <f t="shared" si="0"/>
        <v>175220.75525285903</v>
      </c>
      <c r="S5" s="59">
        <f t="shared" si="0"/>
        <v>569467.45457179181</v>
      </c>
      <c r="T5" s="59">
        <f t="shared" si="0"/>
        <v>569467.45457179181</v>
      </c>
      <c r="U5" s="59">
        <f t="shared" si="0"/>
        <v>569467.45457179181</v>
      </c>
    </row>
    <row r="6" spans="2:21" x14ac:dyDescent="0.25">
      <c r="B6" s="49" t="s">
        <v>470</v>
      </c>
      <c r="C6" s="53">
        <v>16</v>
      </c>
      <c r="D6" s="53">
        <v>20</v>
      </c>
      <c r="E6" s="53">
        <v>50</v>
      </c>
      <c r="F6" s="53">
        <v>54</v>
      </c>
      <c r="G6" s="54">
        <f t="shared" ref="G6:G13" si="2">F6</f>
        <v>54</v>
      </c>
      <c r="H6" s="55">
        <f t="shared" si="1"/>
        <v>54</v>
      </c>
      <c r="I6" s="55">
        <f t="shared" si="1"/>
        <v>54</v>
      </c>
      <c r="J6" s="55">
        <f t="shared" si="1"/>
        <v>54</v>
      </c>
      <c r="K6" s="56">
        <f>$I$33*P63+$I$38*(Q63+R63)+$I$43*S63</f>
        <v>7.9486912403722888E-3</v>
      </c>
      <c r="L6" s="57" t="str">
        <f>L5</f>
        <v>% of provincial kWh</v>
      </c>
      <c r="N6" s="57"/>
      <c r="O6" s="49" t="s">
        <v>470</v>
      </c>
      <c r="P6" s="59">
        <f t="shared" si="0"/>
        <v>127179.05984595662</v>
      </c>
      <c r="Q6" s="59">
        <f t="shared" si="0"/>
        <v>158973.82480744575</v>
      </c>
      <c r="R6" s="59">
        <f t="shared" si="0"/>
        <v>397434.56201861444</v>
      </c>
      <c r="S6" s="59">
        <f t="shared" si="0"/>
        <v>429229.32698010356</v>
      </c>
      <c r="T6" s="59">
        <f t="shared" si="0"/>
        <v>429229.32698010356</v>
      </c>
      <c r="U6" s="59">
        <f t="shared" si="0"/>
        <v>429229.32698010356</v>
      </c>
    </row>
    <row r="7" spans="2:21" x14ac:dyDescent="0.25">
      <c r="B7" s="60" t="s">
        <v>471</v>
      </c>
      <c r="C7" s="61">
        <v>1</v>
      </c>
      <c r="D7" s="61">
        <v>15</v>
      </c>
      <c r="E7" s="61">
        <v>29</v>
      </c>
      <c r="F7" s="61">
        <v>96</v>
      </c>
      <c r="G7" s="54">
        <f t="shared" si="2"/>
        <v>96</v>
      </c>
      <c r="H7" s="55">
        <f t="shared" si="1"/>
        <v>96</v>
      </c>
      <c r="I7" s="55">
        <f t="shared" si="1"/>
        <v>96</v>
      </c>
      <c r="J7" s="55">
        <f t="shared" si="1"/>
        <v>96</v>
      </c>
      <c r="K7" s="56">
        <f>$I$33*P64+$I$38*(Q64+R64)+$I$43*S64</f>
        <v>7.9486912403722888E-3</v>
      </c>
      <c r="L7" s="57" t="str">
        <f>L6</f>
        <v>% of provincial kWh</v>
      </c>
      <c r="N7" s="47" t="s">
        <v>472</v>
      </c>
      <c r="O7" s="60" t="s">
        <v>471</v>
      </c>
      <c r="P7" s="59">
        <f t="shared" si="0"/>
        <v>7948.691240372289</v>
      </c>
      <c r="Q7" s="59">
        <f t="shared" si="0"/>
        <v>119230.36860558434</v>
      </c>
      <c r="R7" s="59">
        <f t="shared" si="0"/>
        <v>230512.04597079637</v>
      </c>
      <c r="S7" s="59">
        <f t="shared" si="0"/>
        <v>763074.35907573975</v>
      </c>
      <c r="T7" s="59">
        <f t="shared" si="0"/>
        <v>763074.35907573975</v>
      </c>
      <c r="U7" s="59">
        <f t="shared" si="0"/>
        <v>763074.35907573975</v>
      </c>
    </row>
    <row r="8" spans="2:21" x14ac:dyDescent="0.25">
      <c r="B8" s="49" t="s">
        <v>473</v>
      </c>
      <c r="C8" s="53">
        <v>0</v>
      </c>
      <c r="D8" s="53">
        <v>0</v>
      </c>
      <c r="E8" s="53">
        <v>165</v>
      </c>
      <c r="F8" s="53">
        <v>165</v>
      </c>
      <c r="G8" s="54">
        <f t="shared" si="2"/>
        <v>165</v>
      </c>
      <c r="H8" s="55">
        <f t="shared" si="1"/>
        <v>165</v>
      </c>
      <c r="I8" s="55">
        <f t="shared" si="1"/>
        <v>165</v>
      </c>
      <c r="J8" s="55">
        <f t="shared" si="1"/>
        <v>165</v>
      </c>
      <c r="K8" s="56">
        <f>$I$33*P65+$I$38*(Q65+R65)+$I$43*S65</f>
        <v>7.8211851082196446E-3</v>
      </c>
      <c r="L8" s="57" t="str">
        <f>L7</f>
        <v>% of provincial kWh</v>
      </c>
      <c r="N8" s="57"/>
      <c r="O8" s="49" t="s">
        <v>473</v>
      </c>
      <c r="P8" s="59">
        <f t="shared" si="0"/>
        <v>0</v>
      </c>
      <c r="Q8" s="59">
        <f t="shared" si="0"/>
        <v>0</v>
      </c>
      <c r="R8" s="59">
        <f t="shared" si="0"/>
        <v>1290495.5428562416</v>
      </c>
      <c r="S8" s="59">
        <f t="shared" si="0"/>
        <v>1290495.5428562416</v>
      </c>
      <c r="T8" s="59">
        <f t="shared" si="0"/>
        <v>1290495.5428562416</v>
      </c>
      <c r="U8" s="59">
        <f t="shared" si="0"/>
        <v>1290495.5428562416</v>
      </c>
    </row>
    <row r="9" spans="2:21" x14ac:dyDescent="0.25">
      <c r="B9" s="60" t="s">
        <v>474</v>
      </c>
      <c r="C9" s="61">
        <v>0</v>
      </c>
      <c r="D9" s="61">
        <v>0</v>
      </c>
      <c r="E9" s="61">
        <v>333</v>
      </c>
      <c r="F9" s="61">
        <v>333</v>
      </c>
      <c r="G9" s="54">
        <f t="shared" si="2"/>
        <v>333</v>
      </c>
      <c r="H9" s="55">
        <f t="shared" si="1"/>
        <v>333</v>
      </c>
      <c r="I9" s="55">
        <f t="shared" si="1"/>
        <v>333</v>
      </c>
      <c r="J9" s="55">
        <f t="shared" si="1"/>
        <v>333</v>
      </c>
      <c r="K9" s="56">
        <v>0</v>
      </c>
      <c r="L9" s="57"/>
      <c r="N9" s="57"/>
      <c r="O9" s="60" t="s">
        <v>474</v>
      </c>
      <c r="P9" s="59">
        <f t="shared" si="0"/>
        <v>0</v>
      </c>
      <c r="Q9" s="59">
        <f t="shared" si="0"/>
        <v>0</v>
      </c>
      <c r="R9" s="59">
        <f t="shared" si="0"/>
        <v>0</v>
      </c>
      <c r="S9" s="59">
        <f t="shared" si="0"/>
        <v>0</v>
      </c>
      <c r="T9" s="59">
        <f t="shared" si="0"/>
        <v>0</v>
      </c>
      <c r="U9" s="59">
        <f t="shared" si="0"/>
        <v>0</v>
      </c>
    </row>
    <row r="10" spans="2:21" x14ac:dyDescent="0.25">
      <c r="B10" s="49" t="s">
        <v>475</v>
      </c>
      <c r="C10" s="53">
        <v>0</v>
      </c>
      <c r="D10" s="53">
        <v>61</v>
      </c>
      <c r="E10" s="53">
        <v>161</v>
      </c>
      <c r="F10" s="53">
        <v>181</v>
      </c>
      <c r="G10" s="54">
        <f t="shared" si="2"/>
        <v>181</v>
      </c>
      <c r="H10" s="55">
        <f t="shared" si="1"/>
        <v>181</v>
      </c>
      <c r="I10" s="55">
        <f t="shared" si="1"/>
        <v>181</v>
      </c>
      <c r="J10" s="55">
        <f t="shared" si="1"/>
        <v>181</v>
      </c>
      <c r="K10" s="56">
        <v>0</v>
      </c>
      <c r="N10" s="58"/>
      <c r="O10" s="49" t="s">
        <v>475</v>
      </c>
      <c r="P10" s="59">
        <f t="shared" si="0"/>
        <v>0</v>
      </c>
      <c r="Q10" s="59">
        <f t="shared" si="0"/>
        <v>0</v>
      </c>
      <c r="R10" s="59">
        <f t="shared" si="0"/>
        <v>0</v>
      </c>
      <c r="S10" s="59">
        <f t="shared" si="0"/>
        <v>0</v>
      </c>
      <c r="T10" s="59">
        <f t="shared" si="0"/>
        <v>0</v>
      </c>
      <c r="U10" s="59">
        <f t="shared" si="0"/>
        <v>0</v>
      </c>
    </row>
    <row r="11" spans="2:21" x14ac:dyDescent="0.25">
      <c r="B11" s="60" t="s">
        <v>476</v>
      </c>
      <c r="C11" s="61">
        <v>0</v>
      </c>
      <c r="D11" s="61">
        <v>0</v>
      </c>
      <c r="E11" s="61">
        <v>3</v>
      </c>
      <c r="F11" s="61">
        <v>7</v>
      </c>
      <c r="G11" s="54">
        <f t="shared" si="2"/>
        <v>7</v>
      </c>
      <c r="H11" s="55">
        <f t="shared" si="1"/>
        <v>7</v>
      </c>
      <c r="I11" s="55">
        <f t="shared" si="1"/>
        <v>7</v>
      </c>
      <c r="J11" s="55">
        <f t="shared" si="1"/>
        <v>7</v>
      </c>
      <c r="K11" s="56">
        <v>0</v>
      </c>
      <c r="L11" s="57"/>
      <c r="N11" s="57"/>
      <c r="O11" s="60" t="s">
        <v>476</v>
      </c>
      <c r="P11" s="59">
        <f t="shared" si="0"/>
        <v>0</v>
      </c>
      <c r="Q11" s="59">
        <f t="shared" si="0"/>
        <v>0</v>
      </c>
      <c r="R11" s="59">
        <f t="shared" si="0"/>
        <v>0</v>
      </c>
      <c r="S11" s="59">
        <f t="shared" si="0"/>
        <v>0</v>
      </c>
      <c r="T11" s="59">
        <f t="shared" si="0"/>
        <v>0</v>
      </c>
      <c r="U11" s="59">
        <f t="shared" si="0"/>
        <v>0</v>
      </c>
    </row>
    <row r="12" spans="2:21" x14ac:dyDescent="0.25">
      <c r="B12" s="49" t="s">
        <v>477</v>
      </c>
      <c r="C12" s="53">
        <v>7</v>
      </c>
      <c r="D12" s="53">
        <v>14</v>
      </c>
      <c r="E12" s="53">
        <v>49</v>
      </c>
      <c r="F12" s="53">
        <v>97</v>
      </c>
      <c r="G12" s="54">
        <f t="shared" si="2"/>
        <v>97</v>
      </c>
      <c r="H12" s="55">
        <f t="shared" si="1"/>
        <v>97</v>
      </c>
      <c r="I12" s="55">
        <f t="shared" si="1"/>
        <v>97</v>
      </c>
      <c r="J12" s="55">
        <f t="shared" si="1"/>
        <v>97</v>
      </c>
      <c r="K12" s="56">
        <f>I51</f>
        <v>2.1863409982943737E-2</v>
      </c>
      <c r="L12" s="58" t="s">
        <v>478</v>
      </c>
      <c r="N12" s="57"/>
      <c r="O12" s="49" t="s">
        <v>477</v>
      </c>
      <c r="P12" s="59">
        <f t="shared" si="0"/>
        <v>153043.86988060616</v>
      </c>
      <c r="Q12" s="59">
        <f t="shared" si="0"/>
        <v>306087.73976121232</v>
      </c>
      <c r="R12" s="59">
        <f t="shared" si="0"/>
        <v>1071307.0891642431</v>
      </c>
      <c r="S12" s="59">
        <f t="shared" si="0"/>
        <v>2120750.7683455423</v>
      </c>
      <c r="T12" s="59">
        <f t="shared" si="0"/>
        <v>2120750.7683455423</v>
      </c>
      <c r="U12" s="59">
        <f>H12*$K12*1000000</f>
        <v>2120750.7683455423</v>
      </c>
    </row>
    <row r="13" spans="2:21" x14ac:dyDescent="0.25">
      <c r="B13" s="60" t="s">
        <v>479</v>
      </c>
      <c r="C13" s="61">
        <v>1</v>
      </c>
      <c r="D13" s="61">
        <v>0</v>
      </c>
      <c r="E13" s="61">
        <v>15</v>
      </c>
      <c r="F13" s="61">
        <v>16</v>
      </c>
      <c r="G13" s="54">
        <f t="shared" si="2"/>
        <v>16</v>
      </c>
      <c r="H13" s="55">
        <f t="shared" si="1"/>
        <v>16</v>
      </c>
      <c r="I13" s="55">
        <f t="shared" si="1"/>
        <v>16</v>
      </c>
      <c r="J13" s="55">
        <f t="shared" si="1"/>
        <v>16</v>
      </c>
      <c r="K13" s="56">
        <v>0</v>
      </c>
      <c r="N13" s="57"/>
      <c r="O13" s="60" t="s">
        <v>479</v>
      </c>
      <c r="P13" s="59">
        <f>C13*$K13*1000000</f>
        <v>0</v>
      </c>
      <c r="Q13" s="59">
        <f t="shared" si="0"/>
        <v>0</v>
      </c>
      <c r="R13" s="59">
        <f t="shared" si="0"/>
        <v>0</v>
      </c>
      <c r="S13" s="59">
        <f t="shared" si="0"/>
        <v>0</v>
      </c>
      <c r="T13" s="59">
        <f t="shared" si="0"/>
        <v>0</v>
      </c>
      <c r="U13" s="59">
        <f t="shared" si="0"/>
        <v>0</v>
      </c>
    </row>
    <row r="14" spans="2:21" x14ac:dyDescent="0.25">
      <c r="B14" s="49"/>
      <c r="C14" s="62">
        <f t="shared" ref="C14:J14" si="3">SUM(C4:C13)</f>
        <v>357</v>
      </c>
      <c r="D14" s="62">
        <f t="shared" si="3"/>
        <v>684</v>
      </c>
      <c r="E14" s="62">
        <f t="shared" si="3"/>
        <v>1184</v>
      </c>
      <c r="F14" s="62">
        <f t="shared" si="3"/>
        <v>1574</v>
      </c>
      <c r="G14" s="63">
        <f t="shared" si="3"/>
        <v>1574</v>
      </c>
      <c r="H14" s="63">
        <f t="shared" si="3"/>
        <v>1574</v>
      </c>
      <c r="I14" s="63">
        <f t="shared" si="3"/>
        <v>1574</v>
      </c>
      <c r="J14" s="63">
        <f t="shared" si="3"/>
        <v>1574</v>
      </c>
      <c r="K14" s="57"/>
      <c r="L14" s="57"/>
      <c r="O14" s="62"/>
      <c r="P14" s="64">
        <f t="shared" ref="P14:U14" si="4">SUM(P4:P13)</f>
        <v>3037811.0912564034</v>
      </c>
      <c r="Q14" s="64">
        <f t="shared" si="4"/>
        <v>5331623.6085041054</v>
      </c>
      <c r="R14" s="64">
        <f t="shared" si="4"/>
        <v>6132884.4184491867</v>
      </c>
      <c r="S14" s="64">
        <f t="shared" si="4"/>
        <v>9802633.2651564442</v>
      </c>
      <c r="T14" s="64">
        <f t="shared" si="4"/>
        <v>9802633.2651564442</v>
      </c>
      <c r="U14" s="64">
        <f t="shared" si="4"/>
        <v>9802633.2651564442</v>
      </c>
    </row>
    <row r="15" spans="2:21" x14ac:dyDescent="0.25">
      <c r="B15" s="49"/>
      <c r="C15" s="62"/>
      <c r="D15" s="65">
        <f>D14/C14</f>
        <v>1.9159663865546219</v>
      </c>
      <c r="E15" s="65">
        <f>E14/D14</f>
        <v>1.7309941520467835</v>
      </c>
      <c r="F15" s="65">
        <f>F14/E14</f>
        <v>1.3293918918918919</v>
      </c>
      <c r="G15" s="49"/>
      <c r="H15" s="57"/>
      <c r="O15" s="62"/>
      <c r="P15" s="64"/>
      <c r="Q15" s="64"/>
      <c r="R15" s="64"/>
      <c r="S15" s="64"/>
      <c r="T15" s="64"/>
    </row>
    <row r="16" spans="2:21" x14ac:dyDescent="0.25">
      <c r="B16" s="49" t="s">
        <v>480</v>
      </c>
      <c r="C16" s="49" t="s">
        <v>481</v>
      </c>
      <c r="D16" s="49"/>
      <c r="E16" s="49"/>
      <c r="F16" s="49"/>
      <c r="G16" s="49" t="s">
        <v>482</v>
      </c>
      <c r="H16" s="57"/>
    </row>
    <row r="17" spans="2:21" x14ac:dyDescent="0.25">
      <c r="B17" s="49"/>
      <c r="C17" s="49"/>
      <c r="D17" s="49"/>
      <c r="E17" s="49"/>
      <c r="F17" s="49"/>
      <c r="G17" s="49" t="s">
        <v>483</v>
      </c>
      <c r="H17" s="49"/>
      <c r="I17" s="49"/>
    </row>
    <row r="18" spans="2:21" x14ac:dyDescent="0.25">
      <c r="B18" s="66"/>
      <c r="C18" s="67"/>
      <c r="D18" s="67"/>
      <c r="E18" s="67"/>
      <c r="F18" s="67"/>
      <c r="G18" s="67"/>
      <c r="H18" s="67"/>
      <c r="I18" s="68"/>
      <c r="N18" s="69"/>
      <c r="O18" s="70" t="str">
        <f t="shared" ref="O18:O27" si="5">O4</f>
        <v>Retrofit</v>
      </c>
      <c r="P18" s="71">
        <f t="shared" ref="P18:P27" si="6">P4/2</f>
        <v>1331014.5463315197</v>
      </c>
      <c r="Q18" s="71">
        <f t="shared" ref="Q18:Q27" si="7">Q4/2+P4/2</f>
        <v>3687158.3084711661</v>
      </c>
      <c r="R18" s="71">
        <f t="shared" ref="R18:R27" si="8">R4/2+Q4+$P4/2</f>
        <v>7527259.2822040282</v>
      </c>
      <c r="S18" s="71">
        <f>S4/2+SUM($Q4:R4)+$P4/2</f>
        <v>11326024.400460757</v>
      </c>
      <c r="T18" s="71">
        <f>T4/2+SUM($Q4:S4)+$P4/2</f>
        <v>15955640.213787783</v>
      </c>
      <c r="U18" s="72">
        <f>U4/2+SUM($Q4:T4)+$P4/2</f>
        <v>20585256.027114809</v>
      </c>
    </row>
    <row r="19" spans="2:21" x14ac:dyDescent="0.25">
      <c r="B19" s="66"/>
      <c r="C19" s="67"/>
      <c r="D19" s="67"/>
      <c r="E19" s="67"/>
      <c r="F19" s="67"/>
      <c r="G19" s="67"/>
      <c r="H19" s="67"/>
      <c r="I19" s="68"/>
      <c r="N19" s="73"/>
      <c r="O19" s="47" t="str">
        <f t="shared" si="5"/>
        <v>Small Business</v>
      </c>
      <c r="P19" s="74">
        <f t="shared" si="6"/>
        <v>43805.188813214758</v>
      </c>
      <c r="Q19" s="74">
        <f t="shared" si="7"/>
        <v>61327.26433850066</v>
      </c>
      <c r="R19" s="74">
        <f t="shared" si="8"/>
        <v>166459.71749021608</v>
      </c>
      <c r="S19" s="74">
        <f>S5/2+SUM($Q5:R5)+$P5/2</f>
        <v>538803.82240254153</v>
      </c>
      <c r="T19" s="74">
        <f>T5/2+SUM($Q5:S5)+$P5/2</f>
        <v>1108271.2769743332</v>
      </c>
      <c r="U19" s="75">
        <f>U5/2+SUM($Q5:T5)+$P5/2</f>
        <v>1677738.7315461249</v>
      </c>
    </row>
    <row r="20" spans="2:21" x14ac:dyDescent="0.25">
      <c r="B20" s="76" t="s">
        <v>393</v>
      </c>
      <c r="C20" s="77">
        <v>2019</v>
      </c>
      <c r="D20" s="77">
        <v>2020</v>
      </c>
      <c r="E20" s="77">
        <v>2021</v>
      </c>
      <c r="F20" s="77">
        <v>2022</v>
      </c>
      <c r="G20" s="77">
        <v>2023</v>
      </c>
      <c r="H20" s="77"/>
      <c r="I20" s="78" t="s">
        <v>484</v>
      </c>
      <c r="J20" s="79"/>
      <c r="K20" s="79"/>
      <c r="L20" s="79"/>
      <c r="M20" s="79"/>
      <c r="N20" s="73"/>
      <c r="O20" s="47" t="str">
        <f t="shared" si="5"/>
        <v xml:space="preserve">Energy Performance </v>
      </c>
      <c r="P20" s="74">
        <f t="shared" si="6"/>
        <v>63589.529922978312</v>
      </c>
      <c r="Q20" s="74">
        <f t="shared" si="7"/>
        <v>143076.44232670119</v>
      </c>
      <c r="R20" s="74">
        <f t="shared" si="8"/>
        <v>421280.63573973131</v>
      </c>
      <c r="S20" s="74">
        <f>S6/2+SUM($Q6:R6)+$P6/2</f>
        <v>834612.58023909037</v>
      </c>
      <c r="T20" s="74">
        <f>T6/2+SUM($Q6:S6)+$P6/2</f>
        <v>1263841.9072191939</v>
      </c>
      <c r="U20" s="75">
        <f>U6/2+SUM($Q6:T6)+$P6/2</f>
        <v>1693071.2341992974</v>
      </c>
    </row>
    <row r="21" spans="2:21" x14ac:dyDescent="0.25">
      <c r="B21" s="80" t="s">
        <v>485</v>
      </c>
      <c r="C21" s="81">
        <v>128998218668.82481</v>
      </c>
      <c r="D21" s="81">
        <v>127404529765.21008</v>
      </c>
      <c r="E21" s="81">
        <v>128402542286.7</v>
      </c>
      <c r="F21" s="81">
        <v>130335939993.45003</v>
      </c>
      <c r="G21" s="81">
        <v>129496424296.9221</v>
      </c>
      <c r="H21" s="81"/>
      <c r="I21" s="82">
        <f>AVERAGE(C21:G21)</f>
        <v>128927531002.22141</v>
      </c>
      <c r="J21" s="64"/>
      <c r="K21" s="64"/>
      <c r="L21" s="64"/>
      <c r="M21" s="64"/>
      <c r="N21" s="83" t="s">
        <v>486</v>
      </c>
      <c r="O21" s="47" t="str">
        <f t="shared" si="5"/>
        <v>Energy Management</v>
      </c>
      <c r="P21" s="74">
        <f t="shared" si="6"/>
        <v>3974.3456201861445</v>
      </c>
      <c r="Q21" s="74">
        <f t="shared" si="7"/>
        <v>63589.529922978312</v>
      </c>
      <c r="R21" s="74">
        <f t="shared" si="8"/>
        <v>238460.73721116869</v>
      </c>
      <c r="S21" s="74">
        <f>S7/2+SUM($Q7:R7)+$P7/2</f>
        <v>735253.9397344368</v>
      </c>
      <c r="T21" s="74">
        <f>T7/2+SUM($Q7:S7)+$P7/2</f>
        <v>1498328.2988101766</v>
      </c>
      <c r="U21" s="75">
        <f>U7/2+SUM($Q7:T7)+$P7/2</f>
        <v>2261402.6578859161</v>
      </c>
    </row>
    <row r="22" spans="2:21" x14ac:dyDescent="0.25">
      <c r="B22" s="80" t="s">
        <v>168</v>
      </c>
      <c r="C22" s="84">
        <v>1010612631</v>
      </c>
      <c r="D22" s="84">
        <v>1011470685</v>
      </c>
      <c r="E22" s="84">
        <v>1017906857</v>
      </c>
      <c r="F22" s="84">
        <v>1048656697</v>
      </c>
      <c r="G22" s="84">
        <v>1037913921.42</v>
      </c>
      <c r="H22" s="84"/>
      <c r="I22" s="82">
        <f>AVERAGE(C22:G22)</f>
        <v>1025312158.284</v>
      </c>
      <c r="J22" s="64"/>
      <c r="K22" s="64"/>
      <c r="L22" s="64"/>
      <c r="M22" s="64"/>
      <c r="N22" s="85" t="s">
        <v>487</v>
      </c>
      <c r="O22" s="47" t="str">
        <f t="shared" si="5"/>
        <v>Industrial Energy Efficiency</v>
      </c>
      <c r="P22" s="74">
        <f t="shared" si="6"/>
        <v>0</v>
      </c>
      <c r="Q22" s="74">
        <f t="shared" si="7"/>
        <v>0</v>
      </c>
      <c r="R22" s="74">
        <f t="shared" si="8"/>
        <v>645247.77142812079</v>
      </c>
      <c r="S22" s="74">
        <f>S8/2+SUM($Q8:R8)+$P8/2</f>
        <v>1935743.3142843624</v>
      </c>
      <c r="T22" s="74">
        <f>T8/2+SUM($Q8:S8)+$P8/2</f>
        <v>3226238.8571406039</v>
      </c>
      <c r="U22" s="75">
        <f>U8/2+SUM($Q8:T8)+$P8/2</f>
        <v>4516734.3999968451</v>
      </c>
    </row>
    <row r="23" spans="2:21" x14ac:dyDescent="0.25">
      <c r="B23" s="80" t="s">
        <v>488</v>
      </c>
      <c r="C23" s="86">
        <f>C22/C21</f>
        <v>7.8343146240998154E-3</v>
      </c>
      <c r="D23" s="86">
        <f>D22/D21</f>
        <v>7.9390480610383989E-3</v>
      </c>
      <c r="E23" s="86">
        <f>E22/E21</f>
        <v>7.9274665351032961E-3</v>
      </c>
      <c r="F23" s="86">
        <f>F22/F21</f>
        <v>8.0457983964568776E-3</v>
      </c>
      <c r="G23" s="86">
        <f>G22/G21</f>
        <v>8.0150006230300923E-3</v>
      </c>
      <c r="H23" s="86"/>
      <c r="I23" s="87">
        <f>I22/I21</f>
        <v>7.9526238524364051E-3</v>
      </c>
      <c r="J23" s="88"/>
      <c r="K23" s="88"/>
      <c r="L23" s="88"/>
      <c r="M23" s="88"/>
      <c r="N23" s="73"/>
      <c r="O23" s="47" t="str">
        <f t="shared" si="5"/>
        <v>Targeted Greenhouse</v>
      </c>
      <c r="P23" s="74">
        <f t="shared" si="6"/>
        <v>0</v>
      </c>
      <c r="Q23" s="74">
        <f t="shared" si="7"/>
        <v>0</v>
      </c>
      <c r="R23" s="74">
        <f t="shared" si="8"/>
        <v>0</v>
      </c>
      <c r="S23" s="74">
        <f>S9/2+SUM($Q9:R9)+$P9/2</f>
        <v>0</v>
      </c>
      <c r="T23" s="74">
        <f>T9/2+SUM($Q9:S9)+$P9/2</f>
        <v>0</v>
      </c>
      <c r="U23" s="75">
        <f>U9/2+SUM($Q9:T9)+$P9/2</f>
        <v>0</v>
      </c>
    </row>
    <row r="24" spans="2:21" x14ac:dyDescent="0.25">
      <c r="B24" s="80"/>
      <c r="C24" s="49"/>
      <c r="D24" s="49"/>
      <c r="E24" s="49"/>
      <c r="F24" s="49"/>
      <c r="G24" s="49"/>
      <c r="H24" s="49"/>
      <c r="I24" s="89"/>
      <c r="J24" s="62"/>
      <c r="K24" s="62"/>
      <c r="L24" s="62"/>
      <c r="M24" s="62"/>
      <c r="N24" s="73"/>
      <c r="O24" s="47" t="str">
        <f t="shared" si="5"/>
        <v>Local Initiatives</v>
      </c>
      <c r="P24" s="74">
        <f t="shared" si="6"/>
        <v>0</v>
      </c>
      <c r="Q24" s="74">
        <f t="shared" si="7"/>
        <v>0</v>
      </c>
      <c r="R24" s="74">
        <f t="shared" si="8"/>
        <v>0</v>
      </c>
      <c r="S24" s="74">
        <f>S10/2+SUM($Q10:R10)+$P10/2</f>
        <v>0</v>
      </c>
      <c r="T24" s="74">
        <f>T10/2+SUM($Q10:S10)+$P10/2</f>
        <v>0</v>
      </c>
      <c r="U24" s="75">
        <f>U10/2+SUM($Q10:T10)+$P10/2</f>
        <v>0</v>
      </c>
    </row>
    <row r="25" spans="2:21" x14ac:dyDescent="0.25">
      <c r="B25" s="73" t="s">
        <v>394</v>
      </c>
      <c r="C25" s="245"/>
      <c r="D25" s="49"/>
      <c r="E25" s="49"/>
      <c r="F25" s="49"/>
      <c r="G25" s="49"/>
      <c r="H25" s="49"/>
      <c r="I25" s="90"/>
      <c r="N25" s="91"/>
      <c r="O25" s="47" t="str">
        <f t="shared" si="5"/>
        <v>Residential Demand Response</v>
      </c>
      <c r="P25" s="74">
        <f t="shared" si="6"/>
        <v>0</v>
      </c>
      <c r="Q25" s="74">
        <f t="shared" si="7"/>
        <v>0</v>
      </c>
      <c r="R25" s="74">
        <f t="shared" si="8"/>
        <v>0</v>
      </c>
      <c r="S25" s="74">
        <f>S11/2+SUM($Q11:R11)+$P11/2</f>
        <v>0</v>
      </c>
      <c r="T25" s="74">
        <f>T11/2+SUM($Q11:S11)+$P11/2</f>
        <v>0</v>
      </c>
      <c r="U25" s="75">
        <f>U11/2+SUM($Q11:T11)+$P11/2</f>
        <v>0</v>
      </c>
    </row>
    <row r="26" spans="2:21" x14ac:dyDescent="0.25">
      <c r="B26" s="80" t="s">
        <v>485</v>
      </c>
      <c r="C26" s="246">
        <v>40380447498.227791</v>
      </c>
      <c r="D26" s="246">
        <v>43245011031.389999</v>
      </c>
      <c r="E26" s="246">
        <v>43371552787.290001</v>
      </c>
      <c r="F26" s="246">
        <v>43540648596.359993</v>
      </c>
      <c r="G26" s="246">
        <v>42711992242.221611</v>
      </c>
      <c r="H26" s="245"/>
      <c r="I26" s="82">
        <f>AVERAGE(C26:G26)</f>
        <v>42649930431.097885</v>
      </c>
      <c r="N26" s="73"/>
      <c r="O26" s="47" t="str">
        <f t="shared" si="5"/>
        <v>Energy Affordability Program</v>
      </c>
      <c r="P26" s="74">
        <f t="shared" si="6"/>
        <v>76521.934940303079</v>
      </c>
      <c r="Q26" s="74">
        <f t="shared" si="7"/>
        <v>229565.80482090922</v>
      </c>
      <c r="R26" s="74">
        <f t="shared" si="8"/>
        <v>918263.21928363701</v>
      </c>
      <c r="S26" s="74">
        <f>S12/2+SUM($Q12:R12)+$P12/2</f>
        <v>2514292.1480385298</v>
      </c>
      <c r="T26" s="74">
        <f>T12/2+SUM($Q12:S12)+$P12/2</f>
        <v>4635042.9163840711</v>
      </c>
      <c r="U26" s="75">
        <f>U12/2+SUM($Q12:T12)+$P12/2</f>
        <v>6755793.6847296134</v>
      </c>
    </row>
    <row r="27" spans="2:21" x14ac:dyDescent="0.25">
      <c r="B27" s="80" t="s">
        <v>168</v>
      </c>
      <c r="C27" s="246">
        <v>482531158</v>
      </c>
      <c r="D27" s="246">
        <v>515808015</v>
      </c>
      <c r="E27" s="246">
        <v>512708991</v>
      </c>
      <c r="F27" s="246">
        <v>507634502</v>
      </c>
      <c r="G27" s="246">
        <v>504186847.85000002</v>
      </c>
      <c r="H27" s="245"/>
      <c r="I27" s="82">
        <f>AVERAGE(C27:G27)</f>
        <v>504573902.76999998</v>
      </c>
      <c r="J27" s="93"/>
      <c r="K27" s="94"/>
      <c r="N27" s="73"/>
      <c r="O27" s="47" t="str">
        <f t="shared" si="5"/>
        <v>First Nations Program</v>
      </c>
      <c r="P27" s="74">
        <f t="shared" si="6"/>
        <v>0</v>
      </c>
      <c r="Q27" s="74">
        <f t="shared" si="7"/>
        <v>0</v>
      </c>
      <c r="R27" s="74">
        <f t="shared" si="8"/>
        <v>0</v>
      </c>
      <c r="S27" s="74">
        <f>S13/2+SUM($Q13:R13)+$P13/2</f>
        <v>0</v>
      </c>
      <c r="T27" s="74">
        <f>T13/2+SUM($Q13:S13)+$P13/2</f>
        <v>0</v>
      </c>
      <c r="U27" s="75">
        <f>U13/2+SUM($Q13:T13)+$P13/2</f>
        <v>0</v>
      </c>
    </row>
    <row r="28" spans="2:21" x14ac:dyDescent="0.25">
      <c r="B28" s="80" t="s">
        <v>488</v>
      </c>
      <c r="C28" s="86">
        <f>C27/C26</f>
        <v>1.1949623837655025E-2</v>
      </c>
      <c r="D28" s="86">
        <f>D27/D26</f>
        <v>1.1927572746497707E-2</v>
      </c>
      <c r="E28" s="86">
        <f>E27/E26</f>
        <v>1.1821319691146704E-2</v>
      </c>
      <c r="F28" s="86">
        <f>F27/F26</f>
        <v>1.1658864035443844E-2</v>
      </c>
      <c r="G28" s="86">
        <f>G27/G26</f>
        <v>1.1804339282296503E-2</v>
      </c>
      <c r="H28" s="86"/>
      <c r="I28" s="87">
        <f>I27/I26</f>
        <v>1.1830591460990839E-2</v>
      </c>
      <c r="J28" s="93"/>
      <c r="K28" s="95"/>
      <c r="L28" s="62"/>
      <c r="M28" s="62"/>
      <c r="N28" s="96"/>
      <c r="O28" s="62" t="s">
        <v>326</v>
      </c>
      <c r="P28" s="64">
        <f t="shared" ref="P28:U28" si="9">SUM(P18:P27)</f>
        <v>1518905.5456282017</v>
      </c>
      <c r="Q28" s="64">
        <f t="shared" si="9"/>
        <v>4184717.3498802558</v>
      </c>
      <c r="R28" s="64">
        <f t="shared" si="9"/>
        <v>9916971.3633569013</v>
      </c>
      <c r="S28" s="64">
        <f t="shared" si="9"/>
        <v>17884730.205159716</v>
      </c>
      <c r="T28" s="64">
        <f t="shared" si="9"/>
        <v>27687363.47031616</v>
      </c>
      <c r="U28" s="82">
        <f t="shared" si="9"/>
        <v>37489996.735472605</v>
      </c>
    </row>
    <row r="29" spans="2:21" x14ac:dyDescent="0.25">
      <c r="B29" s="73"/>
      <c r="C29" s="246"/>
      <c r="D29" s="246"/>
      <c r="E29" s="246"/>
      <c r="F29" s="246"/>
      <c r="G29" s="246"/>
      <c r="H29" s="245"/>
      <c r="I29" s="244"/>
      <c r="K29" s="62"/>
      <c r="L29" s="62"/>
      <c r="M29" s="62"/>
      <c r="N29" s="96"/>
      <c r="U29" s="92"/>
    </row>
    <row r="30" spans="2:21" x14ac:dyDescent="0.25">
      <c r="B30" s="73" t="s">
        <v>415</v>
      </c>
      <c r="C30" s="246"/>
      <c r="D30" s="246"/>
      <c r="E30" s="246"/>
      <c r="F30" s="246"/>
      <c r="G30" s="246"/>
      <c r="H30" s="245"/>
      <c r="I30" s="244"/>
      <c r="K30" s="62"/>
      <c r="L30" s="62"/>
      <c r="M30" s="62"/>
      <c r="N30" s="97"/>
      <c r="O30" s="47" t="s">
        <v>189</v>
      </c>
      <c r="P30" s="98">
        <f t="shared" ref="P30:U30" si="10">$O$61*P$18+$O$62*P$19+$O$63*P$20+$O$64*P$21+$O$65*P$22+$O$66*P$23+$O$67*P$24+$O$68*P$25+$O$69*P$26+$O$70*P$27</f>
        <v>76521.934940303079</v>
      </c>
      <c r="Q30" s="98">
        <f t="shared" si="10"/>
        <v>229565.80482090922</v>
      </c>
      <c r="R30" s="98">
        <f t="shared" si="10"/>
        <v>918263.21928363701</v>
      </c>
      <c r="S30" s="98">
        <f t="shared" si="10"/>
        <v>2514292.1480385298</v>
      </c>
      <c r="T30" s="98">
        <f t="shared" si="10"/>
        <v>4635042.9163840711</v>
      </c>
      <c r="U30" s="99">
        <f t="shared" si="10"/>
        <v>6755793.6847296134</v>
      </c>
    </row>
    <row r="31" spans="2:21" x14ac:dyDescent="0.25">
      <c r="B31" s="80" t="s">
        <v>485</v>
      </c>
      <c r="C31" s="246">
        <v>13348732845.47097</v>
      </c>
      <c r="D31" s="246">
        <v>12530281718.65</v>
      </c>
      <c r="E31" s="246">
        <v>12853976851.249998</v>
      </c>
      <c r="F31" s="246">
        <v>13791653390.570004</v>
      </c>
      <c r="G31" s="246">
        <v>13740005714.122889</v>
      </c>
      <c r="H31" s="245"/>
      <c r="I31" s="82">
        <f>AVERAGE(C31:G31)</f>
        <v>13252930104.012774</v>
      </c>
      <c r="J31" s="62"/>
      <c r="K31" s="62"/>
      <c r="L31" s="62"/>
      <c r="M31" s="62"/>
      <c r="N31" s="83" t="s">
        <v>486</v>
      </c>
      <c r="O31" s="47" t="s">
        <v>400</v>
      </c>
      <c r="P31" s="98">
        <f t="shared" ref="P31:U31" si="11">$P$61*P$18+$P$62*P$19+$P$63*P$20+$P$64*P$21+$P$65*P$22+$P$66*P$23+$P$67*P$24+$P$68*P$25+$P$69*P$26+$P$70*P$27</f>
        <v>523045.14947170304</v>
      </c>
      <c r="Q31" s="98">
        <f t="shared" si="11"/>
        <v>1405398.2290721829</v>
      </c>
      <c r="R31" s="98">
        <f t="shared" si="11"/>
        <v>2925840.9368880829</v>
      </c>
      <c r="S31" s="98">
        <f t="shared" si="11"/>
        <v>4683170.9356260905</v>
      </c>
      <c r="T31" s="98">
        <f t="shared" si="11"/>
        <v>6921651.6766712638</v>
      </c>
      <c r="U31" s="99">
        <f t="shared" si="11"/>
        <v>9160132.4177164361</v>
      </c>
    </row>
    <row r="32" spans="2:21" x14ac:dyDescent="0.25">
      <c r="B32" s="80" t="s">
        <v>168</v>
      </c>
      <c r="C32" s="246">
        <v>115614839</v>
      </c>
      <c r="D32" s="246">
        <v>113329725</v>
      </c>
      <c r="E32" s="246">
        <v>117469095</v>
      </c>
      <c r="F32" s="246">
        <v>124305034</v>
      </c>
      <c r="G32" s="246">
        <v>126694932.13</v>
      </c>
      <c r="H32" s="245"/>
      <c r="I32" s="82">
        <f>AVERAGE(C32:G32)</f>
        <v>119482725.02599999</v>
      </c>
      <c r="J32" s="62"/>
      <c r="K32" s="62"/>
      <c r="L32" s="62"/>
      <c r="M32" s="62"/>
      <c r="N32" s="85" t="s">
        <v>487</v>
      </c>
      <c r="O32" s="47" t="s">
        <v>303</v>
      </c>
      <c r="P32" s="98">
        <f t="shared" ref="P32:U32" si="12">$Q$61*P$18+$Q$62*P$19+$Q$63*P$20+$Q$64*P$21+$Q$65*P$22+$Q$66*P$23+$Q$67*P$24+$Q$68*P$25+$Q$69*P$26+$Q$70*P$27</f>
        <v>761665.47636369674</v>
      </c>
      <c r="Q32" s="98">
        <f t="shared" si="12"/>
        <v>2098433.3307671095</v>
      </c>
      <c r="R32" s="98">
        <f t="shared" si="12"/>
        <v>4435770.3598846961</v>
      </c>
      <c r="S32" s="98">
        <f t="shared" si="12"/>
        <v>6988587.9725386044</v>
      </c>
      <c r="T32" s="98">
        <f t="shared" si="12"/>
        <v>10093084.848418077</v>
      </c>
      <c r="U32" s="99">
        <f t="shared" si="12"/>
        <v>13197581.724297546</v>
      </c>
    </row>
    <row r="33" spans="2:21" x14ac:dyDescent="0.25">
      <c r="B33" s="80" t="s">
        <v>488</v>
      </c>
      <c r="C33" s="86">
        <f>C32/C31</f>
        <v>8.661109660249619E-3</v>
      </c>
      <c r="D33" s="86">
        <f>D32/D31</f>
        <v>9.0444674385349762E-3</v>
      </c>
      <c r="E33" s="86">
        <f>E32/E31</f>
        <v>9.1387355337096774E-3</v>
      </c>
      <c r="F33" s="86">
        <f>F32/F31</f>
        <v>9.0130625009031302E-3</v>
      </c>
      <c r="G33" s="86">
        <f>G32/G31</f>
        <v>9.2208791441603655E-3</v>
      </c>
      <c r="H33" s="86"/>
      <c r="I33" s="87">
        <f>I32/I31</f>
        <v>9.0155704503280028E-3</v>
      </c>
      <c r="J33" s="62"/>
      <c r="K33" s="62"/>
      <c r="L33" s="62"/>
      <c r="M33" s="62"/>
      <c r="N33" s="85"/>
      <c r="O33" s="47" t="s">
        <v>304</v>
      </c>
      <c r="P33" s="98">
        <f t="shared" ref="P33:U33" si="13">$R$61*P$18+$R$62*P$19+$R$63*P$20+$R$64*P$21+$R$65*P$22+$R$66*P$23+$R$67*P$24+$R$68*P$25+$R$69*P$26+$R$70*P$27</f>
        <v>121676.2517835363</v>
      </c>
      <c r="Q33" s="98">
        <f t="shared" si="13"/>
        <v>350798.16077010747</v>
      </c>
      <c r="R33" s="98">
        <f t="shared" si="13"/>
        <v>1392288.5183637259</v>
      </c>
      <c r="S33" s="98">
        <f t="shared" si="13"/>
        <v>3261981.1382748727</v>
      </c>
      <c r="T33" s="98">
        <f t="shared" si="13"/>
        <v>5376629.4808830712</v>
      </c>
      <c r="U33" s="99">
        <f t="shared" si="13"/>
        <v>7491277.8234912688</v>
      </c>
    </row>
    <row r="34" spans="2:21" x14ac:dyDescent="0.25">
      <c r="B34" s="73"/>
      <c r="C34" s="246"/>
      <c r="D34" s="246"/>
      <c r="E34" s="246"/>
      <c r="F34" s="246"/>
      <c r="G34" s="246"/>
      <c r="H34" s="245"/>
      <c r="I34" s="244"/>
      <c r="K34" s="62"/>
      <c r="L34" s="62"/>
      <c r="M34" s="62"/>
      <c r="N34" s="73"/>
      <c r="O34" s="47" t="s">
        <v>115</v>
      </c>
      <c r="P34" s="98">
        <f t="shared" ref="P34:U34" si="14">$S$61*P$18+$S$62*P$19+$S$63*P$20+$S$64*P$21+$S$65*P$22+$S$66*P$23+$S$67*P$24+$S$68*P$25+$S$69*P$26+$S$70*P$27</f>
        <v>35996.733068962851</v>
      </c>
      <c r="Q34" s="98">
        <f t="shared" si="14"/>
        <v>100521.82444994657</v>
      </c>
      <c r="R34" s="98">
        <f t="shared" si="14"/>
        <v>244808.32893676072</v>
      </c>
      <c r="S34" s="98">
        <f t="shared" si="14"/>
        <v>436698.0106816215</v>
      </c>
      <c r="T34" s="98">
        <f t="shared" si="14"/>
        <v>660954.5479596823</v>
      </c>
      <c r="U34" s="99">
        <f t="shared" si="14"/>
        <v>885211.08523774287</v>
      </c>
    </row>
    <row r="35" spans="2:21" x14ac:dyDescent="0.25">
      <c r="B35" s="73" t="s">
        <v>437</v>
      </c>
      <c r="C35" s="246"/>
      <c r="D35" s="246"/>
      <c r="E35" s="246"/>
      <c r="F35" s="246"/>
      <c r="G35" s="246"/>
      <c r="H35" s="245"/>
      <c r="I35" s="244"/>
      <c r="N35" s="73"/>
      <c r="O35" s="62" t="s">
        <v>326</v>
      </c>
      <c r="P35" s="64">
        <f t="shared" ref="P35:U35" si="15">SUM(P30:P34)</f>
        <v>1518905.5456282019</v>
      </c>
      <c r="Q35" s="64">
        <f t="shared" si="15"/>
        <v>4184717.3498802558</v>
      </c>
      <c r="R35" s="64">
        <f t="shared" si="15"/>
        <v>9916971.3633569032</v>
      </c>
      <c r="S35" s="64">
        <f t="shared" si="15"/>
        <v>17884730.205159716</v>
      </c>
      <c r="T35" s="64">
        <f t="shared" si="15"/>
        <v>27687363.47031616</v>
      </c>
      <c r="U35" s="82">
        <f t="shared" si="15"/>
        <v>37489996.735472605</v>
      </c>
    </row>
    <row r="36" spans="2:21" x14ac:dyDescent="0.25">
      <c r="B36" s="80" t="s">
        <v>485</v>
      </c>
      <c r="C36" s="246">
        <v>51307299220.885902</v>
      </c>
      <c r="D36" s="246">
        <v>48237791431.170006</v>
      </c>
      <c r="E36" s="246">
        <v>48842596890.82</v>
      </c>
      <c r="F36" s="246">
        <v>49862673590.639999</v>
      </c>
      <c r="G36" s="246">
        <v>49525695241.667503</v>
      </c>
      <c r="H36" s="245"/>
      <c r="I36" s="82">
        <f>AVERAGE(C36:G36)</f>
        <v>49555211275.03669</v>
      </c>
      <c r="N36" s="73"/>
      <c r="U36" s="92"/>
    </row>
    <row r="37" spans="2:21" x14ac:dyDescent="0.25">
      <c r="B37" s="80" t="s">
        <v>168</v>
      </c>
      <c r="C37" s="246">
        <v>405750093</v>
      </c>
      <c r="D37" s="246">
        <v>375387717</v>
      </c>
      <c r="E37" s="246">
        <v>380730702</v>
      </c>
      <c r="F37" s="246">
        <v>409501181</v>
      </c>
      <c r="G37" s="246">
        <v>399693192.60000002</v>
      </c>
      <c r="H37" s="245"/>
      <c r="I37" s="82">
        <f>AVERAGE(C37:G37)</f>
        <v>394212577.12</v>
      </c>
      <c r="N37" s="73"/>
      <c r="O37" s="47" t="str">
        <f>O30</f>
        <v>Residential</v>
      </c>
      <c r="P37" s="98">
        <f t="shared" ref="P37:U37" si="16">$O$61*P$4+$O$62*P$5+$O$63*P$6+$O$64*P$7+$O$65*P$8+$O$66*P$9+$O$67*P$10+$O$68*P$11+$O$69*P$12+$O$70*P$13</f>
        <v>153043.86988060616</v>
      </c>
      <c r="Q37" s="98">
        <f t="shared" si="16"/>
        <v>306087.73976121232</v>
      </c>
      <c r="R37" s="98">
        <f t="shared" si="16"/>
        <v>1071307.0891642431</v>
      </c>
      <c r="S37" s="98">
        <f t="shared" si="16"/>
        <v>2120750.7683455423</v>
      </c>
      <c r="T37" s="98">
        <f t="shared" si="16"/>
        <v>2120750.7683455423</v>
      </c>
      <c r="U37" s="99">
        <f t="shared" si="16"/>
        <v>2120750.7683455423</v>
      </c>
    </row>
    <row r="38" spans="2:21" x14ac:dyDescent="0.25">
      <c r="B38" s="80" t="s">
        <v>488</v>
      </c>
      <c r="C38" s="86">
        <f>C37/C36</f>
        <v>7.908233314974986E-3</v>
      </c>
      <c r="D38" s="86">
        <f>D37/D36</f>
        <v>7.7820253760091142E-3</v>
      </c>
      <c r="E38" s="86">
        <f>E37/E36</f>
        <v>7.7950544450178204E-3</v>
      </c>
      <c r="F38" s="86">
        <f>F37/F36</f>
        <v>8.2125797016401811E-3</v>
      </c>
      <c r="G38" s="86">
        <f>G37/G36</f>
        <v>8.07042063013233E-3</v>
      </c>
      <c r="H38" s="86"/>
      <c r="I38" s="87">
        <f>I37/I36</f>
        <v>7.9550175849736234E-3</v>
      </c>
      <c r="N38" s="73"/>
      <c r="O38" s="47" t="s">
        <v>400</v>
      </c>
      <c r="P38" s="98">
        <f t="shared" ref="P38:U38" si="17">$P$61*P$4+$P$62*P$5+$P$63*P$6+$P$64*P$7+$P$65*P$8+$P$66*P$9+$P$67*P$10+$P$68*P$11+$P$69*P$12+$P$70*P$13</f>
        <v>1046090.2989434061</v>
      </c>
      <c r="Q38" s="98">
        <f t="shared" si="17"/>
        <v>1764706.1592009596</v>
      </c>
      <c r="R38" s="98">
        <f t="shared" si="17"/>
        <v>1276179.2564308401</v>
      </c>
      <c r="S38" s="98">
        <f t="shared" si="17"/>
        <v>2238480.7410451733</v>
      </c>
      <c r="T38" s="98">
        <f t="shared" si="17"/>
        <v>2238480.7410451733</v>
      </c>
      <c r="U38" s="99">
        <f t="shared" si="17"/>
        <v>2238480.7410451733</v>
      </c>
    </row>
    <row r="39" spans="2:21" x14ac:dyDescent="0.25">
      <c r="B39" s="73"/>
      <c r="C39" s="245"/>
      <c r="D39" s="49"/>
      <c r="E39" s="245"/>
      <c r="F39" s="245"/>
      <c r="G39" s="245"/>
      <c r="H39" s="245"/>
      <c r="I39" s="244"/>
      <c r="N39" s="73" t="s">
        <v>472</v>
      </c>
      <c r="O39" s="47" t="s">
        <v>303</v>
      </c>
      <c r="P39" s="98">
        <f t="shared" ref="P39:U39" si="18">$Q$61*P$4+$Q$62*P$5+$Q$63*P$6+$Q$64*P$7+$Q$65*P$8+$Q$66*P$9+$Q$67*P$10+$Q$68*P$11+$Q$69*P$12+$Q$70*P$13</f>
        <v>1523330.9527273935</v>
      </c>
      <c r="Q39" s="98">
        <f>$Q$61*Q$4+$Q$62*Q$5+$Q$63*Q$6+$Q$64*Q$7+$Q$65*Q$8+$Q$66*Q$9+$Q$67*Q$10+$Q$68*Q$11+$Q$69*Q$12+$Q$70*Q$13</f>
        <v>2673535.7088068253</v>
      </c>
      <c r="R39" s="98">
        <f t="shared" si="18"/>
        <v>2001138.3494283485</v>
      </c>
      <c r="S39" s="98">
        <f t="shared" si="18"/>
        <v>3104496.8758794689</v>
      </c>
      <c r="T39" s="98">
        <f t="shared" si="18"/>
        <v>3104496.8758794689</v>
      </c>
      <c r="U39" s="99">
        <f t="shared" si="18"/>
        <v>3104496.8758794689</v>
      </c>
    </row>
    <row r="40" spans="2:21" x14ac:dyDescent="0.25">
      <c r="B40" s="73" t="s">
        <v>418</v>
      </c>
      <c r="C40" s="245"/>
      <c r="D40" s="245"/>
      <c r="E40" s="245"/>
      <c r="F40" s="245"/>
      <c r="G40" s="245"/>
      <c r="H40" s="245"/>
      <c r="I40" s="244"/>
      <c r="N40" s="73"/>
      <c r="O40" s="47" t="s">
        <v>304</v>
      </c>
      <c r="P40" s="98">
        <f t="shared" ref="P40:U40" si="19">$R$61*P$4+$R$62*P$5+$R$63*P$6+$R$64*P$7+$R$65*P$8+$R$66*P$9+$R$67*P$10+$R$68*P$11+$R$69*P$12+$R$70*P$13</f>
        <v>243352.50356707259</v>
      </c>
      <c r="Q40" s="98">
        <f t="shared" si="19"/>
        <v>458243.81797314249</v>
      </c>
      <c r="R40" s="98">
        <f t="shared" si="19"/>
        <v>1624736.8972140942</v>
      </c>
      <c r="S40" s="98">
        <f t="shared" si="19"/>
        <v>2114648.3426081985</v>
      </c>
      <c r="T40" s="98">
        <f t="shared" si="19"/>
        <v>2114648.3426081985</v>
      </c>
      <c r="U40" s="99">
        <f t="shared" si="19"/>
        <v>2114648.3426081985</v>
      </c>
    </row>
    <row r="41" spans="2:21" x14ac:dyDescent="0.25">
      <c r="B41" s="80" t="s">
        <v>485</v>
      </c>
      <c r="C41" s="247">
        <f>7278232554.2417+C42</f>
        <v>7317111492.2417002</v>
      </c>
      <c r="D41" s="247">
        <f>6838043223.44+D42</f>
        <v>6868841739.4399996</v>
      </c>
      <c r="E41" s="247">
        <f>6589682637.65+E42</f>
        <v>6625829269.6499996</v>
      </c>
      <c r="F41" s="247">
        <f>6743150699.45+F42</f>
        <v>6777000859.4499998</v>
      </c>
      <c r="G41" s="247">
        <f>6697966276.26+G42</f>
        <v>6731816436.2600002</v>
      </c>
      <c r="I41" s="82">
        <f>AVERAGE(C41:G41)</f>
        <v>6864119959.4083405</v>
      </c>
      <c r="N41" s="73"/>
      <c r="O41" s="47" t="s">
        <v>115</v>
      </c>
      <c r="P41" s="98">
        <f t="shared" ref="P41:U41" si="20">$S$61*P$4+$S$62*P$5+$S$63*P$6+$S$64*P$7+$S$65*P$8+$S$66*P$9+$S$67*P$10+$S$68*P$11+$S$69*P$12+$S$70*P$13</f>
        <v>71993.466137925701</v>
      </c>
      <c r="Q41" s="98">
        <f t="shared" si="20"/>
        <v>129050.18276196746</v>
      </c>
      <c r="R41" s="98">
        <f t="shared" si="20"/>
        <v>159522.82621166087</v>
      </c>
      <c r="S41" s="98">
        <f t="shared" si="20"/>
        <v>224256.53727806071</v>
      </c>
      <c r="T41" s="98">
        <f t="shared" si="20"/>
        <v>224256.53727806071</v>
      </c>
      <c r="U41" s="99">
        <f t="shared" si="20"/>
        <v>224256.53727806071</v>
      </c>
    </row>
    <row r="42" spans="2:21" x14ac:dyDescent="0.25">
      <c r="B42" s="80" t="s">
        <v>168</v>
      </c>
      <c r="C42" s="247">
        <f>SUMIFS('Monthly Data'!$V:$V,'Monthly Data'!$B:$B,C20)</f>
        <v>38878938</v>
      </c>
      <c r="D42" s="247">
        <f>SUMIFS('Monthly Data'!$V:$V,'Monthly Data'!$B:$B,D20)</f>
        <v>30798516</v>
      </c>
      <c r="E42" s="247">
        <f>SUMIFS('Monthly Data'!$V:$V,'Monthly Data'!$B:$B,E20)</f>
        <v>36146632</v>
      </c>
      <c r="F42" s="247">
        <f>SUMIFS('Monthly Data'!$V:$V,'Monthly Data'!$B:$B,F20)</f>
        <v>33850160</v>
      </c>
      <c r="G42" s="247">
        <f>SUMIFS('Monthly Data'!$V:$V,'Monthly Data'!$B:$B,G20)</f>
        <v>33850160.000000007</v>
      </c>
      <c r="I42" s="82">
        <f>AVERAGE(C42:G42)</f>
        <v>34704881.200000003</v>
      </c>
      <c r="N42" s="102"/>
      <c r="O42" s="103" t="s">
        <v>326</v>
      </c>
      <c r="P42" s="104">
        <f t="shared" ref="P42:U42" si="21">SUM(P37:P41)</f>
        <v>3037811.0912564038</v>
      </c>
      <c r="Q42" s="104">
        <f t="shared" si="21"/>
        <v>5331623.6085041072</v>
      </c>
      <c r="R42" s="104">
        <f t="shared" si="21"/>
        <v>6132884.4184491867</v>
      </c>
      <c r="S42" s="104">
        <f t="shared" si="21"/>
        <v>9802633.2651564423</v>
      </c>
      <c r="T42" s="104">
        <f t="shared" si="21"/>
        <v>9802633.2651564423</v>
      </c>
      <c r="U42" s="105">
        <f t="shared" si="21"/>
        <v>9802633.2651564423</v>
      </c>
    </row>
    <row r="43" spans="2:21" x14ac:dyDescent="0.25">
      <c r="B43" s="80" t="s">
        <v>488</v>
      </c>
      <c r="C43" s="86">
        <f>C42/C41</f>
        <v>5.3134270321318951E-3</v>
      </c>
      <c r="D43" s="86">
        <f>D42/D41</f>
        <v>4.4838004962552726E-3</v>
      </c>
      <c r="E43" s="86">
        <f>E42/E41</f>
        <v>5.455412527088763E-3</v>
      </c>
      <c r="F43" s="86">
        <f>F42/F41</f>
        <v>4.9948584487485475E-3</v>
      </c>
      <c r="G43" s="86">
        <f>G42/G41</f>
        <v>5.0283842883283017E-3</v>
      </c>
      <c r="I43" s="87">
        <f>I42/I41</f>
        <v>5.0559840744670527E-3</v>
      </c>
      <c r="O43" s="62"/>
      <c r="P43" s="64"/>
      <c r="Q43" s="64"/>
      <c r="R43" s="64"/>
      <c r="S43" s="64"/>
      <c r="T43" s="64"/>
      <c r="U43" s="64"/>
    </row>
    <row r="44" spans="2:21" x14ac:dyDescent="0.25">
      <c r="B44" s="73"/>
      <c r="I44" s="92"/>
      <c r="O44" s="62"/>
      <c r="P44" s="64"/>
      <c r="Q44" s="64"/>
      <c r="R44" s="64"/>
      <c r="S44" s="64"/>
      <c r="T44" s="64"/>
      <c r="U44" s="64"/>
    </row>
    <row r="45" spans="2:21" x14ac:dyDescent="0.25">
      <c r="B45" s="80" t="s">
        <v>480</v>
      </c>
      <c r="C45" s="49" t="s">
        <v>489</v>
      </c>
      <c r="I45" s="92"/>
      <c r="O45" s="62"/>
      <c r="P45" s="64"/>
      <c r="Q45" s="64"/>
      <c r="R45" s="64"/>
      <c r="S45" s="64"/>
      <c r="T45" s="64"/>
      <c r="U45" s="64"/>
    </row>
    <row r="46" spans="2:21" x14ac:dyDescent="0.25">
      <c r="B46" s="102"/>
      <c r="C46" s="118"/>
      <c r="D46" s="118"/>
      <c r="E46" s="118"/>
      <c r="F46" s="118"/>
      <c r="G46" s="118"/>
      <c r="H46" s="118"/>
      <c r="I46" s="119"/>
    </row>
    <row r="47" spans="2:21" x14ac:dyDescent="0.25">
      <c r="B47" s="73"/>
      <c r="I47" s="92"/>
    </row>
    <row r="48" spans="2:21" x14ac:dyDescent="0.25">
      <c r="B48" s="76" t="str">
        <f>B12</f>
        <v>Energy Affordability Program</v>
      </c>
      <c r="C48" s="62">
        <v>2018</v>
      </c>
      <c r="D48" s="62">
        <v>2019</v>
      </c>
      <c r="E48" s="62">
        <v>2020</v>
      </c>
      <c r="F48" s="62">
        <v>2021</v>
      </c>
      <c r="G48" s="49">
        <v>2022</v>
      </c>
      <c r="H48" s="49"/>
      <c r="I48" s="89" t="s">
        <v>490</v>
      </c>
    </row>
    <row r="49" spans="2:22" x14ac:dyDescent="0.25">
      <c r="B49" s="80" t="s">
        <v>485</v>
      </c>
      <c r="C49" s="248">
        <v>1358300</v>
      </c>
      <c r="D49" s="248">
        <v>1400400</v>
      </c>
      <c r="E49" s="248">
        <v>1192760</v>
      </c>
      <c r="F49" s="248">
        <v>1418720</v>
      </c>
      <c r="G49" s="249">
        <v>1616050</v>
      </c>
      <c r="H49" s="49"/>
      <c r="I49" s="89"/>
    </row>
    <row r="50" spans="2:22" x14ac:dyDescent="0.25">
      <c r="B50" s="80" t="s">
        <v>168</v>
      </c>
      <c r="C50" s="248">
        <v>29100</v>
      </c>
      <c r="D50" s="100">
        <v>30710</v>
      </c>
      <c r="E50" s="248">
        <v>26000</v>
      </c>
      <c r="F50" s="248">
        <v>31230</v>
      </c>
      <c r="G50" s="249">
        <v>35800</v>
      </c>
      <c r="H50" s="49"/>
      <c r="I50" s="131"/>
    </row>
    <row r="51" spans="2:22" x14ac:dyDescent="0.25">
      <c r="B51" s="80" t="s">
        <v>491</v>
      </c>
      <c r="C51" s="101">
        <f>C50/C49</f>
        <v>2.1423838621806669E-2</v>
      </c>
      <c r="D51" s="101">
        <f>D50/D49</f>
        <v>2.192944872893459E-2</v>
      </c>
      <c r="E51" s="101">
        <f>E50/E49</f>
        <v>2.179818236694725E-2</v>
      </c>
      <c r="F51" s="101">
        <f>F50/F49</f>
        <v>2.2012800270666516E-2</v>
      </c>
      <c r="G51" s="101">
        <f>G50/G49</f>
        <v>2.2152779926363664E-2</v>
      </c>
      <c r="H51" s="49"/>
      <c r="I51" s="87">
        <f>AVERAGE(C51:G51)</f>
        <v>2.1863409982943737E-2</v>
      </c>
    </row>
    <row r="52" spans="2:22" x14ac:dyDescent="0.25">
      <c r="B52" s="80"/>
      <c r="C52" s="49"/>
      <c r="D52" s="49"/>
      <c r="E52" s="49"/>
      <c r="F52" s="49"/>
      <c r="G52" s="49"/>
      <c r="H52" s="49"/>
      <c r="I52" s="90"/>
    </row>
    <row r="53" spans="2:22" x14ac:dyDescent="0.25">
      <c r="B53" s="80" t="s">
        <v>480</v>
      </c>
      <c r="C53" s="49" t="s">
        <v>492</v>
      </c>
      <c r="D53" s="49"/>
      <c r="E53" s="49"/>
      <c r="F53" s="49"/>
      <c r="G53" s="49"/>
      <c r="H53" s="49"/>
      <c r="I53" s="90"/>
    </row>
    <row r="54" spans="2:22" x14ac:dyDescent="0.25">
      <c r="B54" s="80"/>
      <c r="C54" s="49" t="s">
        <v>493</v>
      </c>
      <c r="D54" s="49"/>
      <c r="E54" s="49"/>
      <c r="F54" s="49"/>
      <c r="G54" s="49"/>
      <c r="H54" s="49"/>
      <c r="I54" s="90"/>
    </row>
    <row r="55" spans="2:22" x14ac:dyDescent="0.25">
      <c r="B55" s="106"/>
      <c r="C55" s="107"/>
      <c r="D55" s="107"/>
      <c r="E55" s="107"/>
      <c r="F55" s="107"/>
      <c r="G55" s="107"/>
      <c r="H55" s="107"/>
      <c r="I55" s="108"/>
    </row>
    <row r="57" spans="2:22" x14ac:dyDescent="0.25">
      <c r="B57" s="66"/>
      <c r="C57" s="110" t="s">
        <v>465</v>
      </c>
      <c r="D57" s="110"/>
      <c r="E57" s="110"/>
      <c r="F57" s="110"/>
      <c r="G57" s="70"/>
      <c r="H57" s="70"/>
      <c r="I57" s="70"/>
      <c r="J57" s="109"/>
    </row>
    <row r="58" spans="2:22" x14ac:dyDescent="0.25">
      <c r="B58" s="80"/>
      <c r="C58" s="51">
        <v>2021</v>
      </c>
      <c r="D58" s="51">
        <v>2023</v>
      </c>
      <c r="E58" s="51">
        <v>2024</v>
      </c>
      <c r="F58" s="51">
        <v>2025</v>
      </c>
      <c r="G58" s="51">
        <v>2026</v>
      </c>
      <c r="H58" s="51"/>
      <c r="I58" s="51"/>
      <c r="J58" s="90" t="s">
        <v>494</v>
      </c>
      <c r="N58" s="69"/>
      <c r="O58" s="67" t="s">
        <v>189</v>
      </c>
      <c r="P58" s="67" t="str">
        <f>O31</f>
        <v>GS &lt; 50</v>
      </c>
      <c r="Q58" s="67" t="str">
        <f>O32</f>
        <v>GS 50-999</v>
      </c>
      <c r="R58" s="67" t="str">
        <f>O33</f>
        <v>GS 1,000-4,999</v>
      </c>
      <c r="S58" s="67" t="str">
        <f>O34</f>
        <v>Large Use</v>
      </c>
      <c r="T58" s="70"/>
      <c r="U58" s="109"/>
    </row>
    <row r="59" spans="2:22" x14ac:dyDescent="0.25">
      <c r="B59" s="80" t="s">
        <v>495</v>
      </c>
      <c r="C59" s="113">
        <v>0</v>
      </c>
      <c r="D59" s="113">
        <v>0</v>
      </c>
      <c r="E59" s="113">
        <v>0.5</v>
      </c>
      <c r="F59" s="113">
        <v>1</v>
      </c>
      <c r="G59" s="113">
        <v>0.5</v>
      </c>
      <c r="H59" s="113"/>
      <c r="I59" s="113"/>
      <c r="J59" s="92"/>
      <c r="N59" s="73"/>
      <c r="U59" s="92"/>
    </row>
    <row r="60" spans="2:22" x14ac:dyDescent="0.25">
      <c r="B60" s="80"/>
      <c r="C60" s="50"/>
      <c r="D60" s="50"/>
      <c r="E60" s="50"/>
      <c r="F60" s="50"/>
      <c r="G60" s="50"/>
      <c r="H60" s="50"/>
      <c r="I60" s="50"/>
      <c r="J60" s="92"/>
      <c r="N60" s="73"/>
      <c r="U60" s="92"/>
    </row>
    <row r="61" spans="2:22" x14ac:dyDescent="0.25">
      <c r="B61" s="80" t="s">
        <v>468</v>
      </c>
      <c r="C61" s="114">
        <f t="shared" ref="C61:C68" si="22">C$59*P4</f>
        <v>0</v>
      </c>
      <c r="D61" s="114">
        <f t="shared" ref="D61:D70" si="23">D$59*R4</f>
        <v>0</v>
      </c>
      <c r="E61" s="114">
        <f t="shared" ref="E61:E70" si="24">E$59*S4</f>
        <v>2314807.9066635123</v>
      </c>
      <c r="F61" s="114">
        <f t="shared" ref="F61:F70" si="25">F$59*T4</f>
        <v>4629615.8133270247</v>
      </c>
      <c r="G61" s="114">
        <f t="shared" ref="G61:G70" si="26">G$59*U4</f>
        <v>2314807.9066635123</v>
      </c>
      <c r="H61" s="114"/>
      <c r="I61" s="114"/>
      <c r="J61" s="99">
        <f>SUM(C61:I61)</f>
        <v>9259231.6266540494</v>
      </c>
      <c r="L61" s="47" t="str">
        <f>L75</f>
        <v>Retrofit</v>
      </c>
      <c r="N61" s="73"/>
      <c r="P61" s="111">
        <v>0.36253582099628878</v>
      </c>
      <c r="Q61" s="111">
        <v>0.55684096513771453</v>
      </c>
      <c r="R61" s="111">
        <v>5.5671831539488077E-2</v>
      </c>
      <c r="S61" s="111">
        <v>2.4951382326508672E-2</v>
      </c>
      <c r="U61" s="112">
        <f>SUM(O61:S61)</f>
        <v>1</v>
      </c>
    </row>
    <row r="62" spans="2:22" x14ac:dyDescent="0.25">
      <c r="B62" s="115" t="s">
        <v>366</v>
      </c>
      <c r="C62" s="116">
        <f t="shared" si="22"/>
        <v>0</v>
      </c>
      <c r="D62" s="116">
        <f t="shared" si="23"/>
        <v>0</v>
      </c>
      <c r="E62" s="116">
        <f t="shared" si="24"/>
        <v>284733.7272858959</v>
      </c>
      <c r="F62" s="116">
        <f t="shared" si="25"/>
        <v>569467.45457179181</v>
      </c>
      <c r="G62" s="116">
        <f t="shared" si="26"/>
        <v>284733.7272858959</v>
      </c>
      <c r="H62" s="116"/>
      <c r="I62" s="116"/>
      <c r="J62" s="99">
        <f t="shared" ref="J62:J70" si="27">SUM(C62:I62)</f>
        <v>1138934.9091435836</v>
      </c>
      <c r="L62" s="47" t="str">
        <f t="shared" ref="L62:L70" si="28">L76</f>
        <v>Small Business</v>
      </c>
      <c r="N62" s="73"/>
      <c r="P62" s="111">
        <v>0.76</v>
      </c>
      <c r="Q62" s="111">
        <v>0.24000000000000002</v>
      </c>
      <c r="R62" s="111">
        <v>0</v>
      </c>
      <c r="S62" s="111">
        <v>0</v>
      </c>
      <c r="U62" s="112">
        <f t="shared" ref="U62:U69" si="29">SUM(O62:S62)</f>
        <v>1</v>
      </c>
    </row>
    <row r="63" spans="2:22" x14ac:dyDescent="0.25">
      <c r="B63" s="80" t="s">
        <v>470</v>
      </c>
      <c r="C63" s="114">
        <f t="shared" si="22"/>
        <v>0</v>
      </c>
      <c r="D63" s="114">
        <f t="shared" si="23"/>
        <v>0</v>
      </c>
      <c r="E63" s="114">
        <f t="shared" si="24"/>
        <v>214614.66349005178</v>
      </c>
      <c r="F63" s="114">
        <f t="shared" si="25"/>
        <v>429229.32698010356</v>
      </c>
      <c r="G63" s="114">
        <f t="shared" si="26"/>
        <v>214614.66349005178</v>
      </c>
      <c r="H63" s="114"/>
      <c r="I63" s="114"/>
      <c r="J63" s="99">
        <f t="shared" si="27"/>
        <v>858458.65396020713</v>
      </c>
      <c r="L63" s="47" t="str">
        <f t="shared" si="28"/>
        <v xml:space="preserve">Energy Performance </v>
      </c>
      <c r="N63" s="73"/>
      <c r="P63" s="111">
        <v>0.10675460226895223</v>
      </c>
      <c r="Q63" s="111">
        <v>0.147842413962222</v>
      </c>
      <c r="R63" s="111">
        <v>0.70416674296850834</v>
      </c>
      <c r="S63" s="111">
        <v>4.1236240800317452E-2</v>
      </c>
      <c r="U63" s="112">
        <f t="shared" si="29"/>
        <v>1</v>
      </c>
    </row>
    <row r="64" spans="2:22" x14ac:dyDescent="0.25">
      <c r="B64" s="115" t="s">
        <v>471</v>
      </c>
      <c r="C64" s="116">
        <f t="shared" si="22"/>
        <v>0</v>
      </c>
      <c r="D64" s="116">
        <f t="shared" si="23"/>
        <v>0</v>
      </c>
      <c r="E64" s="116">
        <f t="shared" si="24"/>
        <v>381537.17953786987</v>
      </c>
      <c r="F64" s="116">
        <f t="shared" si="25"/>
        <v>763074.35907573975</v>
      </c>
      <c r="G64" s="116">
        <f t="shared" si="26"/>
        <v>381537.17953786987</v>
      </c>
      <c r="H64" s="116"/>
      <c r="I64" s="116"/>
      <c r="J64" s="99">
        <f t="shared" si="27"/>
        <v>1526148.7181514795</v>
      </c>
      <c r="L64" s="47" t="str">
        <f t="shared" si="28"/>
        <v>Energy Management</v>
      </c>
      <c r="N64" s="73"/>
      <c r="P64" s="111">
        <v>0.10675460226895223</v>
      </c>
      <c r="Q64" s="111">
        <v>0.147842413962222</v>
      </c>
      <c r="R64" s="111">
        <v>0.70416674296850834</v>
      </c>
      <c r="S64" s="111">
        <v>4.1236240800317452E-2</v>
      </c>
      <c r="U64" s="112">
        <f t="shared" si="29"/>
        <v>1</v>
      </c>
      <c r="V64" s="47" t="s">
        <v>496</v>
      </c>
    </row>
    <row r="65" spans="2:21" x14ac:dyDescent="0.25">
      <c r="B65" s="80" t="s">
        <v>473</v>
      </c>
      <c r="C65" s="114">
        <f t="shared" si="22"/>
        <v>0</v>
      </c>
      <c r="D65" s="114">
        <f t="shared" si="23"/>
        <v>0</v>
      </c>
      <c r="E65" s="114">
        <f t="shared" si="24"/>
        <v>645247.77142812079</v>
      </c>
      <c r="F65" s="114">
        <f t="shared" si="25"/>
        <v>1290495.5428562416</v>
      </c>
      <c r="G65" s="114">
        <f t="shared" si="26"/>
        <v>645247.77142812079</v>
      </c>
      <c r="H65" s="114"/>
      <c r="I65" s="114"/>
      <c r="J65" s="99">
        <f t="shared" si="27"/>
        <v>2580991.0857124832</v>
      </c>
      <c r="L65" s="47" t="str">
        <f t="shared" si="28"/>
        <v>Industrial Energy Efficiency</v>
      </c>
      <c r="N65" s="73"/>
      <c r="P65" s="111">
        <v>0</v>
      </c>
      <c r="Q65" s="111">
        <v>0.16551153169975433</v>
      </c>
      <c r="R65" s="111">
        <v>0.78832395303371028</v>
      </c>
      <c r="S65" s="111">
        <v>4.6164515266535408E-2</v>
      </c>
      <c r="U65" s="112">
        <f t="shared" si="29"/>
        <v>1</v>
      </c>
    </row>
    <row r="66" spans="2:21" x14ac:dyDescent="0.25">
      <c r="B66" s="115" t="s">
        <v>474</v>
      </c>
      <c r="C66" s="116">
        <f t="shared" si="22"/>
        <v>0</v>
      </c>
      <c r="D66" s="116">
        <f t="shared" si="23"/>
        <v>0</v>
      </c>
      <c r="E66" s="116">
        <f t="shared" si="24"/>
        <v>0</v>
      </c>
      <c r="F66" s="116">
        <f t="shared" si="25"/>
        <v>0</v>
      </c>
      <c r="G66" s="116">
        <f t="shared" si="26"/>
        <v>0</v>
      </c>
      <c r="H66" s="116"/>
      <c r="I66" s="116"/>
      <c r="J66" s="99">
        <f t="shared" si="27"/>
        <v>0</v>
      </c>
      <c r="L66" s="47" t="str">
        <f t="shared" si="28"/>
        <v>Targeted Greenhouse</v>
      </c>
      <c r="N66" s="73"/>
      <c r="P66" s="111"/>
      <c r="Q66" s="111"/>
      <c r="R66" s="111"/>
      <c r="S66" s="111"/>
      <c r="U66" s="112">
        <f t="shared" si="29"/>
        <v>0</v>
      </c>
    </row>
    <row r="67" spans="2:21" x14ac:dyDescent="0.25">
      <c r="B67" s="80" t="s">
        <v>475</v>
      </c>
      <c r="C67" s="114">
        <f t="shared" si="22"/>
        <v>0</v>
      </c>
      <c r="D67" s="114">
        <f t="shared" si="23"/>
        <v>0</v>
      </c>
      <c r="E67" s="114">
        <f t="shared" si="24"/>
        <v>0</v>
      </c>
      <c r="F67" s="114">
        <f t="shared" si="25"/>
        <v>0</v>
      </c>
      <c r="G67" s="114">
        <f t="shared" si="26"/>
        <v>0</v>
      </c>
      <c r="H67" s="114"/>
      <c r="I67" s="114"/>
      <c r="J67" s="99">
        <f t="shared" si="27"/>
        <v>0</v>
      </c>
      <c r="L67" s="47" t="str">
        <f t="shared" si="28"/>
        <v>Local Initiatives</v>
      </c>
      <c r="N67" s="73"/>
      <c r="U67" s="112"/>
    </row>
    <row r="68" spans="2:21" x14ac:dyDescent="0.25">
      <c r="B68" s="115" t="s">
        <v>476</v>
      </c>
      <c r="C68" s="116">
        <f t="shared" si="22"/>
        <v>0</v>
      </c>
      <c r="D68" s="116">
        <f t="shared" si="23"/>
        <v>0</v>
      </c>
      <c r="E68" s="116">
        <f t="shared" si="24"/>
        <v>0</v>
      </c>
      <c r="F68" s="116">
        <f t="shared" si="25"/>
        <v>0</v>
      </c>
      <c r="G68" s="116">
        <f t="shared" si="26"/>
        <v>0</v>
      </c>
      <c r="H68" s="116"/>
      <c r="I68" s="116"/>
      <c r="J68" s="99">
        <f t="shared" si="27"/>
        <v>0</v>
      </c>
      <c r="L68" s="47" t="str">
        <f t="shared" si="28"/>
        <v>Residential Demand Response</v>
      </c>
      <c r="N68" s="73"/>
      <c r="U68" s="112"/>
    </row>
    <row r="69" spans="2:21" x14ac:dyDescent="0.25">
      <c r="B69" s="80" t="s">
        <v>477</v>
      </c>
      <c r="C69" s="114"/>
      <c r="D69" s="114">
        <f t="shared" si="23"/>
        <v>0</v>
      </c>
      <c r="E69" s="114">
        <f>E$59*S12</f>
        <v>1060375.3841727711</v>
      </c>
      <c r="F69" s="114">
        <f t="shared" si="25"/>
        <v>2120750.7683455423</v>
      </c>
      <c r="G69" s="114">
        <f t="shared" si="26"/>
        <v>1060375.3841727711</v>
      </c>
      <c r="H69" s="114"/>
      <c r="I69" s="114"/>
      <c r="J69" s="99">
        <f t="shared" si="27"/>
        <v>4241501.5366910845</v>
      </c>
      <c r="L69" s="47" t="str">
        <f t="shared" si="28"/>
        <v>Energy Affordability Program</v>
      </c>
      <c r="N69" s="73"/>
      <c r="O69" s="117">
        <v>1</v>
      </c>
      <c r="U69" s="112">
        <f t="shared" si="29"/>
        <v>1</v>
      </c>
    </row>
    <row r="70" spans="2:21" x14ac:dyDescent="0.25">
      <c r="B70" s="115" t="s">
        <v>479</v>
      </c>
      <c r="C70" s="116"/>
      <c r="D70" s="116">
        <f t="shared" si="23"/>
        <v>0</v>
      </c>
      <c r="E70" s="116">
        <f t="shared" si="24"/>
        <v>0</v>
      </c>
      <c r="F70" s="116">
        <f t="shared" si="25"/>
        <v>0</v>
      </c>
      <c r="G70" s="116">
        <f t="shared" si="26"/>
        <v>0</v>
      </c>
      <c r="H70" s="116"/>
      <c r="I70" s="116"/>
      <c r="J70" s="99">
        <f t="shared" si="27"/>
        <v>0</v>
      </c>
      <c r="L70" s="47" t="str">
        <f t="shared" si="28"/>
        <v>First Nations Program</v>
      </c>
      <c r="N70" s="73"/>
      <c r="U70" s="92"/>
    </row>
    <row r="71" spans="2:21" x14ac:dyDescent="0.25">
      <c r="B71" s="73"/>
      <c r="J71" s="92"/>
      <c r="N71" s="102"/>
      <c r="O71" s="118"/>
      <c r="P71" s="118"/>
      <c r="Q71" s="118"/>
      <c r="R71" s="118"/>
      <c r="S71" s="118"/>
      <c r="T71" s="118"/>
      <c r="U71" s="119"/>
    </row>
    <row r="72" spans="2:21" x14ac:dyDescent="0.25">
      <c r="B72" s="73"/>
      <c r="C72" s="98">
        <f>SUM(C61:C68)</f>
        <v>0</v>
      </c>
      <c r="D72" s="98">
        <f>SUM(D61:D70)</f>
        <v>0</v>
      </c>
      <c r="E72" s="98">
        <f>SUM(E61:E70)</f>
        <v>4901316.6325782221</v>
      </c>
      <c r="F72" s="98">
        <f>SUM(F61:F70)</f>
        <v>9802633.2651564442</v>
      </c>
      <c r="G72" s="98">
        <f>SUM(G61:G70)</f>
        <v>4901316.6325782221</v>
      </c>
      <c r="H72" s="98"/>
      <c r="I72" s="98"/>
      <c r="J72" s="99">
        <f>SUM(J61:J71)</f>
        <v>19605266.530312888</v>
      </c>
      <c r="N72" s="69"/>
      <c r="O72" s="70"/>
      <c r="P72" s="70"/>
      <c r="Q72" s="70"/>
      <c r="R72" s="70"/>
      <c r="S72" s="70"/>
      <c r="T72" s="70"/>
      <c r="U72" s="109"/>
    </row>
    <row r="73" spans="2:21" x14ac:dyDescent="0.25">
      <c r="B73" s="102"/>
      <c r="C73" s="118"/>
      <c r="D73" s="118"/>
      <c r="E73" s="118"/>
      <c r="F73" s="118"/>
      <c r="G73" s="118"/>
      <c r="H73" s="118"/>
      <c r="I73" s="118"/>
      <c r="J73" s="119"/>
      <c r="N73" s="73"/>
      <c r="U73" s="92"/>
    </row>
    <row r="74" spans="2:21" x14ac:dyDescent="0.25">
      <c r="N74" s="73"/>
      <c r="O74" s="47" t="str">
        <f>O58</f>
        <v>Residential</v>
      </c>
      <c r="P74" s="47" t="str">
        <f>P58</f>
        <v>GS &lt; 50</v>
      </c>
      <c r="Q74" s="47" t="str">
        <f>Q58</f>
        <v>GS 50-999</v>
      </c>
      <c r="R74" s="47" t="str">
        <f>R58</f>
        <v>GS 1,000-4,999</v>
      </c>
      <c r="S74" s="47" t="str">
        <f>S58</f>
        <v>Large Use</v>
      </c>
      <c r="U74" s="92"/>
    </row>
    <row r="75" spans="2:21" x14ac:dyDescent="0.25">
      <c r="L75" s="47" t="str">
        <f t="shared" ref="L75:L84" si="30">B61</f>
        <v>Retrofit</v>
      </c>
      <c r="N75" s="73"/>
      <c r="O75" s="98">
        <f t="shared" ref="O75:S80" si="31">O61*$J61</f>
        <v>0</v>
      </c>
      <c r="P75" s="98">
        <f t="shared" si="31"/>
        <v>3356803.1395638282</v>
      </c>
      <c r="Q75" s="98">
        <f t="shared" si="31"/>
        <v>5155919.4754196908</v>
      </c>
      <c r="R75" s="98">
        <f t="shared" si="31"/>
        <v>515478.38330418442</v>
      </c>
      <c r="S75" s="98">
        <f t="shared" si="31"/>
        <v>231030.62836634598</v>
      </c>
      <c r="U75" s="99">
        <f>SUM(O75:S75)</f>
        <v>9259231.6266540494</v>
      </c>
    </row>
    <row r="76" spans="2:21" x14ac:dyDescent="0.25">
      <c r="L76" s="47" t="str">
        <f t="shared" si="30"/>
        <v>Small Business</v>
      </c>
      <c r="N76" s="73"/>
      <c r="O76" s="98">
        <f t="shared" si="31"/>
        <v>0</v>
      </c>
      <c r="P76" s="98">
        <f t="shared" si="31"/>
        <v>865590.53094912355</v>
      </c>
      <c r="Q76" s="98">
        <f t="shared" si="31"/>
        <v>273344.37819446006</v>
      </c>
      <c r="R76" s="98">
        <f t="shared" si="31"/>
        <v>0</v>
      </c>
      <c r="S76" s="98">
        <f t="shared" si="31"/>
        <v>0</v>
      </c>
      <c r="U76" s="99">
        <f t="shared" ref="U76:U84" si="32">SUM(O76:S76)</f>
        <v>1138934.9091435836</v>
      </c>
    </row>
    <row r="77" spans="2:21" x14ac:dyDescent="0.25">
      <c r="L77" s="47" t="str">
        <f t="shared" si="30"/>
        <v xml:space="preserve">Energy Performance </v>
      </c>
      <c r="N77" s="73"/>
      <c r="O77" s="98">
        <f t="shared" si="31"/>
        <v>0</v>
      </c>
      <c r="P77" s="98">
        <f t="shared" si="31"/>
        <v>91644.412167861999</v>
      </c>
      <c r="Q77" s="98">
        <f t="shared" si="31"/>
        <v>126916.59968823683</v>
      </c>
      <c r="R77" s="98">
        <f t="shared" si="31"/>
        <v>604498.03433228878</v>
      </c>
      <c r="S77" s="98">
        <f t="shared" si="31"/>
        <v>35399.607771819494</v>
      </c>
      <c r="U77" s="99">
        <f t="shared" si="32"/>
        <v>858458.65396020701</v>
      </c>
    </row>
    <row r="78" spans="2:21" x14ac:dyDescent="0.25">
      <c r="L78" s="47" t="str">
        <f t="shared" si="30"/>
        <v>Energy Management</v>
      </c>
      <c r="N78" s="73"/>
      <c r="O78" s="98">
        <f t="shared" si="31"/>
        <v>0</v>
      </c>
      <c r="P78" s="98">
        <f t="shared" si="31"/>
        <v>162923.39940953246</v>
      </c>
      <c r="Q78" s="98">
        <f t="shared" si="31"/>
        <v>225629.51055686551</v>
      </c>
      <c r="R78" s="98">
        <f t="shared" si="31"/>
        <v>1074663.1721462912</v>
      </c>
      <c r="S78" s="98">
        <f t="shared" si="31"/>
        <v>62932.636038790217</v>
      </c>
      <c r="U78" s="99">
        <f t="shared" si="32"/>
        <v>1526148.7181514795</v>
      </c>
    </row>
    <row r="79" spans="2:21" x14ac:dyDescent="0.25">
      <c r="C79" s="123"/>
      <c r="D79" s="123"/>
      <c r="E79" s="94"/>
      <c r="F79" s="94"/>
      <c r="L79" s="47" t="str">
        <f t="shared" si="30"/>
        <v>Industrial Energy Efficiency</v>
      </c>
      <c r="N79" s="73"/>
      <c r="O79" s="98">
        <f t="shared" si="31"/>
        <v>0</v>
      </c>
      <c r="P79" s="98">
        <f t="shared" si="31"/>
        <v>0</v>
      </c>
      <c r="Q79" s="98">
        <f t="shared" si="31"/>
        <v>427183.78789968498</v>
      </c>
      <c r="R79" s="98">
        <f t="shared" si="31"/>
        <v>2034657.0954336324</v>
      </c>
      <c r="S79" s="98">
        <f t="shared" si="31"/>
        <v>119150.20237916573</v>
      </c>
      <c r="U79" s="99">
        <f t="shared" si="32"/>
        <v>2580991.0857124832</v>
      </c>
    </row>
    <row r="80" spans="2:21" x14ac:dyDescent="0.25">
      <c r="C80" s="123"/>
      <c r="D80" s="123"/>
      <c r="E80" s="94"/>
      <c r="L80" s="47" t="str">
        <f t="shared" si="30"/>
        <v>Targeted Greenhouse</v>
      </c>
      <c r="N80" s="73"/>
      <c r="O80" s="98">
        <f t="shared" si="31"/>
        <v>0</v>
      </c>
      <c r="P80" s="98">
        <f t="shared" si="31"/>
        <v>0</v>
      </c>
      <c r="Q80" s="98">
        <f t="shared" si="31"/>
        <v>0</v>
      </c>
      <c r="R80" s="98">
        <f t="shared" si="31"/>
        <v>0</v>
      </c>
      <c r="S80" s="98">
        <f t="shared" si="31"/>
        <v>0</v>
      </c>
      <c r="U80" s="99">
        <f t="shared" si="32"/>
        <v>0</v>
      </c>
    </row>
    <row r="81" spans="3:21" x14ac:dyDescent="0.25">
      <c r="C81" s="123"/>
      <c r="D81" s="123"/>
      <c r="E81" s="94"/>
      <c r="L81" s="47" t="str">
        <f t="shared" si="30"/>
        <v>Local Initiatives</v>
      </c>
      <c r="N81" s="73"/>
      <c r="O81" s="98">
        <f t="shared" ref="O81:S82" si="33">O69*$J67</f>
        <v>0</v>
      </c>
      <c r="P81" s="98">
        <f t="shared" si="33"/>
        <v>0</v>
      </c>
      <c r="Q81" s="98">
        <f t="shared" si="33"/>
        <v>0</v>
      </c>
      <c r="R81" s="98">
        <f t="shared" si="33"/>
        <v>0</v>
      </c>
      <c r="S81" s="98">
        <f t="shared" si="33"/>
        <v>0</v>
      </c>
      <c r="U81" s="99">
        <f t="shared" si="32"/>
        <v>0</v>
      </c>
    </row>
    <row r="82" spans="3:21" x14ac:dyDescent="0.25">
      <c r="C82" s="123"/>
      <c r="D82" s="123"/>
      <c r="E82" s="94"/>
      <c r="L82" s="47" t="str">
        <f t="shared" si="30"/>
        <v>Residential Demand Response</v>
      </c>
      <c r="N82" s="73"/>
      <c r="O82" s="98">
        <f t="shared" si="33"/>
        <v>0</v>
      </c>
      <c r="P82" s="98">
        <f t="shared" si="33"/>
        <v>0</v>
      </c>
      <c r="Q82" s="98">
        <f t="shared" si="33"/>
        <v>0</v>
      </c>
      <c r="R82" s="98">
        <f t="shared" si="33"/>
        <v>0</v>
      </c>
      <c r="S82" s="98">
        <f t="shared" si="33"/>
        <v>0</v>
      </c>
      <c r="U82" s="99">
        <f t="shared" si="32"/>
        <v>0</v>
      </c>
    </row>
    <row r="83" spans="3:21" x14ac:dyDescent="0.25">
      <c r="C83" s="123"/>
      <c r="D83" s="123"/>
      <c r="E83" s="94"/>
      <c r="L83" s="47" t="str">
        <f t="shared" si="30"/>
        <v>Energy Affordability Program</v>
      </c>
      <c r="N83" s="73"/>
      <c r="O83" s="98">
        <f t="shared" ref="O83:S84" si="34">O69*$J69</f>
        <v>4241501.5366910845</v>
      </c>
      <c r="P83" s="98">
        <f t="shared" si="34"/>
        <v>0</v>
      </c>
      <c r="Q83" s="98">
        <f t="shared" si="34"/>
        <v>0</v>
      </c>
      <c r="R83" s="98">
        <f t="shared" si="34"/>
        <v>0</v>
      </c>
      <c r="S83" s="98">
        <f t="shared" si="34"/>
        <v>0</v>
      </c>
      <c r="U83" s="99">
        <f t="shared" si="32"/>
        <v>4241501.5366910845</v>
      </c>
    </row>
    <row r="84" spans="3:21" x14ac:dyDescent="0.25">
      <c r="C84" s="123"/>
      <c r="D84" s="123"/>
      <c r="E84" s="94"/>
      <c r="F84" s="94"/>
      <c r="L84" s="47" t="str">
        <f t="shared" si="30"/>
        <v>First Nations Program</v>
      </c>
      <c r="N84" s="73"/>
      <c r="O84" s="98">
        <f t="shared" si="34"/>
        <v>0</v>
      </c>
      <c r="P84" s="98">
        <f t="shared" si="34"/>
        <v>0</v>
      </c>
      <c r="Q84" s="98">
        <f t="shared" si="34"/>
        <v>0</v>
      </c>
      <c r="R84" s="98">
        <f t="shared" si="34"/>
        <v>0</v>
      </c>
      <c r="S84" s="98">
        <f t="shared" si="34"/>
        <v>0</v>
      </c>
      <c r="U84" s="99">
        <f t="shared" si="32"/>
        <v>0</v>
      </c>
    </row>
    <row r="85" spans="3:21" x14ac:dyDescent="0.25">
      <c r="C85" s="123"/>
      <c r="D85" s="123"/>
      <c r="E85" s="124"/>
      <c r="N85" s="73"/>
      <c r="O85" s="98"/>
      <c r="P85" s="98"/>
      <c r="Q85" s="98"/>
      <c r="R85" s="98"/>
      <c r="S85" s="98"/>
      <c r="U85" s="92"/>
    </row>
    <row r="86" spans="3:21" x14ac:dyDescent="0.25">
      <c r="C86" s="297"/>
      <c r="D86" s="122"/>
      <c r="E86" s="94"/>
      <c r="N86" s="73"/>
      <c r="O86" s="98">
        <f>SUM(O75:O84)</f>
        <v>4241501.5366910845</v>
      </c>
      <c r="P86" s="98">
        <f>SUM(P75:P84)</f>
        <v>4476961.4820903465</v>
      </c>
      <c r="Q86" s="98">
        <f>SUM(Q75:Q84)</f>
        <v>6208993.7517589377</v>
      </c>
      <c r="R86" s="98">
        <f>SUM(R75:R84)</f>
        <v>4229296.685216397</v>
      </c>
      <c r="S86" s="98">
        <f>SUM(S75:S84)</f>
        <v>448513.07455612143</v>
      </c>
      <c r="U86" s="99">
        <f>SUM(O86:S86)</f>
        <v>19605266.530312885</v>
      </c>
    </row>
    <row r="87" spans="3:21" x14ac:dyDescent="0.25">
      <c r="C87" s="122"/>
      <c r="D87" s="122"/>
      <c r="E87" s="94"/>
      <c r="N87" s="102"/>
      <c r="O87" s="120"/>
      <c r="P87" s="120"/>
      <c r="Q87" s="120"/>
      <c r="R87" s="118"/>
      <c r="S87" s="118"/>
      <c r="T87" s="118"/>
      <c r="U87" s="119"/>
    </row>
    <row r="88" spans="3:21" x14ac:dyDescent="0.25">
      <c r="C88" s="122"/>
      <c r="D88" s="122"/>
      <c r="E88" s="94"/>
      <c r="O88" s="98"/>
      <c r="P88" s="98"/>
      <c r="Q88" s="98"/>
    </row>
    <row r="89" spans="3:21" x14ac:dyDescent="0.25">
      <c r="O89" s="98"/>
      <c r="P89" s="98"/>
      <c r="Q89" s="98"/>
    </row>
    <row r="90" spans="3:21" x14ac:dyDescent="0.25">
      <c r="O90" s="98"/>
      <c r="P90" s="98"/>
      <c r="Q90" s="98"/>
    </row>
    <row r="91" spans="3:21" x14ac:dyDescent="0.25">
      <c r="O91" s="121"/>
      <c r="P91" s="121"/>
      <c r="Q91" s="121"/>
      <c r="R91" s="121"/>
    </row>
    <row r="92" spans="3:21" x14ac:dyDescent="0.25">
      <c r="P92" s="122"/>
      <c r="Q92" s="122"/>
      <c r="R92" s="122"/>
    </row>
    <row r="112" spans="4:6" x14ac:dyDescent="0.25">
      <c r="D112" s="122"/>
      <c r="E112" s="122"/>
      <c r="F112" s="94"/>
    </row>
    <row r="113" spans="4:18" x14ac:dyDescent="0.25">
      <c r="D113" s="122"/>
      <c r="E113" s="122"/>
      <c r="F113" s="94"/>
    </row>
    <row r="114" spans="4:18" x14ac:dyDescent="0.25">
      <c r="D114" s="122"/>
      <c r="E114" s="122"/>
      <c r="F114" s="94"/>
    </row>
    <row r="128" spans="4:18" x14ac:dyDescent="0.25">
      <c r="O128" s="98"/>
      <c r="P128" s="98"/>
      <c r="Q128" s="98"/>
      <c r="R128" s="98"/>
    </row>
    <row r="129" spans="15:18" x14ac:dyDescent="0.25">
      <c r="O129" s="98"/>
      <c r="P129" s="98"/>
      <c r="Q129" s="98"/>
      <c r="R129" s="98"/>
    </row>
    <row r="130" spans="15:18" x14ac:dyDescent="0.25">
      <c r="O130" s="98"/>
      <c r="P130" s="98"/>
      <c r="Q130" s="98"/>
      <c r="R130" s="98"/>
    </row>
    <row r="131" spans="15:18" x14ac:dyDescent="0.25">
      <c r="O131" s="98"/>
      <c r="P131" s="98"/>
      <c r="Q131" s="98"/>
      <c r="R131" s="98"/>
    </row>
    <row r="132" spans="15:18" x14ac:dyDescent="0.25">
      <c r="O132" s="98"/>
      <c r="P132" s="98"/>
      <c r="Q132" s="98"/>
      <c r="R132" s="98"/>
    </row>
    <row r="133" spans="15:18" x14ac:dyDescent="0.25">
      <c r="O133" s="98"/>
      <c r="P133" s="98"/>
      <c r="Q133" s="98"/>
      <c r="R133" s="98"/>
    </row>
    <row r="134" spans="15:18" x14ac:dyDescent="0.25">
      <c r="O134" s="98"/>
      <c r="P134" s="98"/>
      <c r="Q134" s="98"/>
      <c r="R134" s="98"/>
    </row>
    <row r="135" spans="15:18" x14ac:dyDescent="0.25">
      <c r="O135" s="98"/>
      <c r="P135" s="98"/>
      <c r="Q135" s="98"/>
    </row>
    <row r="136" spans="15:18" x14ac:dyDescent="0.25">
      <c r="O136" s="98"/>
      <c r="P136" s="98"/>
      <c r="Q136" s="98"/>
      <c r="R136" s="98"/>
    </row>
    <row r="137" spans="15:18" x14ac:dyDescent="0.25">
      <c r="O137" s="98"/>
      <c r="P137" s="98"/>
      <c r="Q137" s="98"/>
    </row>
    <row r="138" spans="15:18" x14ac:dyDescent="0.25">
      <c r="O138" s="98"/>
      <c r="P138" s="98"/>
      <c r="Q138" s="98"/>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dimension ref="B1:X39"/>
  <sheetViews>
    <sheetView topLeftCell="C1" workbookViewId="0">
      <selection activeCell="O15" sqref="O15"/>
    </sheetView>
  </sheetViews>
  <sheetFormatPr defaultColWidth="8.77734375" defaultRowHeight="13.8" x14ac:dyDescent="0.25"/>
  <cols>
    <col min="1" max="1" width="8.77734375" style="47"/>
    <col min="2" max="2" width="16.6640625" style="47" customWidth="1"/>
    <col min="3" max="3" width="16.33203125" style="47" bestFit="1" customWidth="1"/>
    <col min="4" max="5" width="16.109375" style="47" customWidth="1"/>
    <col min="6" max="6" width="16.33203125" style="47" bestFit="1" customWidth="1"/>
    <col min="7" max="7" width="13.33203125" style="47" customWidth="1"/>
    <col min="8" max="8" width="16.33203125" style="47" bestFit="1" customWidth="1"/>
    <col min="9" max="10" width="16.109375" style="47" customWidth="1"/>
    <col min="11" max="11" width="15.33203125" style="47" customWidth="1"/>
    <col min="12" max="12" width="12" style="47" customWidth="1"/>
    <col min="13" max="15" width="12.33203125" style="47" bestFit="1" customWidth="1"/>
    <col min="16" max="18" width="9.109375" style="47" bestFit="1" customWidth="1"/>
    <col min="19" max="19" width="13.77734375" style="47" customWidth="1"/>
    <col min="20" max="22" width="14" style="47" bestFit="1" customWidth="1"/>
    <col min="23" max="24" width="15.109375" style="47" bestFit="1" customWidth="1"/>
    <col min="25" max="16384" width="8.77734375" style="47"/>
  </cols>
  <sheetData>
    <row r="1" spans="2:24" ht="14.4" thickBot="1" x14ac:dyDescent="0.3"/>
    <row r="2" spans="2:24" x14ac:dyDescent="0.25">
      <c r="B2" s="501"/>
      <c r="C2" s="502"/>
      <c r="D2" s="502"/>
      <c r="E2" s="502"/>
      <c r="F2" s="502"/>
      <c r="G2" s="502"/>
      <c r="H2" s="502"/>
      <c r="I2" s="502"/>
      <c r="J2" s="502"/>
      <c r="K2" s="503"/>
    </row>
    <row r="3" spans="2:24" x14ac:dyDescent="0.25">
      <c r="B3" s="498" t="s">
        <v>497</v>
      </c>
      <c r="C3" s="499"/>
      <c r="D3" s="499"/>
      <c r="E3" s="499"/>
      <c r="F3" s="499"/>
      <c r="G3" s="499"/>
      <c r="H3" s="499"/>
      <c r="I3" s="499"/>
      <c r="J3" s="499"/>
      <c r="K3" s="500"/>
    </row>
    <row r="4" spans="2:24" x14ac:dyDescent="0.25">
      <c r="B4" s="504" t="s">
        <v>498</v>
      </c>
      <c r="C4" s="505">
        <v>2024</v>
      </c>
      <c r="D4" s="506"/>
      <c r="E4" s="507"/>
      <c r="F4" s="508">
        <v>2025</v>
      </c>
      <c r="G4" s="509"/>
      <c r="H4" s="510"/>
      <c r="I4" s="508">
        <v>2026</v>
      </c>
      <c r="J4" s="509"/>
      <c r="K4" s="511"/>
      <c r="N4" s="47" t="s">
        <v>211</v>
      </c>
    </row>
    <row r="5" spans="2:24" ht="28.2" thickBot="1" x14ac:dyDescent="0.3">
      <c r="B5" s="504"/>
      <c r="C5" s="155" t="s">
        <v>401</v>
      </c>
      <c r="D5" s="156" t="s">
        <v>499</v>
      </c>
      <c r="E5" s="155" t="s">
        <v>500</v>
      </c>
      <c r="F5" s="155" t="s">
        <v>401</v>
      </c>
      <c r="G5" s="156" t="s">
        <v>499</v>
      </c>
      <c r="H5" s="155" t="s">
        <v>500</v>
      </c>
      <c r="I5" s="155" t="s">
        <v>401</v>
      </c>
      <c r="J5" s="156" t="s">
        <v>499</v>
      </c>
      <c r="K5" s="157" t="s">
        <v>500</v>
      </c>
    </row>
    <row r="6" spans="2:24" x14ac:dyDescent="0.25">
      <c r="B6" s="154"/>
      <c r="C6" s="158" t="s">
        <v>314</v>
      </c>
      <c r="D6" s="158" t="s">
        <v>316</v>
      </c>
      <c r="E6" s="158" t="s">
        <v>501</v>
      </c>
      <c r="F6" s="158" t="s">
        <v>434</v>
      </c>
      <c r="G6" s="158" t="s">
        <v>455</v>
      </c>
      <c r="H6" s="158" t="s">
        <v>502</v>
      </c>
      <c r="I6" s="158" t="s">
        <v>358</v>
      </c>
      <c r="J6" s="158" t="s">
        <v>503</v>
      </c>
      <c r="K6" s="159" t="s">
        <v>504</v>
      </c>
      <c r="M6" s="461">
        <v>2024</v>
      </c>
      <c r="N6" s="462">
        <v>2025</v>
      </c>
      <c r="O6" s="463">
        <v>2026</v>
      </c>
    </row>
    <row r="7" spans="2:24" x14ac:dyDescent="0.25">
      <c r="B7" s="125" t="s">
        <v>189</v>
      </c>
      <c r="C7" s="126">
        <f>'CDM Framework'!S37</f>
        <v>2120750.7683455423</v>
      </c>
      <c r="D7" s="294">
        <v>0.5</v>
      </c>
      <c r="E7" s="127">
        <f>C7*D7</f>
        <v>1060375.3841727711</v>
      </c>
      <c r="F7" s="126">
        <f>'CDM Framework'!T37</f>
        <v>2120750.7683455423</v>
      </c>
      <c r="G7" s="128">
        <v>0.5</v>
      </c>
      <c r="H7" s="129">
        <f>F7*G7</f>
        <v>1060375.3841727711</v>
      </c>
      <c r="I7" s="126">
        <f>'CDM Framework'!U37</f>
        <v>2120750.7683455423</v>
      </c>
      <c r="J7" s="128">
        <v>0.5</v>
      </c>
      <c r="K7" s="132">
        <f>I7*J7</f>
        <v>1060375.3841727711</v>
      </c>
      <c r="M7" s="464">
        <f>E7</f>
        <v>1060375.3841727711</v>
      </c>
      <c r="N7" s="128">
        <f>E7+H7</f>
        <v>2120750.7683455423</v>
      </c>
      <c r="O7" s="132">
        <f>E7+F7+K7</f>
        <v>4241501.5366910845</v>
      </c>
      <c r="W7" s="211"/>
      <c r="X7" s="211"/>
    </row>
    <row r="8" spans="2:24" x14ac:dyDescent="0.25">
      <c r="B8" s="130" t="s">
        <v>400</v>
      </c>
      <c r="C8" s="126">
        <f>'CDM Framework'!S38</f>
        <v>2238480.7410451733</v>
      </c>
      <c r="D8" s="294">
        <f>D7</f>
        <v>0.5</v>
      </c>
      <c r="E8" s="127">
        <f>C8*D8</f>
        <v>1119240.3705225866</v>
      </c>
      <c r="F8" s="126">
        <f>'CDM Framework'!T38</f>
        <v>2238480.7410451733</v>
      </c>
      <c r="G8" s="128">
        <v>0.5</v>
      </c>
      <c r="H8" s="129">
        <f>F8*G8</f>
        <v>1119240.3705225866</v>
      </c>
      <c r="I8" s="126">
        <f>'CDM Framework'!U38</f>
        <v>2238480.7410451733</v>
      </c>
      <c r="J8" s="128">
        <v>0.5</v>
      </c>
      <c r="K8" s="132">
        <f>I8*J8</f>
        <v>1119240.3705225866</v>
      </c>
      <c r="M8" s="464">
        <f>E8</f>
        <v>1119240.3705225866</v>
      </c>
      <c r="N8" s="128">
        <f>E8+H8</f>
        <v>2238480.7410451733</v>
      </c>
      <c r="O8" s="132">
        <f>E8+F8+K8</f>
        <v>4476961.4820903465</v>
      </c>
      <c r="W8" s="211"/>
      <c r="X8" s="211"/>
    </row>
    <row r="9" spans="2:24" x14ac:dyDescent="0.25">
      <c r="B9" s="125" t="str">
        <f>'CDM Framework'!Q58</f>
        <v>GS 50-999</v>
      </c>
      <c r="C9" s="126">
        <f>'CDM Framework'!S39</f>
        <v>3104496.8758794689</v>
      </c>
      <c r="D9" s="294">
        <f>D8</f>
        <v>0.5</v>
      </c>
      <c r="E9" s="127">
        <f>C9*D9</f>
        <v>1552248.4379397344</v>
      </c>
      <c r="F9" s="126">
        <f>'CDM Framework'!T39</f>
        <v>3104496.8758794689</v>
      </c>
      <c r="G9" s="128">
        <v>0.5</v>
      </c>
      <c r="H9" s="129">
        <f>F9*G9</f>
        <v>1552248.4379397344</v>
      </c>
      <c r="I9" s="126">
        <f>'CDM Framework'!U39</f>
        <v>3104496.8758794689</v>
      </c>
      <c r="J9" s="128">
        <v>0.5</v>
      </c>
      <c r="K9" s="132">
        <f>I9*J9</f>
        <v>1552248.4379397344</v>
      </c>
      <c r="M9" s="464">
        <f>E9</f>
        <v>1552248.4379397344</v>
      </c>
      <c r="N9" s="128">
        <f>E9+H9</f>
        <v>3104496.8758794689</v>
      </c>
      <c r="O9" s="132">
        <f>E9+F9+K9</f>
        <v>6208993.7517589377</v>
      </c>
      <c r="W9" s="211"/>
      <c r="X9" s="211"/>
    </row>
    <row r="10" spans="2:24" x14ac:dyDescent="0.25">
      <c r="B10" s="130" t="str">
        <f>'CDM Framework'!R58</f>
        <v>GS 1,000-4,999</v>
      </c>
      <c r="C10" s="126">
        <f>'CDM Framework'!S40</f>
        <v>2114648.3426081985</v>
      </c>
      <c r="D10" s="294">
        <f>D9</f>
        <v>0.5</v>
      </c>
      <c r="E10" s="127">
        <f>C10*D10</f>
        <v>1057324.1713040993</v>
      </c>
      <c r="F10" s="126">
        <f>'CDM Framework'!T40</f>
        <v>2114648.3426081985</v>
      </c>
      <c r="G10" s="128">
        <v>0.5</v>
      </c>
      <c r="H10" s="129">
        <f>F10*G10</f>
        <v>1057324.1713040993</v>
      </c>
      <c r="I10" s="126">
        <f>'CDM Framework'!U40</f>
        <v>2114648.3426081985</v>
      </c>
      <c r="J10" s="128">
        <v>1.5</v>
      </c>
      <c r="K10" s="132">
        <f>I10*J10</f>
        <v>3171972.5139122978</v>
      </c>
      <c r="M10" s="464">
        <f>E10</f>
        <v>1057324.1713040993</v>
      </c>
      <c r="N10" s="128">
        <f>E10+H10</f>
        <v>2114648.3426081985</v>
      </c>
      <c r="O10" s="132">
        <f>E10+F10+K10</f>
        <v>6343945.0278245956</v>
      </c>
      <c r="W10" s="211"/>
      <c r="X10" s="211"/>
    </row>
    <row r="11" spans="2:24" ht="14.4" thickBot="1" x14ac:dyDescent="0.3">
      <c r="B11" s="130" t="str">
        <f>'CDM Framework'!S58</f>
        <v>Large Use</v>
      </c>
      <c r="C11" s="126">
        <f>'CDM Framework'!S41</f>
        <v>224256.53727806071</v>
      </c>
      <c r="D11" s="294">
        <f>D10</f>
        <v>0.5</v>
      </c>
      <c r="E11" s="127">
        <f>C11*D11</f>
        <v>112128.26863903036</v>
      </c>
      <c r="F11" s="126">
        <f>'CDM Framework'!T41</f>
        <v>224256.53727806071</v>
      </c>
      <c r="G11" s="128">
        <v>0.5</v>
      </c>
      <c r="H11" s="129">
        <f>F11*G11</f>
        <v>112128.26863903036</v>
      </c>
      <c r="I11" s="126">
        <f>'CDM Framework'!U41</f>
        <v>224256.53727806071</v>
      </c>
      <c r="J11" s="128">
        <v>2.5</v>
      </c>
      <c r="K11" s="132">
        <f>I11*J11</f>
        <v>560641.34319515177</v>
      </c>
      <c r="M11" s="465">
        <f>E11</f>
        <v>112128.26863903036</v>
      </c>
      <c r="N11" s="466">
        <f>E11+H11</f>
        <v>224256.53727806071</v>
      </c>
      <c r="O11" s="467">
        <f>E11+F11+K11</f>
        <v>897026.14911224286</v>
      </c>
      <c r="W11" s="211"/>
      <c r="X11" s="211"/>
    </row>
    <row r="12" spans="2:24" x14ac:dyDescent="0.25">
      <c r="B12" s="130" t="s">
        <v>419</v>
      </c>
      <c r="C12" s="126"/>
      <c r="D12" s="294"/>
      <c r="E12" s="127"/>
      <c r="F12" s="126"/>
      <c r="G12" s="128"/>
      <c r="H12" s="129"/>
      <c r="I12" s="126"/>
      <c r="J12" s="128"/>
      <c r="K12" s="132"/>
    </row>
    <row r="13" spans="2:24" x14ac:dyDescent="0.25">
      <c r="B13" s="130" t="s">
        <v>505</v>
      </c>
      <c r="C13" s="126"/>
      <c r="D13" s="294"/>
      <c r="E13" s="127"/>
      <c r="F13" s="126"/>
      <c r="G13" s="128"/>
      <c r="H13" s="129"/>
      <c r="I13" s="126"/>
      <c r="J13" s="128"/>
      <c r="K13" s="132"/>
    </row>
    <row r="14" spans="2:24" x14ac:dyDescent="0.25">
      <c r="B14" s="130" t="s">
        <v>194</v>
      </c>
      <c r="C14" s="126"/>
      <c r="D14" s="294"/>
      <c r="E14" s="127"/>
      <c r="F14" s="126"/>
      <c r="G14" s="128"/>
      <c r="H14" s="129"/>
      <c r="I14" s="126"/>
      <c r="J14" s="128"/>
      <c r="K14" s="132"/>
    </row>
    <row r="15" spans="2:24" ht="14.4" thickBot="1" x14ac:dyDescent="0.3">
      <c r="B15" s="160" t="s">
        <v>506</v>
      </c>
      <c r="C15" s="161">
        <f>SUM(C7:C14)</f>
        <v>9802633.2651564423</v>
      </c>
      <c r="D15" s="161"/>
      <c r="E15" s="161">
        <f>SUM(E7:E14)</f>
        <v>4901316.6325782211</v>
      </c>
      <c r="F15" s="161">
        <f>SUM(F7:F14)</f>
        <v>9802633.2651564423</v>
      </c>
      <c r="G15" s="162">
        <v>0.5</v>
      </c>
      <c r="H15" s="163">
        <f>F15*G15</f>
        <v>4901316.6325782211</v>
      </c>
      <c r="I15" s="161">
        <f>SUM(I7:I14)</f>
        <v>9802633.2651564423</v>
      </c>
      <c r="J15" s="162">
        <v>0.5</v>
      </c>
      <c r="K15" s="164">
        <f>I15*J15</f>
        <v>4901316.6325782211</v>
      </c>
    </row>
    <row r="16" spans="2:24" x14ac:dyDescent="0.25">
      <c r="B16" s="295"/>
      <c r="C16" s="295"/>
      <c r="D16" s="295"/>
      <c r="E16" s="295"/>
      <c r="F16" s="295"/>
      <c r="G16" s="295"/>
      <c r="H16" s="295"/>
      <c r="I16" s="295"/>
      <c r="J16" s="295"/>
      <c r="K16" s="295"/>
      <c r="L16" s="295"/>
    </row>
    <row r="19" spans="2:16" ht="14.4" thickBot="1" x14ac:dyDescent="0.3">
      <c r="B19" s="495" t="s">
        <v>507</v>
      </c>
      <c r="C19" s="496"/>
      <c r="D19" s="496"/>
      <c r="E19" s="496"/>
      <c r="F19" s="496"/>
      <c r="G19" s="496"/>
      <c r="H19" s="496"/>
      <c r="I19" s="496"/>
      <c r="J19" s="496"/>
      <c r="K19" s="496"/>
      <c r="L19" s="497"/>
    </row>
    <row r="20" spans="2:16" ht="14.7" customHeight="1" x14ac:dyDescent="0.25">
      <c r="B20" s="230" t="s">
        <v>498</v>
      </c>
      <c r="C20" s="227" t="s">
        <v>508</v>
      </c>
      <c r="D20" s="228"/>
      <c r="E20" s="228"/>
      <c r="F20" s="228"/>
      <c r="G20" s="229"/>
      <c r="H20" s="228" t="s">
        <v>509</v>
      </c>
      <c r="I20" s="228"/>
      <c r="J20" s="228"/>
      <c r="K20" s="228"/>
      <c r="L20" s="231"/>
      <c r="N20" s="47" t="s">
        <v>211</v>
      </c>
    </row>
    <row r="21" spans="2:16" ht="41.4" x14ac:dyDescent="0.25">
      <c r="B21" s="232"/>
      <c r="C21" s="212" t="s">
        <v>510</v>
      </c>
      <c r="D21" s="156" t="s">
        <v>495</v>
      </c>
      <c r="E21" s="156" t="s">
        <v>511</v>
      </c>
      <c r="F21" s="156" t="s">
        <v>402</v>
      </c>
      <c r="G21" s="213" t="s">
        <v>495</v>
      </c>
      <c r="H21" s="214" t="s">
        <v>510</v>
      </c>
      <c r="I21" s="156" t="s">
        <v>495</v>
      </c>
      <c r="J21" s="156" t="s">
        <v>511</v>
      </c>
      <c r="K21" s="156" t="s">
        <v>402</v>
      </c>
      <c r="L21" s="156" t="s">
        <v>495</v>
      </c>
    </row>
    <row r="22" spans="2:16" x14ac:dyDescent="0.25">
      <c r="B22" s="232"/>
      <c r="C22" s="212" t="s">
        <v>318</v>
      </c>
      <c r="D22" s="156" t="s">
        <v>434</v>
      </c>
      <c r="E22" s="156" t="s">
        <v>512</v>
      </c>
      <c r="F22" s="156" t="s">
        <v>357</v>
      </c>
      <c r="G22" s="213" t="s">
        <v>513</v>
      </c>
      <c r="H22" s="214" t="s">
        <v>503</v>
      </c>
      <c r="I22" s="156" t="s">
        <v>514</v>
      </c>
      <c r="J22" s="156" t="s">
        <v>515</v>
      </c>
      <c r="K22" s="156" t="s">
        <v>516</v>
      </c>
      <c r="L22" s="156" t="s">
        <v>517</v>
      </c>
      <c r="N22" s="158">
        <f>N6</f>
        <v>2025</v>
      </c>
      <c r="O22" s="158">
        <f>O6</f>
        <v>2026</v>
      </c>
    </row>
    <row r="23" spans="2:16" x14ac:dyDescent="0.25">
      <c r="B23" s="233" t="str">
        <f>B9</f>
        <v>GS 50-999</v>
      </c>
      <c r="C23" s="215">
        <f ca="1">'Normalized Annual Summary'!$AG$15</f>
        <v>331001039.08814591</v>
      </c>
      <c r="D23" s="296">
        <f>N9</f>
        <v>3104496.8758794689</v>
      </c>
      <c r="E23" s="216">
        <f ca="1">D23/C23</f>
        <v>9.3791151968339835E-3</v>
      </c>
      <c r="F23" s="217">
        <f ca="1">'kW Forecast'!H20</f>
        <v>837900.73822669976</v>
      </c>
      <c r="G23" s="218">
        <f ca="1">E23*F23</f>
        <v>7858.7675473404533</v>
      </c>
      <c r="H23" s="219">
        <f ca="1">'Normalized Annual Summary'!$AG$16</f>
        <v>332269497.42468482</v>
      </c>
      <c r="I23" s="296">
        <f>O9</f>
        <v>6208993.7517589377</v>
      </c>
      <c r="J23" s="216">
        <f ca="1">I23/H23</f>
        <v>1.8686619746569797E-2</v>
      </c>
      <c r="K23" s="217">
        <f ca="1">'kW Forecast'!H21</f>
        <v>842134.79457199015</v>
      </c>
      <c r="L23" s="217">
        <f ca="1">J23*K23</f>
        <v>15736.652681522452</v>
      </c>
      <c r="N23" s="126">
        <f ca="1">G23</f>
        <v>7858.7675473404533</v>
      </c>
      <c r="O23" s="128">
        <f ca="1">L23</f>
        <v>15736.652681522452</v>
      </c>
      <c r="P23" s="98"/>
    </row>
    <row r="24" spans="2:16" x14ac:dyDescent="0.25">
      <c r="B24" s="233" t="str">
        <f>B10</f>
        <v>GS 1,000-4,999</v>
      </c>
      <c r="C24" s="220">
        <f ca="1">'Normalized Annual Summary'!AR15</f>
        <v>80415845.859158918</v>
      </c>
      <c r="D24" s="296">
        <f>N10</f>
        <v>2114648.3426081985</v>
      </c>
      <c r="E24" s="216">
        <f ca="1">D24/C24</f>
        <v>2.6296413598780193E-2</v>
      </c>
      <c r="F24" s="221">
        <f ca="1">'kW Forecast'!P20</f>
        <v>191066.02798620216</v>
      </c>
      <c r="G24" s="218">
        <f ca="1">E24*F24</f>
        <v>5024.3512966012831</v>
      </c>
      <c r="H24" s="251">
        <f ca="1">'Normalized Annual Summary'!AR16</f>
        <v>81008539.989905819</v>
      </c>
      <c r="I24" s="296">
        <f>O10</f>
        <v>6343945.0278245956</v>
      </c>
      <c r="J24" s="216">
        <f ca="1">I24/H24</f>
        <v>7.8312052391205811E-2</v>
      </c>
      <c r="K24" s="217">
        <f ca="1">'kW Forecast'!P21</f>
        <v>193544.53206020067</v>
      </c>
      <c r="L24" s="217">
        <f ca="1">J24*K24</f>
        <v>15156.869534729847</v>
      </c>
      <c r="N24" s="126">
        <f ca="1">G24</f>
        <v>5024.3512966012831</v>
      </c>
      <c r="O24" s="128">
        <f ca="1">L24</f>
        <v>15156.869534729847</v>
      </c>
      <c r="P24" s="98"/>
    </row>
    <row r="25" spans="2:16" x14ac:dyDescent="0.25">
      <c r="B25" s="233" t="str">
        <f>B11</f>
        <v>Large Use</v>
      </c>
      <c r="C25" s="220">
        <f ca="1">'Normalized Annual Summary'!BC15</f>
        <v>38486029.709961563</v>
      </c>
      <c r="D25" s="296">
        <f>N11</f>
        <v>224256.53727806071</v>
      </c>
      <c r="E25" s="216">
        <f ca="1">D25/C25</f>
        <v>5.8269595218863298E-3</v>
      </c>
      <c r="F25" s="221">
        <f ca="1">'kW Forecast'!Y20</f>
        <v>85659.21836624002</v>
      </c>
      <c r="G25" s="218">
        <f ca="1">E25*F25</f>
        <v>499.13279809650265</v>
      </c>
      <c r="H25" s="251">
        <f ca="1">'Normalized Annual Summary'!BC16</f>
        <v>38511369.103293002</v>
      </c>
      <c r="I25" s="296">
        <f>O11</f>
        <v>897026.14911224286</v>
      </c>
      <c r="J25" s="216">
        <f ca="1">I25/H25</f>
        <v>2.3292502188283423E-2</v>
      </c>
      <c r="K25" s="217">
        <f ca="1">'kW Forecast'!Y21</f>
        <v>85799.26194210742</v>
      </c>
      <c r="L25" s="217">
        <f ca="1">J25*K25</f>
        <v>1998.4794965396397</v>
      </c>
      <c r="N25" s="126">
        <f ca="1">G25</f>
        <v>499.13279809650265</v>
      </c>
      <c r="O25" s="128">
        <f ca="1">L25</f>
        <v>1998.4794965396397</v>
      </c>
      <c r="P25" s="98"/>
    </row>
    <row r="26" spans="2:16" x14ac:dyDescent="0.25">
      <c r="B26" s="233" t="str">
        <f>B12</f>
        <v>Street Light</v>
      </c>
      <c r="C26" s="220">
        <f>'Normalized Annual Summary'!$BI$15</f>
        <v>4601999.7364925863</v>
      </c>
      <c r="D26" s="296">
        <f>N12</f>
        <v>0</v>
      </c>
      <c r="E26" s="216">
        <f>D26/C26</f>
        <v>0</v>
      </c>
      <c r="F26" s="221">
        <f>'kW Forecast'!AC20</f>
        <v>13019.547179159843</v>
      </c>
      <c r="G26" s="218">
        <f>E26*F26</f>
        <v>0</v>
      </c>
      <c r="H26" s="220">
        <f>'Normalized Annual Summary'!$BI$16</f>
        <v>4665081.9792804932</v>
      </c>
      <c r="I26" s="296">
        <f>O12</f>
        <v>0</v>
      </c>
      <c r="J26" s="216">
        <f>I26/H26</f>
        <v>0</v>
      </c>
      <c r="K26" s="217">
        <f>'kW Forecast'!AC21</f>
        <v>13198.013559683872</v>
      </c>
      <c r="L26" s="217">
        <f>J26*K26</f>
        <v>0</v>
      </c>
      <c r="N26" s="98"/>
      <c r="O26" s="98"/>
    </row>
    <row r="27" spans="2:16" x14ac:dyDescent="0.25">
      <c r="B27" s="233" t="str">
        <f>B13</f>
        <v>Sentinel</v>
      </c>
      <c r="C27" s="220">
        <f>'Normalized Annual Summary'!BO15</f>
        <v>26717.919999999998</v>
      </c>
      <c r="D27" s="296">
        <f>N13</f>
        <v>0</v>
      </c>
      <c r="E27" s="216">
        <f>D27/C27</f>
        <v>0</v>
      </c>
      <c r="F27" s="221">
        <f>'kW Forecast'!AL20</f>
        <v>79.106816690312485</v>
      </c>
      <c r="G27" s="218">
        <f>E27*F27</f>
        <v>0</v>
      </c>
      <c r="H27" s="251">
        <f>'Normalized Annual Summary'!BO16</f>
        <v>26717.919999999998</v>
      </c>
      <c r="I27" s="296">
        <f>O13</f>
        <v>0</v>
      </c>
      <c r="J27" s="216">
        <f>I27/H27</f>
        <v>0</v>
      </c>
      <c r="K27" s="217">
        <f>'kW Forecast'!AL21</f>
        <v>79.106816690312485</v>
      </c>
      <c r="L27" s="217">
        <f>J27*K27</f>
        <v>0</v>
      </c>
      <c r="N27" s="98"/>
      <c r="O27" s="98"/>
    </row>
    <row r="28" spans="2:16" x14ac:dyDescent="0.25">
      <c r="B28" s="234" t="s">
        <v>506</v>
      </c>
      <c r="C28" s="235">
        <f t="shared" ref="C28:L28" ca="1" si="0">SUM(C23:C26)</f>
        <v>454504914.39375895</v>
      </c>
      <c r="D28" s="236">
        <f t="shared" si="0"/>
        <v>5443401.7557657277</v>
      </c>
      <c r="E28" s="237">
        <f t="shared" ca="1" si="0"/>
        <v>4.1502488317500509E-2</v>
      </c>
      <c r="F28" s="238">
        <f t="shared" ca="1" si="0"/>
        <v>1127645.5317583019</v>
      </c>
      <c r="G28" s="238">
        <f t="shared" ca="1" si="0"/>
        <v>13382.25164203824</v>
      </c>
      <c r="H28" s="239">
        <f t="shared" ca="1" si="0"/>
        <v>456454488.49716413</v>
      </c>
      <c r="I28" s="236">
        <f t="shared" si="0"/>
        <v>13449964.928695776</v>
      </c>
      <c r="J28" s="237">
        <f t="shared" ca="1" si="0"/>
        <v>0.12029117432605903</v>
      </c>
      <c r="K28" s="238">
        <f t="shared" ca="1" si="0"/>
        <v>1134676.6021339821</v>
      </c>
      <c r="L28" s="238">
        <f t="shared" ca="1" si="0"/>
        <v>32892.001712791942</v>
      </c>
    </row>
    <row r="39" spans="4:4" x14ac:dyDescent="0.25">
      <c r="D39" s="49"/>
    </row>
  </sheetData>
  <mergeCells count="7">
    <mergeCell ref="B19:L19"/>
    <mergeCell ref="B3:K3"/>
    <mergeCell ref="B2:K2"/>
    <mergeCell ref="B4:B5"/>
    <mergeCell ref="C4:E4"/>
    <mergeCell ref="F4:H4"/>
    <mergeCell ref="I4:K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8">
    <tabColor rgb="FFFF0000"/>
  </sheetPr>
  <dimension ref="B1:Y65"/>
  <sheetViews>
    <sheetView topLeftCell="C15" workbookViewId="0">
      <selection activeCell="N38" sqref="N38:O38"/>
    </sheetView>
  </sheetViews>
  <sheetFormatPr defaultColWidth="9.109375" defaultRowHeight="13.2" x14ac:dyDescent="0.25"/>
  <cols>
    <col min="1" max="1" width="3" style="267" customWidth="1"/>
    <col min="2" max="2" width="23.44140625" style="267" bestFit="1" customWidth="1"/>
    <col min="3" max="3" width="15.6640625" style="267" bestFit="1" customWidth="1"/>
    <col min="4" max="4" width="12.6640625" style="267" bestFit="1" customWidth="1"/>
    <col min="5" max="5" width="14.77734375" style="267" customWidth="1"/>
    <col min="6" max="6" width="13.77734375" style="267" bestFit="1" customWidth="1"/>
    <col min="7" max="7" width="16.109375" style="267" bestFit="1" customWidth="1"/>
    <col min="8" max="8" width="15.6640625" style="267" bestFit="1" customWidth="1"/>
    <col min="9" max="9" width="13.77734375" style="267" bestFit="1" customWidth="1"/>
    <col min="10" max="10" width="14.33203125" style="267" bestFit="1" customWidth="1"/>
    <col min="11" max="11" width="14.33203125" style="267" customWidth="1"/>
    <col min="12" max="12" width="15" style="267" customWidth="1"/>
    <col min="13" max="13" width="14.44140625" style="267" customWidth="1"/>
    <col min="14" max="14" width="15.6640625" style="267" customWidth="1"/>
    <col min="15" max="15" width="14.33203125" style="267" bestFit="1" customWidth="1"/>
    <col min="16" max="16" width="15.77734375" style="267" customWidth="1"/>
    <col min="17" max="17" width="10.77734375" style="267" bestFit="1" customWidth="1"/>
    <col min="18" max="21" width="13.6640625" style="267" customWidth="1"/>
    <col min="22" max="22" width="17.33203125" style="267" customWidth="1"/>
    <col min="23" max="24" width="13.33203125" style="267" bestFit="1" customWidth="1"/>
    <col min="25" max="25" width="17.6640625" style="267" customWidth="1"/>
    <col min="26" max="26" width="11.44140625" style="267" bestFit="1" customWidth="1"/>
    <col min="27" max="16384" width="9.109375" style="267"/>
  </cols>
  <sheetData>
    <row r="1" spans="2:25" ht="16.2" thickBot="1" x14ac:dyDescent="0.35">
      <c r="B1" s="19" t="s">
        <v>430</v>
      </c>
      <c r="C1" s="19"/>
    </row>
    <row r="2" spans="2:25" ht="13.8" thickBot="1" x14ac:dyDescent="0.3">
      <c r="B2" s="147" t="s">
        <v>401</v>
      </c>
      <c r="C2" s="148" t="s">
        <v>518</v>
      </c>
      <c r="D2" s="148" t="s">
        <v>519</v>
      </c>
      <c r="E2" s="148" t="s">
        <v>520</v>
      </c>
      <c r="F2" s="148" t="s">
        <v>521</v>
      </c>
      <c r="G2" s="148" t="s">
        <v>522</v>
      </c>
      <c r="H2" s="148" t="s">
        <v>523</v>
      </c>
      <c r="I2" s="148" t="s">
        <v>524</v>
      </c>
      <c r="J2" s="148" t="s">
        <v>525</v>
      </c>
      <c r="K2" s="148" t="s">
        <v>526</v>
      </c>
      <c r="L2" s="148" t="s">
        <v>527</v>
      </c>
      <c r="M2" s="149" t="s">
        <v>528</v>
      </c>
      <c r="N2" s="148" t="s">
        <v>508</v>
      </c>
      <c r="O2" s="151" t="s">
        <v>509</v>
      </c>
      <c r="R2" s="192"/>
      <c r="S2" s="193" t="str">
        <f>I2</f>
        <v>2021 Actual</v>
      </c>
      <c r="T2" s="193" t="str">
        <f>J2</f>
        <v>2022 Actual</v>
      </c>
      <c r="U2" s="193" t="str">
        <f>K2</f>
        <v>2023 Actual</v>
      </c>
      <c r="V2" s="193" t="str">
        <f>M2</f>
        <v>2024 Normal</v>
      </c>
      <c r="W2" s="193" t="str">
        <f>N2</f>
        <v>2025 Forecast</v>
      </c>
      <c r="X2" s="194" t="str">
        <f>O2</f>
        <v>2026 Forecast</v>
      </c>
    </row>
    <row r="3" spans="2:25" x14ac:dyDescent="0.25">
      <c r="B3" s="20" t="s">
        <v>189</v>
      </c>
      <c r="C3" s="269">
        <f ca="1">OFFSET('Normalized Annual Summary'!$C$5,COLUMN(C3)-COLUMN($C3),0)</f>
        <v>479266200.99999982</v>
      </c>
      <c r="D3" s="269">
        <f ca="1">OFFSET('Normalized Annual Summary'!$C$5,COLUMN(D3)-COLUMN($C3),0)</f>
        <v>477527824.00000006</v>
      </c>
      <c r="E3" s="269">
        <f ca="1">OFFSET('Normalized Annual Summary'!$C$5,COLUMN(E3)-COLUMN($C3),0)</f>
        <v>464513659.08580053</v>
      </c>
      <c r="F3" s="269">
        <f ca="1">OFFSET('Normalized Annual Summary'!$C$5,COLUMN(F3)-COLUMN($C3),0)</f>
        <v>483410781.91419953</v>
      </c>
      <c r="G3" s="269">
        <f ca="1">OFFSET('Normalized Annual Summary'!$C$5,COLUMN(G3)-COLUMN($C3),0)</f>
        <v>482531157.99999994</v>
      </c>
      <c r="H3" s="269">
        <f ca="1">OFFSET('Normalized Annual Summary'!$C$5,COLUMN(H3)-COLUMN($C3),0)</f>
        <v>515808015</v>
      </c>
      <c r="I3" s="269">
        <f ca="1">OFFSET('Normalized Annual Summary'!$C$5,COLUMN(I3)-COLUMN($C3),0)</f>
        <v>512708990.99999994</v>
      </c>
      <c r="J3" s="269">
        <f ca="1">OFFSET('Normalized Annual Summary'!$C$5,COLUMN(J3)-COLUMN($C3),0)</f>
        <v>507634502.00000006</v>
      </c>
      <c r="K3" s="269">
        <f ca="1">OFFSET('Normalized Annual Summary'!$C$5,COLUMN(K3)-COLUMN($C3),0)</f>
        <v>515036055.76324266</v>
      </c>
      <c r="L3" s="269">
        <f ca="1">OFFSET('Normalized Annual Summary'!$C$5,COLUMN(L3)-COLUMN($C3),0)</f>
        <v>521215102.08675742</v>
      </c>
      <c r="M3" s="133">
        <f ca="1">OFFSET('Normalized Annual Summary'!$K$14,COLUMN(M3)-COLUMN($M3),0)</f>
        <v>529163818.35034835</v>
      </c>
      <c r="N3" s="133">
        <f ca="1">OFFSET('Normalized Annual Summary'!$K$14,COLUMN(N3)-COLUMN($M3),0)</f>
        <v>542522400.52712142</v>
      </c>
      <c r="O3" s="168">
        <f ca="1">OFFSET('Normalized Annual Summary'!$K$14,COLUMN(O3)-COLUMN($M3),0)</f>
        <v>555745807.87612331</v>
      </c>
      <c r="Q3" s="269"/>
      <c r="R3" s="512" t="s">
        <v>401</v>
      </c>
      <c r="S3" s="513"/>
      <c r="T3" s="513"/>
      <c r="U3" s="513"/>
      <c r="V3" s="514"/>
      <c r="W3" s="514"/>
      <c r="X3" s="515"/>
    </row>
    <row r="4" spans="2:25" x14ac:dyDescent="0.25">
      <c r="B4" s="21" t="s">
        <v>400</v>
      </c>
      <c r="C4" s="269">
        <f ca="1">OFFSET('Normalized Annual Summary'!$N$5,COLUMN(C4)-COLUMN($C4),0)</f>
        <v>134383174.00000003</v>
      </c>
      <c r="D4" s="269">
        <f ca="1">OFFSET('Normalized Annual Summary'!$N$5,COLUMN(D4)-COLUMN($C4),0)</f>
        <v>131950149.00000001</v>
      </c>
      <c r="E4" s="269">
        <f ca="1">OFFSET('Normalized Annual Summary'!$N$5,COLUMN(E4)-COLUMN($C4),0)</f>
        <v>128640162</v>
      </c>
      <c r="F4" s="269">
        <f ca="1">OFFSET('Normalized Annual Summary'!$N$5,COLUMN(F4)-COLUMN($C4),0)</f>
        <v>134207593</v>
      </c>
      <c r="G4" s="269">
        <f ca="1">OFFSET('Normalized Annual Summary'!$N$5,COLUMN(G4)-COLUMN($C4),0)</f>
        <v>117191070.00000001</v>
      </c>
      <c r="H4" s="269">
        <f ca="1">OFFSET('Normalized Annual Summary'!$N$5,COLUMN(H4)-COLUMN($C4),0)</f>
        <v>115055107</v>
      </c>
      <c r="I4" s="269">
        <f ca="1">OFFSET('Normalized Annual Summary'!$N$5,COLUMN(I4)-COLUMN($C4),0)</f>
        <v>119245755.00000001</v>
      </c>
      <c r="J4" s="269">
        <f ca="1">OFFSET('Normalized Annual Summary'!$N$5,COLUMN(J4)-COLUMN($C4),0)</f>
        <v>126198741.00000001</v>
      </c>
      <c r="K4" s="269">
        <f ca="1">OFFSET('Normalized Annual Summary'!$N$5,COLUMN(K4)-COLUMN($C4),0)</f>
        <v>126694932.13</v>
      </c>
      <c r="L4" s="269">
        <f ca="1">OFFSET('Normalized Annual Summary'!$N$5,COLUMN(L4)-COLUMN($C4),0)</f>
        <v>131296579</v>
      </c>
      <c r="M4" s="133">
        <f ca="1">OFFSET('Normalized Annual Summary'!$V$14,COLUMN(M4)-COLUMN($M4),0)</f>
        <v>128696314.75102679</v>
      </c>
      <c r="N4" s="133">
        <f ca="1">OFFSET('Normalized Annual Summary'!$V$14,COLUMN(N4)-COLUMN($M4),0)</f>
        <v>130535766.83894302</v>
      </c>
      <c r="O4" s="168">
        <f ca="1">OFFSET('Normalized Annual Summary'!$V$14,COLUMN(O4)-COLUMN($M4),0)</f>
        <v>132753100.44242442</v>
      </c>
      <c r="R4" s="290" t="str">
        <f t="shared" ref="R4:R11" si="0">B3</f>
        <v>Residential</v>
      </c>
      <c r="S4" s="291">
        <f t="shared" ref="S4:V5" ca="1" si="1">I3</f>
        <v>512708990.99999994</v>
      </c>
      <c r="T4" s="291">
        <f t="shared" ca="1" si="1"/>
        <v>507634502.00000006</v>
      </c>
      <c r="U4" s="291">
        <f t="shared" ca="1" si="1"/>
        <v>515036055.76324266</v>
      </c>
      <c r="V4" s="291">
        <f t="shared" ca="1" si="1"/>
        <v>521215102.08675742</v>
      </c>
      <c r="W4" s="291">
        <f ca="1">N3-'CDM Adjustment'!N7</f>
        <v>540401649.75877583</v>
      </c>
      <c r="X4" s="292">
        <f ca="1">O3-'CDM Adjustment'!O7</f>
        <v>551504306.33943224</v>
      </c>
    </row>
    <row r="5" spans="2:25" x14ac:dyDescent="0.25">
      <c r="B5" s="21" t="s">
        <v>303</v>
      </c>
      <c r="C5" s="269">
        <f ca="1">OFFSET('Normalized Annual Summary'!$Y$5,COLUMN(C5)-COLUMN($C5),0)</f>
        <v>331248131.3818177</v>
      </c>
      <c r="D5" s="269">
        <f ca="1">OFFSET('Normalized Annual Summary'!$Y$5,COLUMN(D5)-COLUMN($C5),0)</f>
        <v>336135880.18643844</v>
      </c>
      <c r="E5" s="269">
        <f ca="1">OFFSET('Normalized Annual Summary'!$Y$5,COLUMN(E5)-COLUMN($C5),0)</f>
        <v>344049960.45204061</v>
      </c>
      <c r="F5" s="269">
        <f ca="1">OFFSET('Normalized Annual Summary'!$Y$5,COLUMN(F5)-COLUMN($C5),0)</f>
        <v>324633082.5551976</v>
      </c>
      <c r="G5" s="269">
        <f ca="1">OFFSET('Normalized Annual Summary'!$Y$5,COLUMN(G5)-COLUMN($C5),0)</f>
        <v>328874818.72622365</v>
      </c>
      <c r="H5" s="269">
        <f ca="1">OFFSET('Normalized Annual Summary'!$Y$5,COLUMN(H5)-COLUMN($C5),0)</f>
        <v>304515885.12731272</v>
      </c>
      <c r="I5" s="269">
        <f ca="1">OFFSET('Normalized Annual Summary'!$Y$5,COLUMN(I5)-COLUMN($C5),0)</f>
        <v>310470030.40933514</v>
      </c>
      <c r="J5" s="269">
        <f ca="1">OFFSET('Normalized Annual Summary'!$Y$5,COLUMN(J5)-COLUMN($C5),0)</f>
        <v>342060680.01827008</v>
      </c>
      <c r="K5" s="269">
        <f ca="1">OFFSET('Normalized Annual Summary'!$Y$5,COLUMN(K5)-COLUMN($C5),0)</f>
        <v>321367374.95395875</v>
      </c>
      <c r="L5" s="269">
        <f ca="1">OFFSET('Normalized Annual Summary'!$Y$5,COLUMN(L5)-COLUMN($C5),0)</f>
        <v>310385722.80520695</v>
      </c>
      <c r="M5" s="133">
        <f ca="1">OFFSET('Normalized Annual Summary'!$AG$14,COLUMN(M5)-COLUMN($M5),0)</f>
        <v>330372183.0580917</v>
      </c>
      <c r="N5" s="133">
        <f ca="1">OFFSET('Normalized Annual Summary'!$AG$14,COLUMN(N5)-COLUMN($M5),0)</f>
        <v>331001039.08814591</v>
      </c>
      <c r="O5" s="168">
        <f ca="1">OFFSET('Normalized Annual Summary'!$AG$14,COLUMN(O5)-COLUMN($M5),0)</f>
        <v>332269497.42468482</v>
      </c>
      <c r="R5" s="290" t="str">
        <f t="shared" si="0"/>
        <v>GS &lt; 50</v>
      </c>
      <c r="S5" s="291">
        <f t="shared" ca="1" si="1"/>
        <v>119245755.00000001</v>
      </c>
      <c r="T5" s="291">
        <f t="shared" ca="1" si="1"/>
        <v>126198741.00000001</v>
      </c>
      <c r="U5" s="291">
        <f t="shared" ca="1" si="1"/>
        <v>126694932.13</v>
      </c>
      <c r="V5" s="291">
        <f t="shared" ca="1" si="1"/>
        <v>131296579</v>
      </c>
      <c r="W5" s="291">
        <f ca="1">N4-'CDM Adjustment'!N8</f>
        <v>128297286.09789784</v>
      </c>
      <c r="X5" s="292">
        <f ca="1">O4-'CDM Adjustment'!O8</f>
        <v>128276138.96033406</v>
      </c>
    </row>
    <row r="6" spans="2:25" x14ac:dyDescent="0.25">
      <c r="B6" s="21" t="s">
        <v>304</v>
      </c>
      <c r="C6" s="269">
        <f ca="1">OFFSET('Normalized Annual Summary'!$AJ$5,COLUMN(C6)-COLUMN($C6),0)</f>
        <v>81262023.618182287</v>
      </c>
      <c r="D6" s="269">
        <f ca="1">OFFSET('Normalized Annual Summary'!$AJ$5,COLUMN(D6)-COLUMN($C6),0)</f>
        <v>84479483.913561568</v>
      </c>
      <c r="E6" s="269">
        <f ca="1">OFFSET('Normalized Annual Summary'!$AJ$5,COLUMN(E6)-COLUMN($C6),0)</f>
        <v>82458080.47410427</v>
      </c>
      <c r="F6" s="269">
        <f ca="1">OFFSET('Normalized Annual Summary'!$AJ$5,COLUMN(F6)-COLUMN($C6),0)</f>
        <v>76765563.974827826</v>
      </c>
      <c r="G6" s="269">
        <f ca="1">OFFSET('Normalized Annual Summary'!$AJ$5,COLUMN(G6)-COLUMN($C6),0)</f>
        <v>76875274.273776412</v>
      </c>
      <c r="H6" s="269">
        <f ca="1">OFFSET('Normalized Annual Summary'!$AJ$5,COLUMN(H6)-COLUMN($C6),0)</f>
        <v>70871831.87268728</v>
      </c>
      <c r="I6" s="269">
        <f ca="1">OFFSET('Normalized Annual Summary'!$AJ$5,COLUMN(I6)-COLUMN($C6),0)</f>
        <v>70260671.590664953</v>
      </c>
      <c r="J6" s="269">
        <f ca="1">OFFSET('Normalized Annual Summary'!$AJ$5,COLUMN(J6)-COLUMN($C6),0)</f>
        <v>81816679.460561812</v>
      </c>
      <c r="K6" s="269">
        <f ca="1">OFFSET('Normalized Annual Summary'!$AJ$5,COLUMN(K6)-COLUMN($C6),0)</f>
        <v>77073500.362002477</v>
      </c>
      <c r="L6" s="269">
        <f ca="1">OFFSET('Normalized Annual Summary'!$AJ$5,COLUMN(L6)-COLUMN($C6),0)</f>
        <v>81507757</v>
      </c>
      <c r="M6" s="133">
        <f ca="1">OFFSET('Normalized Annual Summary'!$AR$14,COLUMN(M6)-COLUMN($M6),0)</f>
        <v>79390482.944134414</v>
      </c>
      <c r="N6" s="133">
        <f ca="1">OFFSET('Normalized Annual Summary'!$AR$14,COLUMN(N6)-COLUMN($M6),0)</f>
        <v>80415845.859158918</v>
      </c>
      <c r="O6" s="168">
        <f ca="1">OFFSET('Normalized Annual Summary'!$AR$14,COLUMN(O6)-COLUMN($M6),0)</f>
        <v>81008539.989905819</v>
      </c>
      <c r="R6" s="290" t="str">
        <f t="shared" si="0"/>
        <v>GS 50-999</v>
      </c>
      <c r="S6" s="291">
        <f t="shared" ref="S6:V11" ca="1" si="2">I5</f>
        <v>310470030.40933514</v>
      </c>
      <c r="T6" s="291">
        <f t="shared" ca="1" si="2"/>
        <v>342060680.01827008</v>
      </c>
      <c r="U6" s="291">
        <f t="shared" ca="1" si="2"/>
        <v>321367374.95395875</v>
      </c>
      <c r="V6" s="291">
        <f t="shared" ca="1" si="2"/>
        <v>310385722.80520695</v>
      </c>
      <c r="W6" s="291">
        <f ca="1">N5-'CDM Adjustment'!N9</f>
        <v>327896542.21226645</v>
      </c>
      <c r="X6" s="292">
        <f ca="1">O5-'CDM Adjustment'!O9</f>
        <v>326060503.67292589</v>
      </c>
    </row>
    <row r="7" spans="2:25" x14ac:dyDescent="0.25">
      <c r="B7" s="21" t="s">
        <v>115</v>
      </c>
      <c r="C7" s="269">
        <f ca="1">OFFSET('Normalized Annual Summary'!$AU$5,COLUMN(C7)-COLUMN($C7),0)</f>
        <v>41948975.999999993</v>
      </c>
      <c r="D7" s="269">
        <f ca="1">OFFSET('Normalized Annual Summary'!$AU$5,COLUMN(D7)-COLUMN($C7),0)</f>
        <v>41438245.999999993</v>
      </c>
      <c r="E7" s="269">
        <f ca="1">OFFSET('Normalized Annual Summary'!$AU$5,COLUMN(E7)-COLUMN($C7),0)</f>
        <v>37536243</v>
      </c>
      <c r="F7" s="269">
        <f ca="1">OFFSET('Normalized Annual Summary'!$AU$5,COLUMN(F7)-COLUMN($C7),0)</f>
        <v>44873420</v>
      </c>
      <c r="G7" s="269">
        <f ca="1">OFFSET('Normalized Annual Summary'!$AU$5,COLUMN(G7)-COLUMN($C7),0)</f>
        <v>38878938</v>
      </c>
      <c r="H7" s="269">
        <f ca="1">OFFSET('Normalized Annual Summary'!$AU$5,COLUMN(H7)-COLUMN($C7),0)</f>
        <v>30798516</v>
      </c>
      <c r="I7" s="269">
        <f ca="1">OFFSET('Normalized Annual Summary'!$AU$5,COLUMN(I7)-COLUMN($C7),0)</f>
        <v>36146632</v>
      </c>
      <c r="J7" s="269">
        <f ca="1">OFFSET('Normalized Annual Summary'!$AU$5,COLUMN(J7)-COLUMN($C7),0)</f>
        <v>33850160</v>
      </c>
      <c r="K7" s="269">
        <f ca="1">OFFSET('Normalized Annual Summary'!$AU$5,COLUMN(K7)-COLUMN($C7),0)</f>
        <v>33850160.000000007</v>
      </c>
      <c r="L7" s="269">
        <f ca="1">OFFSET('Normalized Annual Summary'!$AU$5,COLUMN(L7)-COLUMN($C7),0)</f>
        <v>39718186</v>
      </c>
      <c r="M7" s="133">
        <f ca="1">OFFSET('Normalized Annual Summary'!$BC$14,COLUMN(M7)-COLUMN($M7),0)</f>
        <v>38576056.660491265</v>
      </c>
      <c r="N7" s="133">
        <f ca="1">OFFSET('Normalized Annual Summary'!$BC$14,COLUMN(N7)-COLUMN($M7),0)</f>
        <v>38486029.709961563</v>
      </c>
      <c r="O7" s="168">
        <f ca="1">OFFSET('Normalized Annual Summary'!$BC$14,COLUMN(O7)-COLUMN($M7),0)</f>
        <v>38511369.103293002</v>
      </c>
      <c r="R7" s="290" t="str">
        <f t="shared" si="0"/>
        <v>GS 1,000-4,999</v>
      </c>
      <c r="S7" s="291">
        <f t="shared" ca="1" si="2"/>
        <v>70260671.590664953</v>
      </c>
      <c r="T7" s="291">
        <f t="shared" ca="1" si="2"/>
        <v>81816679.460561812</v>
      </c>
      <c r="U7" s="291">
        <f t="shared" ca="1" si="2"/>
        <v>77073500.362002477</v>
      </c>
      <c r="V7" s="291">
        <f t="shared" ca="1" si="2"/>
        <v>81507757</v>
      </c>
      <c r="W7" s="291">
        <f ca="1">N6-'CDM Adjustment'!N10</f>
        <v>78301197.51655072</v>
      </c>
      <c r="X7" s="292">
        <f ca="1">O6-'CDM Adjustment'!O10</f>
        <v>74664594.962081224</v>
      </c>
    </row>
    <row r="8" spans="2:25" x14ac:dyDescent="0.25">
      <c r="B8" s="21" t="s">
        <v>419</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133">
        <f ca="1">OFFSET('Normalized Annual Summary'!$BI$14,COLUMN(M8)-COLUMN($M8),0)</f>
        <v>4596499.4919100879</v>
      </c>
      <c r="N8" s="133">
        <f ca="1">OFFSET('Normalized Annual Summary'!$BI$14,COLUMN(N8)-COLUMN($M8),0)</f>
        <v>4601999.7364925863</v>
      </c>
      <c r="O8" s="168">
        <f ca="1">OFFSET('Normalized Annual Summary'!$BI$14,COLUMN(O8)-COLUMN($M8),0)</f>
        <v>4665081.9792804932</v>
      </c>
      <c r="R8" s="290" t="str">
        <f t="shared" si="0"/>
        <v>Large Use</v>
      </c>
      <c r="S8" s="291">
        <f t="shared" ca="1" si="2"/>
        <v>36146632</v>
      </c>
      <c r="T8" s="291">
        <f t="shared" ca="1" si="2"/>
        <v>33850160</v>
      </c>
      <c r="U8" s="291">
        <f t="shared" ca="1" si="2"/>
        <v>33850160.000000007</v>
      </c>
      <c r="V8" s="291">
        <f t="shared" ca="1" si="2"/>
        <v>39718186</v>
      </c>
      <c r="W8" s="291">
        <f ca="1">N7-'CDM Adjustment'!N11</f>
        <v>38261773.1726835</v>
      </c>
      <c r="X8" s="292">
        <f ca="1">O7-'CDM Adjustment'!O11</f>
        <v>37614342.954180762</v>
      </c>
      <c r="Y8" s="269"/>
    </row>
    <row r="9" spans="2:25" x14ac:dyDescent="0.25">
      <c r="B9" s="21" t="s">
        <v>117</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133">
        <f ca="1">OFFSET('Normalized Annual Summary'!$BO$14,COLUMN(M9)-COLUMN($M9),0)</f>
        <v>26323.559999999998</v>
      </c>
      <c r="N9" s="133">
        <f ca="1">OFFSET('Normalized Annual Summary'!$BO$14,COLUMN(N9)-COLUMN($M9),0)</f>
        <v>26717.919999999998</v>
      </c>
      <c r="O9" s="168">
        <f ca="1">OFFSET('Normalized Annual Summary'!$BO$14,COLUMN(O9)-COLUMN($M9),0)</f>
        <v>26717.919999999998</v>
      </c>
      <c r="R9" s="290" t="str">
        <f t="shared" si="0"/>
        <v>Street Light</v>
      </c>
      <c r="S9" s="291">
        <f t="shared" ca="1" si="2"/>
        <v>4352366.9999999981</v>
      </c>
      <c r="T9" s="291">
        <f t="shared" ca="1" si="2"/>
        <v>4432743</v>
      </c>
      <c r="U9" s="291">
        <f t="shared" ca="1" si="2"/>
        <v>4495190.04</v>
      </c>
      <c r="V9" s="291">
        <f t="shared" ca="1" si="2"/>
        <v>4596499.4919100879</v>
      </c>
      <c r="W9" s="291">
        <f ca="1">N8-'CDM Adjustment'!N12</f>
        <v>4601999.7364925863</v>
      </c>
      <c r="X9" s="292">
        <f ca="1">O8-'CDM Adjustment'!O12</f>
        <v>4665081.9792804932</v>
      </c>
      <c r="Y9" s="269"/>
    </row>
    <row r="10" spans="2:25" x14ac:dyDescent="0.25">
      <c r="B10" s="21" t="s">
        <v>194</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133">
        <f ca="1">OFFSET('Normalized Annual Summary'!$BU$14,COLUMN(M10)-COLUMN($M10),0)</f>
        <v>2849870</v>
      </c>
      <c r="N10" s="269">
        <f ca="1">OFFSET('Normalized Annual Summary'!$BU$14,COLUMN(N10)-COLUMN($M10),0)</f>
        <v>2848080.5289589334</v>
      </c>
      <c r="O10" s="287">
        <f ca="1">OFFSET('Normalized Annual Summary'!$BU$14,COLUMN(O10)-COLUMN($M10),0)</f>
        <v>2866800.061490498</v>
      </c>
      <c r="R10" s="290" t="str">
        <f t="shared" si="0"/>
        <v>Sentinel Lights</v>
      </c>
      <c r="S10" s="291">
        <f t="shared" ca="1" si="2"/>
        <v>26915.1</v>
      </c>
      <c r="T10" s="291">
        <f t="shared" ca="1" si="2"/>
        <v>26915.1</v>
      </c>
      <c r="U10" s="291">
        <f t="shared" ca="1" si="2"/>
        <v>26915.1</v>
      </c>
      <c r="V10" s="291">
        <f t="shared" ca="1" si="2"/>
        <v>26323.559999999998</v>
      </c>
      <c r="W10" s="291">
        <f ca="1">N9-'CDM Adjustment'!N13</f>
        <v>26717.919999999998</v>
      </c>
      <c r="X10" s="292">
        <f ca="1">O9-'CDM Adjustment'!O13</f>
        <v>26717.919999999998</v>
      </c>
    </row>
    <row r="11" spans="2:25" ht="13.8" thickBot="1" x14ac:dyDescent="0.3">
      <c r="B11" s="144" t="s">
        <v>326</v>
      </c>
      <c r="C11" s="145">
        <f t="shared" ref="C11:O11" ca="1" si="3">SUM(C3:C10)</f>
        <v>1079845678.3463666</v>
      </c>
      <c r="D11" s="145">
        <f t="shared" ca="1" si="3"/>
        <v>1083454536.0744421</v>
      </c>
      <c r="E11" s="145">
        <f t="shared" ca="1" si="3"/>
        <v>1064721917.664053</v>
      </c>
      <c r="F11" s="145">
        <f t="shared" ca="1" si="3"/>
        <v>1070660541.8407538</v>
      </c>
      <c r="G11" s="145">
        <f t="shared" ca="1" si="3"/>
        <v>1051223404.8274691</v>
      </c>
      <c r="H11" s="145">
        <f t="shared" ca="1" si="3"/>
        <v>1043999179.84</v>
      </c>
      <c r="I11" s="145">
        <f t="shared" ca="1" si="3"/>
        <v>1055826723.1000001</v>
      </c>
      <c r="J11" s="145">
        <f t="shared" ca="1" si="3"/>
        <v>1098770477.5788319</v>
      </c>
      <c r="K11" s="145">
        <f t="shared" ca="1" si="3"/>
        <v>1081355571.3492038</v>
      </c>
      <c r="L11" s="145">
        <f ca="1">SUM(L3:L10)</f>
        <v>1091596039.9438744</v>
      </c>
      <c r="M11" s="150">
        <f t="shared" ca="1" si="3"/>
        <v>1113671548.8160024</v>
      </c>
      <c r="N11" s="145">
        <f t="shared" ca="1" si="3"/>
        <v>1130437880.2087827</v>
      </c>
      <c r="O11" s="146">
        <f t="shared" ca="1" si="3"/>
        <v>1147846914.7972023</v>
      </c>
      <c r="R11" s="290" t="str">
        <f t="shared" si="0"/>
        <v>USL</v>
      </c>
      <c r="S11" s="291">
        <f t="shared" ca="1" si="2"/>
        <v>2615361</v>
      </c>
      <c r="T11" s="291">
        <f t="shared" ca="1" si="2"/>
        <v>2750057</v>
      </c>
      <c r="U11" s="291">
        <f t="shared" ca="1" si="2"/>
        <v>2811443</v>
      </c>
      <c r="V11" s="291">
        <f t="shared" ca="1" si="2"/>
        <v>2849870</v>
      </c>
      <c r="W11" s="291">
        <f ca="1">N10-'CDM Adjustment'!N14</f>
        <v>2848080.5289589334</v>
      </c>
      <c r="X11" s="292">
        <f ca="1">O10-'CDM Adjustment'!O14</f>
        <v>2866800.061490498</v>
      </c>
    </row>
    <row r="12" spans="2:25" ht="13.8" thickBot="1" x14ac:dyDescent="0.3">
      <c r="R12" s="195" t="s">
        <v>326</v>
      </c>
      <c r="S12" s="196">
        <f t="shared" ref="S12:X12" ca="1" si="4">SUM(S4:S11)</f>
        <v>1055826723.1000001</v>
      </c>
      <c r="T12" s="196">
        <f t="shared" ca="1" si="4"/>
        <v>1098770477.5788319</v>
      </c>
      <c r="U12" s="196">
        <f t="shared" ca="1" si="4"/>
        <v>1081355571.3492038</v>
      </c>
      <c r="V12" s="196">
        <f t="shared" ca="1" si="4"/>
        <v>1091596039.9438744</v>
      </c>
      <c r="W12" s="196">
        <f t="shared" ca="1" si="4"/>
        <v>1120635246.9436262</v>
      </c>
      <c r="X12" s="197">
        <f t="shared" ca="1" si="4"/>
        <v>1125678486.8497252</v>
      </c>
    </row>
    <row r="13" spans="2:25" ht="16.2" thickBot="1" x14ac:dyDescent="0.35">
      <c r="B13" s="19" t="s">
        <v>529</v>
      </c>
      <c r="C13" s="19"/>
      <c r="G13" s="269"/>
      <c r="H13" s="269"/>
      <c r="I13" s="269"/>
      <c r="J13" s="269"/>
      <c r="K13" s="269"/>
      <c r="L13" s="269"/>
      <c r="M13" s="269"/>
    </row>
    <row r="14" spans="2:25" ht="55.2" customHeight="1" x14ac:dyDescent="0.25">
      <c r="B14" s="141" t="s">
        <v>401</v>
      </c>
      <c r="C14" s="142" t="s">
        <v>530</v>
      </c>
      <c r="D14" s="142" t="s">
        <v>531</v>
      </c>
      <c r="E14" s="143" t="s">
        <v>532</v>
      </c>
      <c r="G14" s="152" t="s">
        <v>533</v>
      </c>
      <c r="H14" s="143" t="s">
        <v>534</v>
      </c>
      <c r="Y14" s="269"/>
    </row>
    <row r="15" spans="2:25" x14ac:dyDescent="0.25">
      <c r="B15" s="20" t="str">
        <f t="shared" ref="B15:B22" si="5">B3</f>
        <v>Residential</v>
      </c>
      <c r="C15" s="269">
        <f t="shared" ref="C15:C22" ca="1" si="6">O3</f>
        <v>555745807.87612331</v>
      </c>
      <c r="D15" s="269">
        <f>'CDM Adjustment'!O7</f>
        <v>4241501.5366910845</v>
      </c>
      <c r="E15" s="287">
        <f t="shared" ref="E15:E22" ca="1" si="7">C15-D15</f>
        <v>551504306.33943224</v>
      </c>
      <c r="F15" s="134"/>
      <c r="G15" s="293">
        <f ca="1">'Total Additional-Lost Loads'!E16</f>
        <v>6300525.710585977</v>
      </c>
      <c r="H15" s="287">
        <f ca="1">E15-G15</f>
        <v>545203780.62884629</v>
      </c>
    </row>
    <row r="16" spans="2:25" x14ac:dyDescent="0.25">
      <c r="B16" s="21" t="str">
        <f t="shared" si="5"/>
        <v>GS &lt; 50</v>
      </c>
      <c r="C16" s="269">
        <f t="shared" ca="1" si="6"/>
        <v>132753100.44242442</v>
      </c>
      <c r="D16" s="269">
        <f>'CDM Adjustment'!O8</f>
        <v>4476961.4820903465</v>
      </c>
      <c r="E16" s="287">
        <f t="shared" ca="1" si="7"/>
        <v>128276138.96033406</v>
      </c>
      <c r="G16" s="293">
        <f ca="1">'Total Additional-Lost Loads'!E17</f>
        <v>1372659.1458830875</v>
      </c>
      <c r="H16" s="287">
        <f t="shared" ref="H16:H22" ca="1" si="8">E16-G16</f>
        <v>126903479.81445098</v>
      </c>
    </row>
    <row r="17" spans="2:15" x14ac:dyDescent="0.25">
      <c r="B17" s="21" t="str">
        <f t="shared" si="5"/>
        <v>GS 50-999</v>
      </c>
      <c r="C17" s="269">
        <f t="shared" ca="1" si="6"/>
        <v>332269497.42468482</v>
      </c>
      <c r="D17" s="269">
        <f>'CDM Adjustment'!O9</f>
        <v>6208993.7517589377</v>
      </c>
      <c r="E17" s="287">
        <f t="shared" ca="1" si="7"/>
        <v>326060503.67292589</v>
      </c>
      <c r="G17" s="293">
        <f>'Total Additional-Lost Loads'!E18</f>
        <v>344417.15592147212</v>
      </c>
      <c r="H17" s="287">
        <f t="shared" ca="1" si="8"/>
        <v>325716086.51700443</v>
      </c>
    </row>
    <row r="18" spans="2:15" x14ac:dyDescent="0.25">
      <c r="B18" s="21" t="str">
        <f t="shared" si="5"/>
        <v>GS 1,000-4,999</v>
      </c>
      <c r="C18" s="269">
        <f t="shared" ca="1" si="6"/>
        <v>81008539.989905819</v>
      </c>
      <c r="D18" s="269">
        <f>'CDM Adjustment'!O10</f>
        <v>6343945.0278245956</v>
      </c>
      <c r="E18" s="287">
        <f t="shared" ca="1" si="7"/>
        <v>74664594.962081224</v>
      </c>
      <c r="G18" s="293">
        <f>'Total Additional-Lost Loads'!E19</f>
        <v>226346.37603330531</v>
      </c>
      <c r="H18" s="287">
        <f ca="1">E18-G18</f>
        <v>74438248.586047918</v>
      </c>
    </row>
    <row r="19" spans="2:15" x14ac:dyDescent="0.25">
      <c r="B19" s="21" t="str">
        <f t="shared" si="5"/>
        <v>Large Use</v>
      </c>
      <c r="C19" s="269">
        <f t="shared" ca="1" si="6"/>
        <v>38511369.103293002</v>
      </c>
      <c r="D19" s="269">
        <f>'CDM Adjustment'!O11</f>
        <v>897026.14911224286</v>
      </c>
      <c r="E19" s="287">
        <f t="shared" ca="1" si="7"/>
        <v>37614342.954180762</v>
      </c>
      <c r="G19" s="293">
        <f>'Total Additional-Lost Loads'!E20</f>
        <v>26678.184814463377</v>
      </c>
      <c r="H19" s="287">
        <f ca="1">E19-G19</f>
        <v>37587664.769366302</v>
      </c>
      <c r="N19" s="269">
        <f ca="1">N7-'CDM Adjustment'!N11</f>
        <v>38261773.1726835</v>
      </c>
      <c r="O19" s="269">
        <f ca="1">O7-'CDM Adjustment'!O11</f>
        <v>37614342.954180762</v>
      </c>
    </row>
    <row r="20" spans="2:15" x14ac:dyDescent="0.25">
      <c r="B20" s="21" t="str">
        <f t="shared" si="5"/>
        <v>Street Light</v>
      </c>
      <c r="C20" s="269">
        <f t="shared" ca="1" si="6"/>
        <v>4665081.9792804932</v>
      </c>
      <c r="D20" s="269"/>
      <c r="E20" s="287">
        <f t="shared" ca="1" si="7"/>
        <v>4665081.9792804932</v>
      </c>
      <c r="G20" s="293"/>
      <c r="H20" s="287">
        <f ca="1">E20-G20</f>
        <v>4665081.9792804932</v>
      </c>
    </row>
    <row r="21" spans="2:15" x14ac:dyDescent="0.25">
      <c r="B21" s="21" t="str">
        <f t="shared" si="5"/>
        <v>Sentinel Lights</v>
      </c>
      <c r="C21" s="269">
        <f t="shared" ca="1" si="6"/>
        <v>26717.919999999998</v>
      </c>
      <c r="D21" s="269"/>
      <c r="E21" s="287">
        <f t="shared" ca="1" si="7"/>
        <v>26717.919999999998</v>
      </c>
      <c r="G21" s="293"/>
      <c r="H21" s="287">
        <f ca="1">E21-G21</f>
        <v>26717.919999999998</v>
      </c>
    </row>
    <row r="22" spans="2:15" x14ac:dyDescent="0.25">
      <c r="B22" s="21" t="str">
        <f t="shared" si="5"/>
        <v>USL</v>
      </c>
      <c r="C22" s="269">
        <f t="shared" ca="1" si="6"/>
        <v>2866800.061490498</v>
      </c>
      <c r="D22" s="269"/>
      <c r="E22" s="287">
        <f t="shared" ca="1" si="7"/>
        <v>2866800.061490498</v>
      </c>
      <c r="G22" s="293"/>
      <c r="H22" s="287">
        <f t="shared" ca="1" si="8"/>
        <v>2866800.061490498</v>
      </c>
    </row>
    <row r="23" spans="2:15" ht="13.8" thickBot="1" x14ac:dyDescent="0.3">
      <c r="B23" s="144" t="s">
        <v>326</v>
      </c>
      <c r="C23" s="145">
        <f ca="1">SUM(C15:C22)</f>
        <v>1147846914.7972023</v>
      </c>
      <c r="D23" s="145">
        <f>SUM(D15:D22)</f>
        <v>22168427.947477207</v>
      </c>
      <c r="E23" s="146">
        <f ca="1">SUM(E15:E22)</f>
        <v>1125678486.8497252</v>
      </c>
      <c r="F23" s="139"/>
      <c r="G23" s="153">
        <f ca="1">SUM(G15:G22)</f>
        <v>8270626.5732383057</v>
      </c>
      <c r="H23" s="146">
        <f ca="1">SUM(H15:H22)</f>
        <v>1117407860.2764869</v>
      </c>
      <c r="I23" s="139"/>
    </row>
    <row r="24" spans="2:15" x14ac:dyDescent="0.25">
      <c r="G24" s="138"/>
    </row>
    <row r="25" spans="2:15" ht="16.2" thickBot="1" x14ac:dyDescent="0.35">
      <c r="B25" s="19" t="s">
        <v>430</v>
      </c>
      <c r="C25" s="19"/>
    </row>
    <row r="26" spans="2:15" x14ac:dyDescent="0.25">
      <c r="B26" s="147" t="s">
        <v>402</v>
      </c>
      <c r="C26" s="148" t="s">
        <v>518</v>
      </c>
      <c r="D26" s="148" t="s">
        <v>519</v>
      </c>
      <c r="E26" s="148" t="s">
        <v>520</v>
      </c>
      <c r="F26" s="148" t="s">
        <v>521</v>
      </c>
      <c r="G26" s="148" t="s">
        <v>522</v>
      </c>
      <c r="H26" s="148" t="s">
        <v>523</v>
      </c>
      <c r="I26" s="148" t="s">
        <v>524</v>
      </c>
      <c r="J26" s="148" t="s">
        <v>525</v>
      </c>
      <c r="K26" s="148" t="s">
        <v>526</v>
      </c>
      <c r="L26" s="148" t="s">
        <v>527</v>
      </c>
      <c r="M26" s="149" t="s">
        <v>528</v>
      </c>
      <c r="N26" s="148" t="s">
        <v>508</v>
      </c>
      <c r="O26" s="151" t="s">
        <v>509</v>
      </c>
    </row>
    <row r="27" spans="2:15" x14ac:dyDescent="0.25">
      <c r="B27" s="21" t="str">
        <f>B17</f>
        <v>GS 50-999</v>
      </c>
      <c r="C27" s="269">
        <f ca="1">OFFSET('kW Forecast'!$D$5,COLUMN()-COLUMN($C27),0)</f>
        <v>839348</v>
      </c>
      <c r="D27" s="269">
        <f ca="1">OFFSET('kW Forecast'!$D$5,COLUMN()-COLUMN($C27),0)</f>
        <v>851612</v>
      </c>
      <c r="E27" s="269">
        <f ca="1">OFFSET('kW Forecast'!$D$5,COLUMN()-COLUMN($C27),0)</f>
        <v>818803.64996520523</v>
      </c>
      <c r="F27" s="269">
        <f ca="1">OFFSET('kW Forecast'!$D$5,COLUMN()-COLUMN($C27),0)</f>
        <v>829834.35003479477</v>
      </c>
      <c r="G27" s="269">
        <f ca="1">OFFSET('kW Forecast'!$D$5,COLUMN()-COLUMN($C27),0)</f>
        <v>800107.8899999999</v>
      </c>
      <c r="H27" s="269">
        <f ca="1">OFFSET('kW Forecast'!$D$5,COLUMN()-COLUMN($C27),0)</f>
        <v>816353.62433400005</v>
      </c>
      <c r="I27" s="269">
        <f ca="1">OFFSET('kW Forecast'!$D$5,COLUMN()-COLUMN($C27),0)</f>
        <v>798585.1100000001</v>
      </c>
      <c r="J27" s="269">
        <f ca="1">OFFSET('kW Forecast'!$D$5,COLUMN()-COLUMN($C27),0)</f>
        <v>825642.3595324757</v>
      </c>
      <c r="K27" s="269">
        <f ca="1">OFFSET('kW Forecast'!$D$5,COLUMN()-COLUMN($C27),0)</f>
        <v>832495.70427905454</v>
      </c>
      <c r="L27" s="269">
        <f ca="1">OFFSET('kW Forecast'!$D$5,COLUMN()-COLUMN($C27),0)</f>
        <v>809029.65951646981</v>
      </c>
      <c r="M27" s="269">
        <f ca="1">OFFSET('kW Forecast'!$H$19,COLUMN()-COLUMN($M27),0)</f>
        <v>835846.91812427889</v>
      </c>
      <c r="N27" s="269">
        <f ca="1">OFFSET('kW Forecast'!$H$19,COLUMN()-COLUMN($M27),0)</f>
        <v>837900.73822669976</v>
      </c>
      <c r="O27" s="287">
        <f ca="1">OFFSET('kW Forecast'!$H$19,COLUMN()-COLUMN($M27),0)</f>
        <v>842134.79457199015</v>
      </c>
    </row>
    <row r="28" spans="2:15" x14ac:dyDescent="0.25">
      <c r="B28" s="21" t="str">
        <f>B18</f>
        <v>GS 1,000-4,999</v>
      </c>
      <c r="C28" s="269">
        <f ca="1">OFFSET('kW Forecast'!$L$5,COLUMN()-COLUMN($C28),0)</f>
        <v>190622</v>
      </c>
      <c r="D28" s="269">
        <f ca="1">OFFSET('kW Forecast'!$L$5,COLUMN()-COLUMN($C28),0)</f>
        <v>203972</v>
      </c>
      <c r="E28" s="269">
        <f ca="1">OFFSET('kW Forecast'!$L$5,COLUMN()-COLUMN($C28),0)</f>
        <v>192774</v>
      </c>
      <c r="F28" s="269">
        <f ca="1">OFFSET('kW Forecast'!$L$5,COLUMN()-COLUMN($C28),0)</f>
        <v>190148</v>
      </c>
      <c r="G28" s="269">
        <f ca="1">OFFSET('kW Forecast'!$L$5,COLUMN()-COLUMN($C28),0)</f>
        <v>184105.52000000002</v>
      </c>
      <c r="H28" s="269">
        <f ca="1">OFFSET('kW Forecast'!$L$5,COLUMN()-COLUMN($C28),0)</f>
        <v>176691.623696</v>
      </c>
      <c r="I28" s="269">
        <f ca="1">OFFSET('kW Forecast'!$L$5,COLUMN()-COLUMN($C28),0)</f>
        <v>171434.78999999998</v>
      </c>
      <c r="J28" s="269">
        <f ca="1">OFFSET('kW Forecast'!$L$5,COLUMN()-COLUMN($C28),0)</f>
        <v>179599.57558400001</v>
      </c>
      <c r="K28" s="269">
        <f ca="1">OFFSET('kW Forecast'!$L$5,COLUMN()-COLUMN($C28),0)</f>
        <v>179794.09288000004</v>
      </c>
      <c r="L28" s="269">
        <f ca="1">OFFSET('kW Forecast'!$L$5,COLUMN()-COLUMN($C28),0)</f>
        <v>184986.86000000002</v>
      </c>
      <c r="M28" s="269">
        <f ca="1">OFFSET('kW Forecast'!$P$19,COLUMN()-COLUMN($M28),0)</f>
        <v>188159.3398285677</v>
      </c>
      <c r="N28" s="269">
        <f ca="1">OFFSET('kW Forecast'!$P$19,COLUMN()-COLUMN($M28),0)</f>
        <v>191066.02798620216</v>
      </c>
      <c r="O28" s="287">
        <f ca="1">OFFSET('kW Forecast'!$P$19,COLUMN()-COLUMN($M28),0)</f>
        <v>193544.53206020067</v>
      </c>
    </row>
    <row r="29" spans="2:15" x14ac:dyDescent="0.25">
      <c r="B29" s="21" t="str">
        <f>B19</f>
        <v>Large Use</v>
      </c>
      <c r="C29" s="269">
        <f ca="1">OFFSET('kW Forecast'!$U$5,COLUMN()-COLUMN($C29),0)</f>
        <v>95646</v>
      </c>
      <c r="D29" s="269">
        <f ca="1">OFFSET('kW Forecast'!$U$5,COLUMN()-COLUMN($C29),0)</f>
        <v>99493</v>
      </c>
      <c r="E29" s="269">
        <f ca="1">OFFSET('kW Forecast'!$U$5,COLUMN()-COLUMN($C29),0)</f>
        <v>91980.923849603059</v>
      </c>
      <c r="F29" s="269">
        <f ca="1">OFFSET('kW Forecast'!$U$5,COLUMN()-COLUMN($C29),0)</f>
        <v>88890.076150396941</v>
      </c>
      <c r="G29" s="269">
        <f ca="1">OFFSET('kW Forecast'!$U$5,COLUMN()-COLUMN($C29),0)</f>
        <v>87299.34</v>
      </c>
      <c r="H29" s="269">
        <f ca="1">OFFSET('kW Forecast'!$U$5,COLUMN()-COLUMN($C29),0)</f>
        <v>72644.109871999986</v>
      </c>
      <c r="I29" s="269">
        <f ca="1">OFFSET('kW Forecast'!$U$5,COLUMN()-COLUMN($C29),0)</f>
        <v>73480.24000000002</v>
      </c>
      <c r="J29" s="269">
        <f ca="1">OFFSET('kW Forecast'!$U$5,COLUMN()-COLUMN($C29),0)</f>
        <v>76262.768063999989</v>
      </c>
      <c r="K29" s="269">
        <f ca="1">OFFSET('kW Forecast'!$U$5,COLUMN()-COLUMN($C29),0)</f>
        <v>73164.14</v>
      </c>
      <c r="L29" s="269">
        <f ca="1">OFFSET('kW Forecast'!$U$5,COLUMN()-COLUMN($C29),0)</f>
        <v>82740.489216000002</v>
      </c>
      <c r="M29" s="269">
        <f ca="1">OFFSET('kW Forecast'!$Y$19,COLUMN()-COLUMN($M29),0)</f>
        <v>85819.795167002958</v>
      </c>
      <c r="N29" s="269">
        <f ca="1">OFFSET('kW Forecast'!$Y$19,COLUMN()-COLUMN($M29),0)</f>
        <v>85659.21836624002</v>
      </c>
      <c r="O29" s="287">
        <f ca="1">OFFSET('kW Forecast'!$Y$19,COLUMN()-COLUMN($M29),0)</f>
        <v>85799.26194210742</v>
      </c>
    </row>
    <row r="30" spans="2:15" x14ac:dyDescent="0.25">
      <c r="B30" s="21" t="str">
        <f>B20</f>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Forecast'!$AC$19,COLUMN()-COLUMN($M30),0)</f>
        <v>13003.986401685019</v>
      </c>
      <c r="N30" s="269">
        <f ca="1">OFFSET('kW Forecast'!$AC$19,COLUMN()-COLUMN($M30),0)</f>
        <v>13019.547179159843</v>
      </c>
      <c r="O30" s="287">
        <f ca="1">OFFSET('kW Forecast'!$AC$19,COLUMN()-COLUMN($M30),0)</f>
        <v>13198.013559683872</v>
      </c>
    </row>
    <row r="31" spans="2:15" x14ac:dyDescent="0.25">
      <c r="B31" s="21" t="str">
        <f>B21</f>
        <v>Sentinel Lights</v>
      </c>
      <c r="C31" s="269">
        <f ca="1">OFFSET('kW Forecast'!$AL$5,COLUMN()-COLUMN($C31),0)</f>
        <v>100</v>
      </c>
      <c r="D31" s="269">
        <f ca="1">OFFSET('kW Forecast'!$AL$5,COLUMN()-COLUMN($C31),0)</f>
        <v>85</v>
      </c>
      <c r="E31" s="269">
        <f ca="1">OFFSET('kW Forecast'!$AL$5,COLUMN()-COLUMN($C31),0)</f>
        <v>85</v>
      </c>
      <c r="F31" s="269">
        <f ca="1">OFFSET('kW Forecast'!$AL$5,COLUMN()-COLUMN($C31),0)</f>
        <v>85</v>
      </c>
      <c r="G31" s="269">
        <f ca="1">OFFSET('kW Forecast'!$AL$5,COLUMN()-COLUMN($C31),0)</f>
        <v>85</v>
      </c>
      <c r="H31" s="269">
        <f ca="1">OFFSET('kW Forecast'!$AL$5,COLUMN()-COLUMN($C31),0)</f>
        <v>85</v>
      </c>
      <c r="I31" s="269">
        <f ca="1">OFFSET('kW Forecast'!$AL$5,COLUMN()-COLUMN($C31),0)</f>
        <v>81</v>
      </c>
      <c r="J31" s="269">
        <f ca="1">OFFSET('kW Forecast'!$AL$5,COLUMN()-COLUMN($C31),0)</f>
        <v>79</v>
      </c>
      <c r="K31" s="269">
        <f ca="1">OFFSET('kW Forecast'!$AL$5,COLUMN()-COLUMN($C31),0)</f>
        <v>77</v>
      </c>
      <c r="L31" s="269">
        <f ca="1">OFFSET('kW Forecast'!$AL$5,COLUMN()-COLUMN($C31),0)</f>
        <v>75</v>
      </c>
      <c r="M31" s="269">
        <f ca="1">OFFSET('kW Forecast'!$AL$19,COLUMN()-COLUMN($M31),0)</f>
        <v>77.939189710742539</v>
      </c>
      <c r="N31" s="269">
        <f ca="1">OFFSET('kW Forecast'!$AL$19,COLUMN()-COLUMN($M31),0)</f>
        <v>79.106816690312485</v>
      </c>
      <c r="O31" s="287">
        <f ca="1">OFFSET('kW Forecast'!$AL$19,COLUMN()-COLUMN($M31),0)</f>
        <v>79.106816690312485</v>
      </c>
    </row>
    <row r="32" spans="2:15" ht="13.8" thickBot="1" x14ac:dyDescent="0.3">
      <c r="B32" s="144" t="s">
        <v>326</v>
      </c>
      <c r="C32" s="145">
        <f t="shared" ref="C32" ca="1" si="9">SUM(C27:C31)</f>
        <v>1151824</v>
      </c>
      <c r="D32" s="145">
        <f t="shared" ref="D32" ca="1" si="10">SUM(D27:D31)</f>
        <v>1181686</v>
      </c>
      <c r="E32" s="145">
        <f t="shared" ref="E32" ca="1" si="11">SUM(E27:E31)</f>
        <v>1117588.5488148085</v>
      </c>
      <c r="F32" s="145">
        <f t="shared" ref="F32" ca="1" si="12">SUM(F27:F31)</f>
        <v>1121068.4261851916</v>
      </c>
      <c r="G32" s="145">
        <f t="shared" ref="G32" ca="1" si="13">SUM(G27:G31)</f>
        <v>1083822.5900000001</v>
      </c>
      <c r="H32" s="145">
        <f ca="1">SUM(H27:H31)</f>
        <v>1078050.2418646556</v>
      </c>
      <c r="I32" s="145">
        <f t="shared" ref="I32" ca="1" si="14">SUM(I27:I31)</f>
        <v>1055913.1531660468</v>
      </c>
      <c r="J32" s="145">
        <f t="shared" ref="J32" ca="1" si="15">SUM(J27:J31)</f>
        <v>1094170.7720497702</v>
      </c>
      <c r="K32" s="145">
        <f t="shared" ref="K32" ca="1" si="16">SUM(K27:K31)</f>
        <v>1098299.5371590545</v>
      </c>
      <c r="L32" s="145">
        <f t="shared" ref="L32:N32" ca="1" si="17">SUM(L27:L31)</f>
        <v>1089648.8087324698</v>
      </c>
      <c r="M32" s="150">
        <f t="shared" ca="1" si="17"/>
        <v>1122907.9787112453</v>
      </c>
      <c r="N32" s="145">
        <f t="shared" ca="1" si="17"/>
        <v>1127724.6385749923</v>
      </c>
      <c r="O32" s="146">
        <f ca="1">SUM(O27:O31)</f>
        <v>1134755.7089506725</v>
      </c>
    </row>
    <row r="34" spans="2:15" ht="16.2" thickBot="1" x14ac:dyDescent="0.35">
      <c r="B34" s="19" t="s">
        <v>529</v>
      </c>
      <c r="C34" s="19"/>
    </row>
    <row r="35" spans="2:15" ht="39.6" x14ac:dyDescent="0.25">
      <c r="B35" s="141" t="s">
        <v>402</v>
      </c>
      <c r="C35" s="142" t="s">
        <v>530</v>
      </c>
      <c r="D35" s="142" t="s">
        <v>531</v>
      </c>
      <c r="E35" s="143" t="s">
        <v>532</v>
      </c>
    </row>
    <row r="36" spans="2:15" x14ac:dyDescent="0.25">
      <c r="B36" s="21" t="str">
        <f>B27</f>
        <v>GS 50-999</v>
      </c>
      <c r="C36" s="269">
        <f ca="1">O27</f>
        <v>842134.79457199015</v>
      </c>
      <c r="D36" s="269">
        <f ca="1">'CDM Adjustment'!O23</f>
        <v>15736.652681522452</v>
      </c>
      <c r="E36" s="287">
        <f ca="1">C36-D36</f>
        <v>826398.14189046773</v>
      </c>
    </row>
    <row r="37" spans="2:15" x14ac:dyDescent="0.25">
      <c r="B37" s="21" t="str">
        <f>B28</f>
        <v>GS 1,000-4,999</v>
      </c>
      <c r="C37" s="269">
        <f ca="1">O28</f>
        <v>193544.53206020067</v>
      </c>
      <c r="D37" s="269">
        <f ca="1">'CDM Adjustment'!O24</f>
        <v>15156.869534729847</v>
      </c>
      <c r="E37" s="287">
        <f ca="1">C37-D37</f>
        <v>178387.66252547083</v>
      </c>
    </row>
    <row r="38" spans="2:15" x14ac:dyDescent="0.25">
      <c r="B38" s="21" t="str">
        <f>B29</f>
        <v>Large Use</v>
      </c>
      <c r="C38" s="269">
        <f ca="1">O29</f>
        <v>85799.26194210742</v>
      </c>
      <c r="D38" s="269">
        <f ca="1">'CDM Adjustment'!O25</f>
        <v>1998.4794965396397</v>
      </c>
      <c r="E38" s="287">
        <f ca="1">C38-D38</f>
        <v>83800.782445567776</v>
      </c>
      <c r="N38" s="269">
        <f ca="1">N29-'CDM Adjustment'!N25</f>
        <v>85160.085568143521</v>
      </c>
      <c r="O38" s="269">
        <f ca="1">O29-'CDM Adjustment'!O25</f>
        <v>83800.782445567776</v>
      </c>
    </row>
    <row r="39" spans="2:15" x14ac:dyDescent="0.25">
      <c r="B39" s="21" t="str">
        <f>B30</f>
        <v>Street Light</v>
      </c>
      <c r="C39" s="269">
        <f ca="1">O30</f>
        <v>13198.013559683872</v>
      </c>
      <c r="D39" s="269"/>
      <c r="E39" s="287">
        <f ca="1">C39-D39</f>
        <v>13198.013559683872</v>
      </c>
    </row>
    <row r="40" spans="2:15" x14ac:dyDescent="0.25">
      <c r="B40" s="21" t="str">
        <f>B31</f>
        <v>Sentinel Lights</v>
      </c>
      <c r="C40" s="269">
        <f ca="1">O31</f>
        <v>79.106816690312485</v>
      </c>
      <c r="D40" s="269"/>
      <c r="E40" s="287">
        <f ca="1">C40-D40</f>
        <v>79.106816690312485</v>
      </c>
    </row>
    <row r="41" spans="2:15" ht="13.8" thickBot="1" x14ac:dyDescent="0.3">
      <c r="B41" s="144" t="s">
        <v>326</v>
      </c>
      <c r="C41" s="145">
        <f ca="1">SUM(C36:C39)</f>
        <v>1134676.6021339821</v>
      </c>
      <c r="D41" s="145">
        <f ca="1">SUM(D36:D39)</f>
        <v>32892.001712791942</v>
      </c>
      <c r="E41" s="146">
        <f ca="1">SUM(E36:E39)</f>
        <v>1101784.6004211903</v>
      </c>
    </row>
    <row r="43" spans="2:15" ht="16.2" thickBot="1" x14ac:dyDescent="0.35">
      <c r="B43" s="19" t="s">
        <v>545</v>
      </c>
      <c r="C43" s="19"/>
    </row>
    <row r="44" spans="2:15" x14ac:dyDescent="0.25">
      <c r="B44" s="147" t="s">
        <v>441</v>
      </c>
      <c r="C44" s="148" t="s">
        <v>518</v>
      </c>
      <c r="D44" s="148" t="s">
        <v>519</v>
      </c>
      <c r="E44" s="148" t="s">
        <v>520</v>
      </c>
      <c r="F44" s="148" t="s">
        <v>521</v>
      </c>
      <c r="G44" s="148" t="s">
        <v>522</v>
      </c>
      <c r="H44" s="148" t="s">
        <v>523</v>
      </c>
      <c r="I44" s="148" t="s">
        <v>524</v>
      </c>
      <c r="J44" s="148" t="s">
        <v>525</v>
      </c>
      <c r="K44" s="148" t="s">
        <v>526</v>
      </c>
      <c r="L44" s="148" t="s">
        <v>527</v>
      </c>
      <c r="M44" s="148" t="s">
        <v>508</v>
      </c>
      <c r="N44" s="151" t="s">
        <v>509</v>
      </c>
    </row>
    <row r="45" spans="2:15" x14ac:dyDescent="0.25">
      <c r="B45" s="20" t="str">
        <f>B15</f>
        <v>Residential</v>
      </c>
      <c r="C45" s="269">
        <f ca="1">OFFSET('Customer Count'!$C$4,COLUMN()-COLUMN($C45),0)</f>
        <v>48571.666666666664</v>
      </c>
      <c r="D45" s="269">
        <f ca="1">OFFSET('Customer Count'!$C$4,COLUMN()-COLUMN($C45),0)</f>
        <v>49247.25</v>
      </c>
      <c r="E45" s="269">
        <f ca="1">OFFSET('Customer Count'!$C$4,COLUMN()-COLUMN($C45),0)</f>
        <v>52735.5</v>
      </c>
      <c r="F45" s="269">
        <f ca="1">OFFSET('Customer Count'!$C$4,COLUMN()-COLUMN($C45),0)</f>
        <v>53780.083333333336</v>
      </c>
      <c r="G45" s="269">
        <f ca="1">OFFSET('Customer Count'!$C$4,COLUMN()-COLUMN($C45),0)</f>
        <v>54576.5</v>
      </c>
      <c r="H45" s="269">
        <f ca="1">OFFSET('Customer Count'!$C$4,COLUMN()-COLUMN($C45),0)</f>
        <v>54548.583333333336</v>
      </c>
      <c r="I45" s="269">
        <f ca="1">OFFSET('Customer Count'!$C$4,COLUMN()-COLUMN($C45),0)</f>
        <v>55127.166666666664</v>
      </c>
      <c r="J45" s="269">
        <f ca="1">OFFSET('Customer Count'!$C$4,COLUMN()-COLUMN($C45),0)</f>
        <v>55761.75</v>
      </c>
      <c r="K45" s="269">
        <f ca="1">OFFSET('Customer Count'!$C$4,COLUMN()-COLUMN($C45),0)</f>
        <v>56980.916666666664</v>
      </c>
      <c r="L45" s="269">
        <f ca="1">OFFSET('Customer Count'!$C$4,COLUMN()-COLUMN($C45),0)</f>
        <v>57937</v>
      </c>
      <c r="M45" s="269">
        <f ca="1">OFFSET('Customer Count'!$C$4,COLUMN()-COLUMN($C45),0)</f>
        <v>58720.823454792175</v>
      </c>
      <c r="N45" s="287">
        <f ca="1">OFFSET('Customer Count'!$C$4,COLUMN()-COLUMN($C45),0)</f>
        <v>59515.251172978766</v>
      </c>
    </row>
    <row r="46" spans="2:15" x14ac:dyDescent="0.25">
      <c r="B46" s="21" t="str">
        <f t="shared" ref="B46:B52" si="18">B16</f>
        <v>GS &lt; 50</v>
      </c>
      <c r="C46" s="269">
        <f ca="1">OFFSET('Customer Count'!$G$4,COLUMN()-COLUMN($C46),0)</f>
        <v>4020</v>
      </c>
      <c r="D46" s="269">
        <f ca="1">OFFSET('Customer Count'!$G$4,COLUMN()-COLUMN($C46),0)</f>
        <v>4149.75</v>
      </c>
      <c r="E46" s="269">
        <f ca="1">OFFSET('Customer Count'!$G$4,COLUMN()-COLUMN($C46),0)</f>
        <v>4161.916666666667</v>
      </c>
      <c r="F46" s="269">
        <f ca="1">OFFSET('Customer Count'!$G$4,COLUMN()-COLUMN($C46),0)</f>
        <v>4199.333333333333</v>
      </c>
      <c r="G46" s="269">
        <f ca="1">OFFSET('Customer Count'!$G$4,COLUMN()-COLUMN($C46),0)</f>
        <v>4194.833333333333</v>
      </c>
      <c r="H46" s="269">
        <f ca="1">OFFSET('Customer Count'!$G$4,COLUMN()-COLUMN($C46),0)</f>
        <v>4211.666666666667</v>
      </c>
      <c r="I46" s="269">
        <f ca="1">OFFSET('Customer Count'!$G$4,COLUMN()-COLUMN($C46),0)</f>
        <v>4271.083333333333</v>
      </c>
      <c r="J46" s="269">
        <f ca="1">OFFSET('Customer Count'!$G$4,COLUMN()-COLUMN($C46),0)</f>
        <v>4304.833333333333</v>
      </c>
      <c r="K46" s="269">
        <f ca="1">OFFSET('Customer Count'!$G$4,COLUMN()-COLUMN($C46),0)</f>
        <v>4393.416666666667</v>
      </c>
      <c r="L46" s="269">
        <f ca="1">OFFSET('Customer Count'!$G$4,COLUMN()-COLUMN($C46),0)</f>
        <v>4427.25</v>
      </c>
      <c r="M46" s="269">
        <f ca="1">OFFSET('Customer Count'!$G$4,COLUMN()-COLUMN($C46),0)</f>
        <v>4474.973731775096</v>
      </c>
      <c r="N46" s="287">
        <f ca="1">OFFSET('Customer Count'!$G$4,COLUMN()-COLUMN($C46),0)</f>
        <v>4523.2119035692876</v>
      </c>
    </row>
    <row r="47" spans="2:15" ht="13.5" customHeight="1" x14ac:dyDescent="0.25">
      <c r="B47" s="21" t="str">
        <f t="shared" si="18"/>
        <v>GS 50-999</v>
      </c>
      <c r="C47" s="269">
        <f ca="1">OFFSET('Customer Count'!$K$4,COLUMN()-COLUMN($C47),0)</f>
        <v>509.25</v>
      </c>
      <c r="D47" s="269">
        <f ca="1">OFFSET('Customer Count'!$K$4,COLUMN()-COLUMN($C47),0)</f>
        <v>517.58333333333337</v>
      </c>
      <c r="E47" s="269">
        <f ca="1">OFFSET('Customer Count'!$K$4,COLUMN()-COLUMN($C47),0)</f>
        <v>524</v>
      </c>
      <c r="F47" s="269">
        <f ca="1">OFFSET('Customer Count'!$K$4,COLUMN()-COLUMN($C47),0)</f>
        <v>515.41666666666663</v>
      </c>
      <c r="G47" s="269">
        <f ca="1">OFFSET('Customer Count'!$K$4,COLUMN()-COLUMN($C47),0)</f>
        <v>525.25</v>
      </c>
      <c r="H47" s="269">
        <f ca="1">OFFSET('Customer Count'!$K$4,COLUMN()-COLUMN($C47),0)</f>
        <v>537.83333333333337</v>
      </c>
      <c r="I47" s="269">
        <f ca="1">OFFSET('Customer Count'!$K$4,COLUMN()-COLUMN($C47),0)</f>
        <v>538.41666666666663</v>
      </c>
      <c r="J47" s="269">
        <f ca="1">OFFSET('Customer Count'!$K$4,COLUMN()-COLUMN($C47),0)</f>
        <v>543.08333333333337</v>
      </c>
      <c r="K47" s="269">
        <f ca="1">OFFSET('Customer Count'!$K$4,COLUMN()-COLUMN($C47),0)</f>
        <v>521.16666666666663</v>
      </c>
      <c r="L47" s="269">
        <f ca="1">OFFSET('Customer Count'!$K$4,COLUMN()-COLUMN($C47),0)</f>
        <v>516.66666666666663</v>
      </c>
      <c r="M47" s="269">
        <f ca="1">OFFSET('Customer Count'!$K$4,COLUMN()-COLUMN($C47),0)</f>
        <v>517.49737979426186</v>
      </c>
      <c r="N47" s="287">
        <f ca="1">OFFSET('Customer Count'!$K$4,COLUMN()-COLUMN($C47),0)</f>
        <v>518.32942856889008</v>
      </c>
    </row>
    <row r="48" spans="2:15" ht="13.5" customHeight="1" x14ac:dyDescent="0.25">
      <c r="B48" s="21" t="str">
        <f t="shared" si="18"/>
        <v>GS 1,000-4,999</v>
      </c>
      <c r="C48" s="269">
        <f ca="1">OFFSET('Customer Count'!$O$4,COLUMN()-COLUMN($C48),0)</f>
        <v>12.5</v>
      </c>
      <c r="D48" s="269">
        <f ca="1">OFFSET('Customer Count'!$O$4,COLUMN()-COLUMN($C48),0)</f>
        <v>12.833333333333334</v>
      </c>
      <c r="E48" s="269">
        <f ca="1">OFFSET('Customer Count'!$O$4,COLUMN()-COLUMN($C48),0)</f>
        <v>11.833333333333334</v>
      </c>
      <c r="F48" s="269">
        <f ca="1">OFFSET('Customer Count'!$O$4,COLUMN()-COLUMN($C48),0)</f>
        <v>12</v>
      </c>
      <c r="G48" s="269">
        <f ca="1">OFFSET('Customer Count'!$O$4,COLUMN()-COLUMN($C48),0)</f>
        <v>14</v>
      </c>
      <c r="H48" s="269">
        <f ca="1">OFFSET('Customer Count'!$O$4,COLUMN()-COLUMN($C48),0)</f>
        <v>14.5</v>
      </c>
      <c r="I48" s="269">
        <f ca="1">OFFSET('Customer Count'!$O$4,COLUMN()-COLUMN($C48),0)</f>
        <v>17</v>
      </c>
      <c r="J48" s="269">
        <f ca="1">OFFSET('Customer Count'!$O$4,COLUMN()-COLUMN($C48),0)</f>
        <v>18</v>
      </c>
      <c r="K48" s="269">
        <f ca="1">OFFSET('Customer Count'!$O$4,COLUMN()-COLUMN($C48),0)</f>
        <v>18</v>
      </c>
      <c r="L48" s="269">
        <f ca="1">OFFSET('Customer Count'!$O$4,COLUMN()-COLUMN($C48),0)</f>
        <v>17</v>
      </c>
      <c r="M48" s="269">
        <f ca="1">OFFSET('Customer Count'!$O$4,COLUMN()-COLUMN($C48),0)</f>
        <v>17.590839976774891</v>
      </c>
      <c r="N48" s="287">
        <f ca="1">OFFSET('Customer Count'!$O$4,COLUMN()-COLUMN($C48),0)</f>
        <v>18.202214769911862</v>
      </c>
    </row>
    <row r="49" spans="2:14" ht="13.5" customHeight="1" x14ac:dyDescent="0.25">
      <c r="B49" s="21" t="str">
        <f t="shared" si="18"/>
        <v>Large Use</v>
      </c>
      <c r="C49" s="269">
        <f ca="1">OFFSET('Customer Count'!$S$4,COLUMN()-COLUMN($C49),0)</f>
        <v>1</v>
      </c>
      <c r="D49" s="269">
        <f ca="1">OFFSET('Customer Count'!$S$4,COLUMN()-COLUMN($C49),0)</f>
        <v>1</v>
      </c>
      <c r="E49" s="269">
        <f ca="1">OFFSET('Customer Count'!$S$4,COLUMN()-COLUMN($C49),0)</f>
        <v>1</v>
      </c>
      <c r="F49" s="269">
        <f ca="1">OFFSET('Customer Count'!$S$4,COLUMN()-COLUMN($C49),0)</f>
        <v>1</v>
      </c>
      <c r="G49" s="269">
        <f ca="1">OFFSET('Customer Count'!$S$4,COLUMN()-COLUMN($C49),0)</f>
        <v>1</v>
      </c>
      <c r="H49" s="269">
        <f ca="1">OFFSET('Customer Count'!$S$4,COLUMN()-COLUMN($C49),0)</f>
        <v>1</v>
      </c>
      <c r="I49" s="269">
        <f ca="1">OFFSET('Customer Count'!$S$4,COLUMN()-COLUMN($C49),0)</f>
        <v>1</v>
      </c>
      <c r="J49" s="269">
        <f ca="1">OFFSET('Customer Count'!$S$4,COLUMN()-COLUMN($C49),0)</f>
        <v>1</v>
      </c>
      <c r="K49" s="269">
        <f ca="1">OFFSET('Customer Count'!$S$4,COLUMN()-COLUMN($C49),0)</f>
        <v>1</v>
      </c>
      <c r="L49" s="269">
        <f ca="1">OFFSET('Customer Count'!$S$4,COLUMN()-COLUMN($C49),0)</f>
        <v>1</v>
      </c>
      <c r="M49" s="269">
        <f ca="1">OFFSET('Customer Count'!$S$4,COLUMN()-COLUMN($C49),0)</f>
        <v>1</v>
      </c>
      <c r="N49" s="287">
        <f ca="1">OFFSET('Customer Count'!$S$4,COLUMN()-COLUMN($C49),0)</f>
        <v>1</v>
      </c>
    </row>
    <row r="50" spans="2:14" x14ac:dyDescent="0.25">
      <c r="B50" s="21" t="str">
        <f t="shared" si="18"/>
        <v>Street Light</v>
      </c>
      <c r="C50" s="269">
        <f ca="1">OFFSET('Customer Count'!$W$4,COLUMN()-COLUMN($C50),0)</f>
        <v>12676.166666666666</v>
      </c>
      <c r="D50" s="269">
        <f ca="1">OFFSET('Customer Count'!$W$4,COLUMN()-COLUMN($C50),0)</f>
        <v>12955.333333333334</v>
      </c>
      <c r="E50" s="269">
        <f ca="1">OFFSET('Customer Count'!$W$4,COLUMN()-COLUMN($C50),0)</f>
        <v>13171.25</v>
      </c>
      <c r="F50" s="269">
        <f ca="1">OFFSET('Customer Count'!$W$4,COLUMN()-COLUMN($C50),0)</f>
        <v>13827.666666666666</v>
      </c>
      <c r="G50" s="269">
        <f ca="1">OFFSET('Customer Count'!$W$4,COLUMN()-COLUMN($C50),0)</f>
        <v>13934</v>
      </c>
      <c r="H50" s="269">
        <f ca="1">OFFSET('Customer Count'!$W$4,COLUMN()-COLUMN($C50),0)</f>
        <v>13979.416666666666</v>
      </c>
      <c r="I50" s="269">
        <f ca="1">OFFSET('Customer Count'!$W$4,COLUMN()-COLUMN($C50),0)</f>
        <v>14037.833333333334</v>
      </c>
      <c r="J50" s="269">
        <f ca="1">OFFSET('Customer Count'!$W$4,COLUMN()-COLUMN($C50),0)</f>
        <v>14204</v>
      </c>
      <c r="K50" s="269">
        <f ca="1">OFFSET('Customer Count'!$W$4,COLUMN()-COLUMN($C50),0)</f>
        <v>14384.333333333334</v>
      </c>
      <c r="L50" s="269">
        <f ca="1">OFFSET('Customer Count'!$W$4,COLUMN()-COLUMN($C50),0)</f>
        <v>14446.083333333334</v>
      </c>
      <c r="M50" s="269">
        <f ca="1">OFFSET('Customer Count'!$W$4,COLUMN()-COLUMN($C50),0)</f>
        <v>14644.104060918626</v>
      </c>
      <c r="N50" s="287">
        <f ca="1">OFFSET('Customer Count'!$W$4,COLUMN()-COLUMN($C50),0)</f>
        <v>14844.839171887194</v>
      </c>
    </row>
    <row r="51" spans="2:14" x14ac:dyDescent="0.25">
      <c r="B51" s="21" t="str">
        <f t="shared" si="18"/>
        <v>Sentinel Lights</v>
      </c>
      <c r="C51" s="269">
        <f ca="1">OFFSET('Customer Count'!$AA$4,COLUMN()-COLUMN($C51),0)</f>
        <v>25</v>
      </c>
      <c r="D51" s="269">
        <f ca="1">OFFSET('Customer Count'!$AA$4,COLUMN()-COLUMN($C51),0)</f>
        <v>23</v>
      </c>
      <c r="E51" s="269">
        <f ca="1">OFFSET('Customer Count'!$AA$4,COLUMN()-COLUMN($C51),0)</f>
        <v>23</v>
      </c>
      <c r="F51" s="269">
        <f ca="1">OFFSET('Customer Count'!$AA$4,COLUMN()-COLUMN($C51),0)</f>
        <v>23</v>
      </c>
      <c r="G51" s="269">
        <f ca="1">OFFSET('Customer Count'!$AA$4,COLUMN()-COLUMN($C51),0)</f>
        <v>19</v>
      </c>
      <c r="H51" s="269">
        <f ca="1">OFFSET('Customer Count'!$AA$4,COLUMN()-COLUMN($C51),0)</f>
        <v>19</v>
      </c>
      <c r="I51" s="269">
        <f ca="1">OFFSET('Customer Count'!$AA$4,COLUMN()-COLUMN($C51),0)</f>
        <v>19</v>
      </c>
      <c r="J51" s="269">
        <f ca="1">OFFSET('Customer Count'!$AA$4,COLUMN()-COLUMN($C51),0)</f>
        <v>19</v>
      </c>
      <c r="K51" s="269">
        <f ca="1">OFFSET('Customer Count'!$AA$4,COLUMN()-COLUMN($C51),0)</f>
        <v>19</v>
      </c>
      <c r="L51" s="269">
        <f ca="1">OFFSET('Customer Count'!$AA$4,COLUMN()-COLUMN($C51),0)</f>
        <v>19</v>
      </c>
      <c r="M51" s="269">
        <f ca="1">OFFSET('Customer Count'!$AA$4,COLUMN()-COLUMN($C51),0)</f>
        <v>19</v>
      </c>
      <c r="N51" s="287">
        <f ca="1">OFFSET('Customer Count'!$AA$4,COLUMN()-COLUMN($C51),0)</f>
        <v>19</v>
      </c>
    </row>
    <row r="52" spans="2:14" x14ac:dyDescent="0.25">
      <c r="B52" s="21" t="str">
        <f t="shared" si="18"/>
        <v>USL</v>
      </c>
      <c r="C52" s="269">
        <f ca="1">OFFSET('Customer Count'!$AE$4,COLUMN()-COLUMN($C52),0)</f>
        <v>257.83333333333331</v>
      </c>
      <c r="D52" s="269">
        <f ca="1">OFFSET('Customer Count'!$AE$4,COLUMN()-COLUMN($C52),0)</f>
        <v>246.25</v>
      </c>
      <c r="E52" s="269">
        <f ca="1">OFFSET('Customer Count'!$AE$4,COLUMN()-COLUMN($C52),0)</f>
        <v>246.08333333333334</v>
      </c>
      <c r="F52" s="269">
        <f ca="1">OFFSET('Customer Count'!$AE$4,COLUMN()-COLUMN($C52),0)</f>
        <v>247.91666666666666</v>
      </c>
      <c r="G52" s="269">
        <f ca="1">OFFSET('Customer Count'!$AE$4,COLUMN()-COLUMN($C52),0)</f>
        <v>246.75</v>
      </c>
      <c r="H52" s="269">
        <f ca="1">OFFSET('Customer Count'!$AE$4,COLUMN()-COLUMN($C52),0)</f>
        <v>253.16666666666666</v>
      </c>
      <c r="I52" s="269">
        <f ca="1">OFFSET('Customer Count'!$AE$4,COLUMN()-COLUMN($C52),0)</f>
        <v>251.41666666666666</v>
      </c>
      <c r="J52" s="269">
        <f ca="1">OFFSET('Customer Count'!$AE$4,COLUMN()-COLUMN($C52),0)</f>
        <v>252.66666666666666</v>
      </c>
      <c r="K52" s="269">
        <f ca="1">OFFSET('Customer Count'!$AE$4,COLUMN()-COLUMN($C52),0)</f>
        <v>259.25</v>
      </c>
      <c r="L52" s="269">
        <f ca="1">OFFSET('Customer Count'!$AE$4,COLUMN()-COLUMN($C52),0)</f>
        <v>259.5</v>
      </c>
      <c r="M52" s="269">
        <f ca="1">OFFSET('Customer Count'!$AE$4,COLUMN()-COLUMN($C52),0)</f>
        <v>261.20561142585262</v>
      </c>
      <c r="N52" s="287">
        <f ca="1">OFFSET('Customer Count'!$AE$4,COLUMN()-COLUMN($C52),0)</f>
        <v>262.92243329615997</v>
      </c>
    </row>
    <row r="53" spans="2:14" ht="13.8" thickBot="1" x14ac:dyDescent="0.3">
      <c r="B53" s="144" t="s">
        <v>326</v>
      </c>
      <c r="C53" s="145">
        <f t="shared" ref="C53:N53" ca="1" si="19">SUM(C45:C52)</f>
        <v>66073.416666666657</v>
      </c>
      <c r="D53" s="145">
        <f t="shared" ca="1" si="19"/>
        <v>67153</v>
      </c>
      <c r="E53" s="145">
        <f t="shared" ca="1" si="19"/>
        <v>70874.583333333328</v>
      </c>
      <c r="F53" s="145">
        <f t="shared" ca="1" si="19"/>
        <v>72606.416666666672</v>
      </c>
      <c r="G53" s="145">
        <f t="shared" ca="1" si="19"/>
        <v>73511.333333333343</v>
      </c>
      <c r="H53" s="145">
        <f t="shared" ref="H53:M53" ca="1" si="20">SUM(H45:H52)</f>
        <v>73565.166666666672</v>
      </c>
      <c r="I53" s="145">
        <f t="shared" ca="1" si="20"/>
        <v>74262.916666666672</v>
      </c>
      <c r="J53" s="145">
        <f t="shared" ca="1" si="20"/>
        <v>75104.333333333343</v>
      </c>
      <c r="K53" s="145">
        <f t="shared" ca="1" si="20"/>
        <v>76577.083333333328</v>
      </c>
      <c r="L53" s="150">
        <f t="shared" ca="1" si="20"/>
        <v>77623.5</v>
      </c>
      <c r="M53" s="145">
        <f t="shared" ca="1" si="20"/>
        <v>78656.195078682795</v>
      </c>
      <c r="N53" s="146">
        <f t="shared" ca="1" si="19"/>
        <v>79702.756325070208</v>
      </c>
    </row>
    <row r="55" spans="2:14" ht="16.2" thickBot="1" x14ac:dyDescent="0.35">
      <c r="B55" s="19" t="s">
        <v>535</v>
      </c>
      <c r="C55" s="140"/>
    </row>
    <row r="56" spans="2:14" ht="26.4" x14ac:dyDescent="0.25">
      <c r="B56" s="141">
        <v>2026</v>
      </c>
      <c r="C56" s="142" t="s">
        <v>401</v>
      </c>
      <c r="D56" s="142" t="s">
        <v>402</v>
      </c>
      <c r="E56" s="143" t="s">
        <v>545</v>
      </c>
    </row>
    <row r="57" spans="2:14" x14ac:dyDescent="0.25">
      <c r="B57" s="21" t="str">
        <f t="shared" ref="B57:B64" si="21">B45</f>
        <v>Residential</v>
      </c>
      <c r="C57" s="269">
        <f t="shared" ref="C57:C64" ca="1" si="22">E15</f>
        <v>551504306.33943224</v>
      </c>
      <c r="D57" s="269"/>
      <c r="E57" s="287">
        <f t="shared" ref="E57:E64" ca="1" si="23">N45</f>
        <v>59515.251172978766</v>
      </c>
    </row>
    <row r="58" spans="2:14" x14ac:dyDescent="0.25">
      <c r="B58" s="21" t="str">
        <f t="shared" si="21"/>
        <v>GS &lt; 50</v>
      </c>
      <c r="C58" s="269">
        <f t="shared" ca="1" si="22"/>
        <v>128276138.96033406</v>
      </c>
      <c r="D58" s="269"/>
      <c r="E58" s="287">
        <f t="shared" ca="1" si="23"/>
        <v>4523.2119035692876</v>
      </c>
      <c r="G58" s="134"/>
      <c r="H58" s="134"/>
    </row>
    <row r="59" spans="2:14" x14ac:dyDescent="0.25">
      <c r="B59" s="21" t="str">
        <f t="shared" si="21"/>
        <v>GS 50-999</v>
      </c>
      <c r="C59" s="269">
        <f t="shared" ca="1" si="22"/>
        <v>326060503.67292589</v>
      </c>
      <c r="D59" s="269">
        <f ca="1">E36</f>
        <v>826398.14189046773</v>
      </c>
      <c r="E59" s="287">
        <f t="shared" ca="1" si="23"/>
        <v>518.32942856889008</v>
      </c>
    </row>
    <row r="60" spans="2:14" x14ac:dyDescent="0.25">
      <c r="B60" s="21" t="str">
        <f t="shared" si="21"/>
        <v>GS 1,000-4,999</v>
      </c>
      <c r="C60" s="269">
        <f t="shared" ca="1" si="22"/>
        <v>74664594.962081224</v>
      </c>
      <c r="D60" s="269">
        <f ca="1">E37</f>
        <v>178387.66252547083</v>
      </c>
      <c r="E60" s="287">
        <f t="shared" ca="1" si="23"/>
        <v>18.202214769911862</v>
      </c>
    </row>
    <row r="61" spans="2:14" x14ac:dyDescent="0.25">
      <c r="B61" s="21" t="str">
        <f t="shared" si="21"/>
        <v>Large Use</v>
      </c>
      <c r="C61" s="269">
        <f t="shared" ca="1" si="22"/>
        <v>37614342.954180762</v>
      </c>
      <c r="D61" s="269">
        <f ca="1">E38</f>
        <v>83800.782445567776</v>
      </c>
      <c r="E61" s="287">
        <f t="shared" ca="1" si="23"/>
        <v>1</v>
      </c>
    </row>
    <row r="62" spans="2:14" x14ac:dyDescent="0.25">
      <c r="B62" s="21" t="str">
        <f t="shared" si="21"/>
        <v>Street Light</v>
      </c>
      <c r="C62" s="269">
        <f t="shared" ca="1" si="22"/>
        <v>4665081.9792804932</v>
      </c>
      <c r="D62" s="269">
        <f ca="1">E39</f>
        <v>13198.013559683872</v>
      </c>
      <c r="E62" s="287">
        <f t="shared" ca="1" si="23"/>
        <v>14844.839171887194</v>
      </c>
    </row>
    <row r="63" spans="2:14" x14ac:dyDescent="0.25">
      <c r="B63" s="21" t="str">
        <f t="shared" si="21"/>
        <v>Sentinel Lights</v>
      </c>
      <c r="C63" s="269">
        <f t="shared" ca="1" si="22"/>
        <v>26717.919999999998</v>
      </c>
      <c r="D63" s="269">
        <f ca="1">E40</f>
        <v>79.106816690312485</v>
      </c>
      <c r="E63" s="287">
        <f t="shared" ca="1" si="23"/>
        <v>19</v>
      </c>
    </row>
    <row r="64" spans="2:14" x14ac:dyDescent="0.25">
      <c r="B64" s="21" t="str">
        <f t="shared" si="21"/>
        <v>USL</v>
      </c>
      <c r="C64" s="269">
        <f t="shared" ca="1" si="22"/>
        <v>2866800.061490498</v>
      </c>
      <c r="D64" s="269"/>
      <c r="E64" s="287">
        <f t="shared" ca="1" si="23"/>
        <v>262.92243329615997</v>
      </c>
    </row>
    <row r="65" spans="2:5" ht="13.8" thickBot="1" x14ac:dyDescent="0.3">
      <c r="B65" s="144" t="s">
        <v>326</v>
      </c>
      <c r="C65" s="145">
        <f ca="1">SUM(C57:C64)</f>
        <v>1125678486.8497252</v>
      </c>
      <c r="D65" s="145">
        <f ca="1">SUM(D57:D64)</f>
        <v>1101863.7072378807</v>
      </c>
      <c r="E65" s="146">
        <f ca="1">SUM(E57:E64)</f>
        <v>79702.756325070208</v>
      </c>
    </row>
  </sheetData>
  <mergeCells count="1">
    <mergeCell ref="R3:X3"/>
  </mergeCells>
  <phoneticPr fontId="33" type="noConversion"/>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tabColor theme="4" tint="0.79998168889431442"/>
  </sheetPr>
  <dimension ref="A1:R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9" width="9.33203125" style="1"/>
    <col min="10" max="10" width="11.33203125" style="1" bestFit="1" customWidth="1"/>
    <col min="11" max="11" width="9.33203125" style="1"/>
    <col min="12" max="12" width="11.77734375" style="1" bestFit="1" customWidth="1"/>
    <col min="13" max="13" width="12" style="1" bestFit="1" customWidth="1"/>
    <col min="14" max="14" width="12.77734375" style="1" bestFit="1" customWidth="1"/>
    <col min="15" max="15" width="13.77734375" style="1" bestFit="1" customWidth="1"/>
    <col min="16" max="16" width="14.33203125" style="1" bestFit="1" customWidth="1"/>
    <col min="17" max="17" width="13.6640625" style="1" bestFit="1" customWidth="1"/>
    <col min="18" max="18" width="16.109375" style="1" customWidth="1"/>
    <col min="19" max="19" width="13.77734375" style="1" bestFit="1" customWidth="1"/>
    <col min="20" max="20" width="13" style="1" bestFit="1" customWidth="1"/>
    <col min="21" max="22" width="16" style="1" bestFit="1" customWidth="1"/>
    <col min="23" max="16384" width="9.33203125" style="1"/>
  </cols>
  <sheetData>
    <row r="1" spans="1:18" x14ac:dyDescent="0.25">
      <c r="A1" s="273" t="str">
        <f>'Monthly Data'!A1</f>
        <v>Date</v>
      </c>
      <c r="B1" s="274" t="s">
        <v>1</v>
      </c>
      <c r="C1" s="274" t="s">
        <v>2</v>
      </c>
      <c r="D1" s="275" t="str">
        <f>'Monthly Data'!F1</f>
        <v>Res_NoCDM</v>
      </c>
      <c r="E1" s="276" t="str">
        <f>G1&amp;"Norm"</f>
        <v>HDD14Norm</v>
      </c>
      <c r="F1" s="276" t="str">
        <f>H1&amp;"Norm"</f>
        <v>CDD10Norm</v>
      </c>
      <c r="G1" s="276" t="str">
        <f>'Monthly Data'!BF1</f>
        <v>HDD14</v>
      </c>
      <c r="H1" s="276" t="str">
        <f>'Monthly Data'!BK1</f>
        <v>CDD10</v>
      </c>
      <c r="I1" s="276" t="str">
        <f>J1&amp;"Norm"</f>
        <v>CWFHCDD12Norm</v>
      </c>
      <c r="J1" s="277" t="str">
        <f>'Monthly Data'!DG1</f>
        <v>CWFHCDD12</v>
      </c>
      <c r="K1" s="274" t="str">
        <f>'Monthly Data'!CC1</f>
        <v>Trend</v>
      </c>
      <c r="M1" s="274" t="s">
        <v>152</v>
      </c>
      <c r="N1" s="276" t="str">
        <f>E1</f>
        <v>HDD14Norm</v>
      </c>
      <c r="O1" s="276" t="str">
        <f>F1</f>
        <v>CDD10Norm</v>
      </c>
      <c r="P1" s="276" t="str">
        <f>J1</f>
        <v>CWFHCDD12</v>
      </c>
      <c r="Q1" s="276" t="str">
        <f>K1</f>
        <v>Trend</v>
      </c>
      <c r="R1" s="274" t="s">
        <v>425</v>
      </c>
    </row>
    <row r="2" spans="1:18" x14ac:dyDescent="0.25">
      <c r="A2" s="3">
        <f>'Monthly Data'!A2</f>
        <v>42005</v>
      </c>
      <c r="B2" s="1">
        <f t="shared" ref="B2:B59" si="0">YEAR(A2)</f>
        <v>2015</v>
      </c>
      <c r="C2" s="1">
        <f t="shared" ref="C2:C59" si="1">MONTH(A2)</f>
        <v>1</v>
      </c>
      <c r="D2" s="268">
        <f>'Monthly Data'!F2</f>
        <v>49452804.208921209</v>
      </c>
      <c r="E2" s="278">
        <f ca="1">Weather!BR34</f>
        <v>573.33418478260865</v>
      </c>
      <c r="F2" s="278">
        <f ca="1">Weather!CU34</f>
        <v>0</v>
      </c>
      <c r="G2" s="278">
        <f>'Monthly Data'!BF2</f>
        <v>673.89184782608697</v>
      </c>
      <c r="H2" s="278">
        <f>'Monthly Data'!BK2</f>
        <v>0</v>
      </c>
      <c r="I2" s="278"/>
      <c r="J2" s="18">
        <f>'Monthly Data'!DG2</f>
        <v>0</v>
      </c>
      <c r="K2" s="1">
        <f>'Monthly Data'!CC2</f>
        <v>1</v>
      </c>
      <c r="M2" s="18"/>
      <c r="N2" s="18">
        <f ca="1">(E2-G2)*'Res Predicted Monthly'!$T$10</f>
        <v>-3601617.6006953865</v>
      </c>
      <c r="O2" s="18">
        <f ca="1">(F2-H2)*'Res Predicted Monthly'!$T$11</f>
        <v>0</v>
      </c>
      <c r="P2" s="18"/>
      <c r="Q2" s="18"/>
      <c r="R2" s="268">
        <f t="shared" ref="R2:R33" ca="1" si="2">D2+N2+O2</f>
        <v>45851186.608225822</v>
      </c>
    </row>
    <row r="3" spans="1:18" x14ac:dyDescent="0.25">
      <c r="A3" s="3">
        <f>'Monthly Data'!A3</f>
        <v>42036</v>
      </c>
      <c r="B3" s="1">
        <f t="shared" si="0"/>
        <v>2015</v>
      </c>
      <c r="C3" s="1">
        <f t="shared" si="1"/>
        <v>2</v>
      </c>
      <c r="D3" s="268">
        <f>'Monthly Data'!F3</f>
        <v>50302916.673507825</v>
      </c>
      <c r="E3" s="278">
        <f ca="1">Weather!BR35</f>
        <v>511.05501811594206</v>
      </c>
      <c r="F3" s="278">
        <f ca="1">Weather!CU35</f>
        <v>0</v>
      </c>
      <c r="G3" s="278">
        <f>'Monthly Data'!BF3</f>
        <v>753.85434782608695</v>
      </c>
      <c r="H3" s="278">
        <f>'Monthly Data'!BK3</f>
        <v>0</v>
      </c>
      <c r="I3" s="278"/>
      <c r="J3" s="18">
        <f>'Monthly Data'!DG3</f>
        <v>0</v>
      </c>
      <c r="K3" s="1">
        <f>'Monthly Data'!CC3</f>
        <v>2</v>
      </c>
      <c r="M3" s="18"/>
      <c r="N3" s="18">
        <f ca="1">(E3-G3)*'Res Predicted Monthly'!$T$10</f>
        <v>-8696207.8558150623</v>
      </c>
      <c r="O3" s="18">
        <f ca="1">(F3-H3)*'Res Predicted Monthly'!$T$11</f>
        <v>0</v>
      </c>
      <c r="P3" s="18"/>
      <c r="Q3" s="18"/>
      <c r="R3" s="268">
        <f t="shared" ca="1" si="2"/>
        <v>41606708.817692764</v>
      </c>
    </row>
    <row r="4" spans="1:18" x14ac:dyDescent="0.25">
      <c r="A4" s="3">
        <f>'Monthly Data'!A4</f>
        <v>42064</v>
      </c>
      <c r="B4" s="1">
        <f t="shared" si="0"/>
        <v>2015</v>
      </c>
      <c r="C4" s="1">
        <f t="shared" si="1"/>
        <v>3</v>
      </c>
      <c r="D4" s="268">
        <f>'Monthly Data'!F4</f>
        <v>41870929.863253012</v>
      </c>
      <c r="E4" s="278">
        <f ca="1">Weather!BR36</f>
        <v>422.13298913043479</v>
      </c>
      <c r="F4" s="278">
        <f ca="1">Weather!CU36</f>
        <v>0.51874999999999927</v>
      </c>
      <c r="G4" s="278">
        <f>'Monthly Data'!BF4</f>
        <v>513.79999999999995</v>
      </c>
      <c r="H4" s="278">
        <f>'Monthly Data'!BK4</f>
        <v>0</v>
      </c>
      <c r="I4" s="278"/>
      <c r="J4" s="18">
        <f>'Monthly Data'!DG4</f>
        <v>0</v>
      </c>
      <c r="K4" s="1">
        <f>'Monthly Data'!CC4</f>
        <v>3</v>
      </c>
      <c r="M4" s="18"/>
      <c r="N4" s="18">
        <f ca="1">(E4-G4)*'Res Predicted Monthly'!$T$10</f>
        <v>-3283186.082081221</v>
      </c>
      <c r="O4" s="18">
        <f ca="1">(F4-H4)*'Res Predicted Monthly'!$T$11</f>
        <v>30393.885715931818</v>
      </c>
      <c r="P4" s="18"/>
      <c r="Q4" s="18"/>
      <c r="R4" s="268">
        <f t="shared" ca="1" si="2"/>
        <v>38618137.666887723</v>
      </c>
    </row>
    <row r="5" spans="1:18" x14ac:dyDescent="0.25">
      <c r="A5" s="3">
        <f>'Monthly Data'!A5</f>
        <v>42095</v>
      </c>
      <c r="B5" s="1">
        <f t="shared" si="0"/>
        <v>2015</v>
      </c>
      <c r="C5" s="1">
        <f t="shared" si="1"/>
        <v>4</v>
      </c>
      <c r="D5" s="268">
        <f>'Monthly Data'!F5</f>
        <v>37098204.799471788</v>
      </c>
      <c r="E5" s="278">
        <f ca="1">Weather!BR37</f>
        <v>234.57024621212122</v>
      </c>
      <c r="F5" s="278">
        <f ca="1">Weather!CU37</f>
        <v>12.79125</v>
      </c>
      <c r="G5" s="278">
        <f>'Monthly Data'!BF5</f>
        <v>226.75037878787884</v>
      </c>
      <c r="H5" s="278">
        <f>'Monthly Data'!BK5</f>
        <v>9.8333333333333321</v>
      </c>
      <c r="I5" s="278"/>
      <c r="J5" s="18">
        <f>'Monthly Data'!DG5</f>
        <v>0</v>
      </c>
      <c r="K5" s="1">
        <f>'Monthly Data'!CC5</f>
        <v>4</v>
      </c>
      <c r="M5" s="18"/>
      <c r="N5" s="18">
        <f ca="1">(E5-G5)*'Res Predicted Monthly'!$T$10</f>
        <v>280079.81985498645</v>
      </c>
      <c r="O5" s="18">
        <f ca="1">(F5-H5)*'Res Predicted Monthly'!$T$11</f>
        <v>173306.18047983965</v>
      </c>
      <c r="P5" s="18"/>
      <c r="Q5" s="18"/>
      <c r="R5" s="268">
        <f t="shared" ca="1" si="2"/>
        <v>37551590.799806617</v>
      </c>
    </row>
    <row r="6" spans="1:18" x14ac:dyDescent="0.25">
      <c r="A6" s="3">
        <f>'Monthly Data'!A6</f>
        <v>42125</v>
      </c>
      <c r="B6" s="1">
        <f t="shared" si="0"/>
        <v>2015</v>
      </c>
      <c r="C6" s="1">
        <f t="shared" si="1"/>
        <v>5</v>
      </c>
      <c r="D6" s="268">
        <f>'Monthly Data'!F6</f>
        <v>31770390.553364351</v>
      </c>
      <c r="E6" s="278">
        <f ca="1">Weather!BR38</f>
        <v>64.294809115179262</v>
      </c>
      <c r="F6" s="278">
        <f ca="1">Weather!CU38</f>
        <v>130.22445928308915</v>
      </c>
      <c r="G6" s="278">
        <f>'Monthly Data'!BF6</f>
        <v>35.578442028985506</v>
      </c>
      <c r="H6" s="278">
        <f>'Monthly Data'!BK6</f>
        <v>155.69477225672881</v>
      </c>
      <c r="I6" s="278"/>
      <c r="J6" s="18">
        <f>'Monthly Data'!DG6</f>
        <v>0</v>
      </c>
      <c r="K6" s="1">
        <f>'Monthly Data'!CC6</f>
        <v>5</v>
      </c>
      <c r="M6" s="18"/>
      <c r="N6" s="18">
        <f ca="1">(E6-G6)*'Res Predicted Monthly'!$T$10</f>
        <v>1028518.0661064775</v>
      </c>
      <c r="O6" s="18">
        <f ca="1">(F6-H6)*'Res Predicted Monthly'!$T$11</f>
        <v>-1492321.5068333889</v>
      </c>
      <c r="P6" s="18"/>
      <c r="Q6" s="18"/>
      <c r="R6" s="268">
        <f t="shared" ca="1" si="2"/>
        <v>31306587.112637438</v>
      </c>
    </row>
    <row r="7" spans="1:18" x14ac:dyDescent="0.25">
      <c r="A7" s="3">
        <f>'Monthly Data'!A7</f>
        <v>42156</v>
      </c>
      <c r="B7" s="1">
        <f t="shared" si="0"/>
        <v>2015</v>
      </c>
      <c r="C7" s="1">
        <f t="shared" si="1"/>
        <v>6</v>
      </c>
      <c r="D7" s="268">
        <f>'Monthly Data'!F7</f>
        <v>34887825.889012918</v>
      </c>
      <c r="E7" s="278">
        <f ca="1">Weather!BR39</f>
        <v>3.2341666666666669</v>
      </c>
      <c r="F7" s="278">
        <f ca="1">Weather!CU39</f>
        <v>254.51826754405016</v>
      </c>
      <c r="G7" s="278">
        <f>'Monthly Data'!BF7</f>
        <v>5.9875000000000078</v>
      </c>
      <c r="H7" s="278">
        <f>'Monthly Data'!BK7</f>
        <v>209.61250000000001</v>
      </c>
      <c r="I7" s="278"/>
      <c r="J7" s="18">
        <f>'Monthly Data'!DG7</f>
        <v>0</v>
      </c>
      <c r="K7" s="1">
        <f>'Monthly Data'!CC7</f>
        <v>6</v>
      </c>
      <c r="M7" s="18"/>
      <c r="N7" s="18">
        <f ca="1">(E7-G7)*'Res Predicted Monthly'!$T$10</f>
        <v>-98614.600755260806</v>
      </c>
      <c r="O7" s="18">
        <f ca="1">(F7-H7)*'Res Predicted Monthly'!$T$11</f>
        <v>2631056.8997013252</v>
      </c>
      <c r="P7" s="18"/>
      <c r="Q7" s="18"/>
      <c r="R7" s="268">
        <f t="shared" ca="1" si="2"/>
        <v>37420268.187958986</v>
      </c>
    </row>
    <row r="8" spans="1:18" x14ac:dyDescent="0.25">
      <c r="A8" s="3">
        <f>'Monthly Data'!A8</f>
        <v>42186</v>
      </c>
      <c r="B8" s="1">
        <f t="shared" si="0"/>
        <v>2015</v>
      </c>
      <c r="C8" s="1">
        <f t="shared" si="1"/>
        <v>7</v>
      </c>
      <c r="D8" s="268">
        <f>'Monthly Data'!F8</f>
        <v>40842121.370275021</v>
      </c>
      <c r="E8" s="278">
        <f ca="1">Weather!BR40</f>
        <v>0</v>
      </c>
      <c r="F8" s="278">
        <f ca="1">Weather!CU40</f>
        <v>359.94737858727854</v>
      </c>
      <c r="G8" s="278">
        <f>'Monthly Data'!BF8</f>
        <v>0</v>
      </c>
      <c r="H8" s="278">
        <f>'Monthly Data'!BK8</f>
        <v>329.53750000000002</v>
      </c>
      <c r="I8" s="278"/>
      <c r="J8" s="18">
        <f>'Monthly Data'!DG8</f>
        <v>0</v>
      </c>
      <c r="K8" s="1">
        <f>'Monthly Data'!CC8</f>
        <v>7</v>
      </c>
      <c r="M8" s="18"/>
      <c r="N8" s="18">
        <f ca="1">(E8-G8)*'Res Predicted Monthly'!$T$10</f>
        <v>0</v>
      </c>
      <c r="O8" s="18">
        <f ca="1">(F8-H8)*'Res Predicted Monthly'!$T$11</f>
        <v>1781733.7338161089</v>
      </c>
      <c r="P8" s="18"/>
      <c r="Q8" s="18"/>
      <c r="R8" s="268">
        <f t="shared" ca="1" si="2"/>
        <v>42623855.10409113</v>
      </c>
    </row>
    <row r="9" spans="1:18" x14ac:dyDescent="0.25">
      <c r="A9" s="3">
        <f>'Monthly Data'!A9</f>
        <v>42217</v>
      </c>
      <c r="B9" s="1">
        <f t="shared" si="0"/>
        <v>2015</v>
      </c>
      <c r="C9" s="1">
        <f t="shared" si="1"/>
        <v>8</v>
      </c>
      <c r="D9" s="268">
        <f>'Monthly Data'!F9</f>
        <v>45385708.477988221</v>
      </c>
      <c r="E9" s="278">
        <f ca="1">Weather!BR41</f>
        <v>0</v>
      </c>
      <c r="F9" s="278">
        <f ca="1">Weather!CU41</f>
        <v>334.96558794466404</v>
      </c>
      <c r="G9" s="278">
        <f>'Monthly Data'!BF9</f>
        <v>0</v>
      </c>
      <c r="H9" s="278">
        <f>'Monthly Data'!BK9</f>
        <v>291.94166666666666</v>
      </c>
      <c r="I9" s="278"/>
      <c r="J9" s="18">
        <f>'Monthly Data'!DG9</f>
        <v>0</v>
      </c>
      <c r="K9" s="1">
        <f>'Monthly Data'!CC9</f>
        <v>8</v>
      </c>
      <c r="M9" s="18"/>
      <c r="N9" s="18">
        <f ca="1">(E9-G9)*'Res Predicted Monthly'!$T$10</f>
        <v>0</v>
      </c>
      <c r="O9" s="18">
        <f ca="1">(F9-H9)*'Res Predicted Monthly'!$T$11</f>
        <v>2520798.3544572555</v>
      </c>
      <c r="P9" s="18"/>
      <c r="Q9" s="18"/>
      <c r="R9" s="268">
        <f t="shared" ca="1" si="2"/>
        <v>47906506.832445472</v>
      </c>
    </row>
    <row r="10" spans="1:18" x14ac:dyDescent="0.25">
      <c r="A10" s="3">
        <f>'Monthly Data'!A10</f>
        <v>42248</v>
      </c>
      <c r="B10" s="1">
        <f t="shared" si="0"/>
        <v>2015</v>
      </c>
      <c r="C10" s="1">
        <f t="shared" si="1"/>
        <v>9</v>
      </c>
      <c r="D10" s="268">
        <f>'Monthly Data'!F10</f>
        <v>40632623.048269503</v>
      </c>
      <c r="E10" s="278">
        <f ca="1">Weather!BR42</f>
        <v>10.413369565217392</v>
      </c>
      <c r="F10" s="278">
        <f ca="1">Weather!CU42</f>
        <v>216.57430900621117</v>
      </c>
      <c r="G10" s="278">
        <f>'Monthly Data'!BF10</f>
        <v>6.0041666666666682</v>
      </c>
      <c r="H10" s="278">
        <f>'Monthly Data'!BK10</f>
        <v>248.92261904761907</v>
      </c>
      <c r="I10" s="278"/>
      <c r="J10" s="18">
        <f>'Monthly Data'!DG10</f>
        <v>0</v>
      </c>
      <c r="K10" s="1">
        <f>'Monthly Data'!CC10</f>
        <v>9</v>
      </c>
      <c r="M10" s="18"/>
      <c r="N10" s="18">
        <f ca="1">(E10-G10)*'Res Predicted Monthly'!$T$10</f>
        <v>157921.9552625365</v>
      </c>
      <c r="O10" s="18">
        <f ca="1">(F10-H10)*'Res Predicted Monthly'!$T$11</f>
        <v>-1895307.6404859426</v>
      </c>
      <c r="P10" s="18"/>
      <c r="Q10" s="18"/>
      <c r="R10" s="268">
        <f t="shared" ca="1" si="2"/>
        <v>38895237.363046095</v>
      </c>
    </row>
    <row r="11" spans="1:18" x14ac:dyDescent="0.25">
      <c r="A11" s="3">
        <f>'Monthly Data'!A11</f>
        <v>42278</v>
      </c>
      <c r="B11" s="1">
        <f t="shared" si="0"/>
        <v>2015</v>
      </c>
      <c r="C11" s="1">
        <f t="shared" si="1"/>
        <v>10</v>
      </c>
      <c r="D11" s="268">
        <f>'Monthly Data'!F11</f>
        <v>32633098.840061631</v>
      </c>
      <c r="E11" s="278">
        <f ca="1">Weather!BR43</f>
        <v>130.19639492753623</v>
      </c>
      <c r="F11" s="278">
        <f ca="1">Weather!CU43</f>
        <v>62.266666666666673</v>
      </c>
      <c r="G11" s="278">
        <f>'Monthly Data'!BF11</f>
        <v>157.34583333333333</v>
      </c>
      <c r="H11" s="278">
        <f>'Monthly Data'!BK11</f>
        <v>32.275000000000006</v>
      </c>
      <c r="I11" s="278"/>
      <c r="J11" s="18">
        <f>'Monthly Data'!DG11</f>
        <v>0</v>
      </c>
      <c r="K11" s="1">
        <f>'Monthly Data'!CC11</f>
        <v>10</v>
      </c>
      <c r="M11" s="18"/>
      <c r="N11" s="18">
        <f ca="1">(E11-G11)*'Res Predicted Monthly'!$T$10</f>
        <v>-972396.25754862628</v>
      </c>
      <c r="O11" s="18">
        <f ca="1">(F11-H11)*'Res Predicted Monthly'!$T$11</f>
        <v>1757230.4368134742</v>
      </c>
      <c r="P11" s="18"/>
      <c r="Q11" s="18"/>
      <c r="R11" s="268">
        <f t="shared" ca="1" si="2"/>
        <v>33417933.019326478</v>
      </c>
    </row>
    <row r="12" spans="1:18" x14ac:dyDescent="0.25">
      <c r="A12" s="3">
        <f>'Monthly Data'!A12</f>
        <v>42309</v>
      </c>
      <c r="B12" s="1">
        <f t="shared" si="0"/>
        <v>2015</v>
      </c>
      <c r="C12" s="1">
        <f t="shared" si="1"/>
        <v>11</v>
      </c>
      <c r="D12" s="268">
        <f>'Monthly Data'!F12</f>
        <v>36028748.529270537</v>
      </c>
      <c r="E12" s="278">
        <f ca="1">Weather!BR44</f>
        <v>307.43824722379077</v>
      </c>
      <c r="F12" s="278">
        <f ca="1">Weather!CU44</f>
        <v>5.6391666666666662</v>
      </c>
      <c r="G12" s="278">
        <f>'Monthly Data'!BF12</f>
        <v>252.04166666666663</v>
      </c>
      <c r="H12" s="278">
        <f>'Monthly Data'!BK12</f>
        <v>11.908333333333333</v>
      </c>
      <c r="I12" s="278"/>
      <c r="J12" s="18">
        <f>'Monthly Data'!DG12</f>
        <v>0</v>
      </c>
      <c r="K12" s="1">
        <f>'Monthly Data'!CC12</f>
        <v>11</v>
      </c>
      <c r="M12" s="18"/>
      <c r="N12" s="18">
        <f ca="1">(E12-G12)*'Res Predicted Monthly'!$T$10</f>
        <v>1984108.3564821156</v>
      </c>
      <c r="O12" s="18">
        <f ca="1">(F12-H12)*'Res Predicted Monthly'!$T$11</f>
        <v>-367314.38110996853</v>
      </c>
      <c r="P12" s="18"/>
      <c r="Q12" s="18"/>
      <c r="R12" s="268">
        <f t="shared" ca="1" si="2"/>
        <v>37645542.504642688</v>
      </c>
    </row>
    <row r="13" spans="1:18" x14ac:dyDescent="0.25">
      <c r="A13" s="3">
        <f>'Monthly Data'!A13</f>
        <v>42339</v>
      </c>
      <c r="B13" s="1">
        <f t="shared" si="0"/>
        <v>2015</v>
      </c>
      <c r="C13" s="1">
        <f t="shared" si="1"/>
        <v>12</v>
      </c>
      <c r="D13" s="268">
        <f>'Monthly Data'!F13</f>
        <v>40106687.746603891</v>
      </c>
      <c r="E13" s="278">
        <f ca="1">Weather!BR45</f>
        <v>453.92800724637681</v>
      </c>
      <c r="F13" s="278">
        <f ca="1">Weather!CU45</f>
        <v>0.12791666666666668</v>
      </c>
      <c r="G13" s="278">
        <f>'Monthly Data'!BF13</f>
        <v>313.62590579710144</v>
      </c>
      <c r="H13" s="278">
        <f>'Monthly Data'!BK13</f>
        <v>0.86666666666666714</v>
      </c>
      <c r="I13" s="278"/>
      <c r="J13" s="18">
        <f>'Monthly Data'!DG13</f>
        <v>0</v>
      </c>
      <c r="K13" s="1">
        <f>'Monthly Data'!CC13</f>
        <v>12</v>
      </c>
      <c r="M13" s="18"/>
      <c r="N13" s="18">
        <f ca="1">(E13-G13)*'Res Predicted Monthly'!$T$10</f>
        <v>5025121.9320378993</v>
      </c>
      <c r="O13" s="18">
        <f ca="1">(F13-H13)*'Res Predicted Monthly'!$T$11</f>
        <v>-43283.822790640341</v>
      </c>
      <c r="P13" s="18"/>
      <c r="Q13" s="18"/>
      <c r="R13" s="268">
        <f t="shared" ca="1" si="2"/>
        <v>45088525.855851151</v>
      </c>
    </row>
    <row r="14" spans="1:18" x14ac:dyDescent="0.25">
      <c r="A14" s="3">
        <f>'Monthly Data'!A14</f>
        <v>42370</v>
      </c>
      <c r="B14" s="1">
        <f t="shared" si="0"/>
        <v>2016</v>
      </c>
      <c r="C14" s="1">
        <f t="shared" si="1"/>
        <v>1</v>
      </c>
      <c r="D14" s="268">
        <f>'Monthly Data'!F14</f>
        <v>44838756.596333042</v>
      </c>
      <c r="E14" s="278">
        <f t="shared" ref="E14:F33" ca="1" si="3">E2</f>
        <v>573.33418478260865</v>
      </c>
      <c r="F14" s="278">
        <f t="shared" ca="1" si="3"/>
        <v>0</v>
      </c>
      <c r="G14" s="278">
        <f>'Monthly Data'!BF14</f>
        <v>551.87916666666672</v>
      </c>
      <c r="H14" s="278">
        <f>'Monthly Data'!BK14</f>
        <v>0</v>
      </c>
      <c r="I14" s="278"/>
      <c r="J14" s="18">
        <f>'Monthly Data'!DG14</f>
        <v>0</v>
      </c>
      <c r="K14" s="1">
        <f>'Monthly Data'!CC14</f>
        <v>13</v>
      </c>
      <c r="M14" s="18"/>
      <c r="N14" s="18">
        <f ca="1">(E14-G14)*'Res Predicted Monthly'!$T$10</f>
        <v>768442.38947959861</v>
      </c>
      <c r="O14" s="18">
        <f ca="1">(F14-H14)*'Res Predicted Monthly'!$T$11</f>
        <v>0</v>
      </c>
      <c r="P14" s="18"/>
      <c r="Q14" s="18"/>
      <c r="R14" s="268">
        <f t="shared" ca="1" si="2"/>
        <v>45607198.985812642</v>
      </c>
    </row>
    <row r="15" spans="1:18" x14ac:dyDescent="0.25">
      <c r="A15" s="3">
        <f>'Monthly Data'!A15</f>
        <v>42401</v>
      </c>
      <c r="B15" s="1">
        <f t="shared" si="0"/>
        <v>2016</v>
      </c>
      <c r="C15" s="1">
        <f t="shared" si="1"/>
        <v>2</v>
      </c>
      <c r="D15" s="268">
        <f>'Monthly Data'!F15</f>
        <v>44227635.344579577</v>
      </c>
      <c r="E15" s="278">
        <f t="shared" ca="1" si="3"/>
        <v>511.05501811594206</v>
      </c>
      <c r="F15" s="278">
        <f t="shared" ca="1" si="3"/>
        <v>0</v>
      </c>
      <c r="G15" s="278">
        <f>'Monthly Data'!BF15</f>
        <v>487.70833333333337</v>
      </c>
      <c r="H15" s="278">
        <f>'Monthly Data'!BK15</f>
        <v>0</v>
      </c>
      <c r="I15" s="278"/>
      <c r="J15" s="18">
        <f>'Monthly Data'!DG15</f>
        <v>0</v>
      </c>
      <c r="K15" s="1">
        <f>'Monthly Data'!CC15</f>
        <v>14</v>
      </c>
      <c r="M15" s="18"/>
      <c r="N15" s="18">
        <f ca="1">(E15-G15)*'Res Predicted Monthly'!$T$10</f>
        <v>836195.15694765339</v>
      </c>
      <c r="O15" s="18">
        <f ca="1">(F15-H15)*'Res Predicted Monthly'!$T$11</f>
        <v>0</v>
      </c>
      <c r="P15" s="18"/>
      <c r="Q15" s="18"/>
      <c r="R15" s="268">
        <f t="shared" ca="1" si="2"/>
        <v>45063830.501527227</v>
      </c>
    </row>
    <row r="16" spans="1:18" x14ac:dyDescent="0.25">
      <c r="A16" s="3">
        <f>'Monthly Data'!A16</f>
        <v>42430</v>
      </c>
      <c r="B16" s="1">
        <f t="shared" si="0"/>
        <v>2016</v>
      </c>
      <c r="C16" s="1">
        <f t="shared" si="1"/>
        <v>3</v>
      </c>
      <c r="D16" s="268">
        <f>'Monthly Data'!F16</f>
        <v>38332383.641313039</v>
      </c>
      <c r="E16" s="278">
        <f t="shared" ca="1" si="3"/>
        <v>422.13298913043479</v>
      </c>
      <c r="F16" s="278">
        <f t="shared" ca="1" si="3"/>
        <v>0.51874999999999927</v>
      </c>
      <c r="G16" s="278">
        <f>'Monthly Data'!BF16</f>
        <v>391.07934782608697</v>
      </c>
      <c r="H16" s="278">
        <f>'Monthly Data'!BK16</f>
        <v>0</v>
      </c>
      <c r="I16" s="278"/>
      <c r="J16" s="18">
        <f>'Monthly Data'!DG16</f>
        <v>0</v>
      </c>
      <c r="K16" s="1">
        <f>'Monthly Data'!CC16</f>
        <v>15</v>
      </c>
      <c r="M16" s="18"/>
      <c r="N16" s="18">
        <f ca="1">(E16-G16)*'Res Predicted Monthly'!$T$10</f>
        <v>1112230.9101302645</v>
      </c>
      <c r="O16" s="18">
        <f ca="1">(F16-H16)*'Res Predicted Monthly'!$T$11</f>
        <v>30393.885715931818</v>
      </c>
      <c r="P16" s="18"/>
      <c r="Q16" s="18"/>
      <c r="R16" s="268">
        <f t="shared" ca="1" si="2"/>
        <v>39475008.437159233</v>
      </c>
    </row>
    <row r="17" spans="1:18" x14ac:dyDescent="0.25">
      <c r="A17" s="3">
        <f>'Monthly Data'!A17</f>
        <v>42461</v>
      </c>
      <c r="B17" s="1">
        <f t="shared" si="0"/>
        <v>2016</v>
      </c>
      <c r="C17" s="1">
        <f t="shared" si="1"/>
        <v>4</v>
      </c>
      <c r="D17" s="268">
        <f>'Monthly Data'!F17</f>
        <v>36524120.843347013</v>
      </c>
      <c r="E17" s="278">
        <f t="shared" ca="1" si="3"/>
        <v>234.57024621212122</v>
      </c>
      <c r="F17" s="278">
        <f t="shared" ca="1" si="3"/>
        <v>12.79125</v>
      </c>
      <c r="G17" s="278">
        <f>'Monthly Data'!BF17</f>
        <v>286.81666666666661</v>
      </c>
      <c r="H17" s="278">
        <f>'Monthly Data'!BK17</f>
        <v>9.3541666666666732</v>
      </c>
      <c r="I17" s="278"/>
      <c r="J17" s="18">
        <f>'Monthly Data'!DG17</f>
        <v>0</v>
      </c>
      <c r="K17" s="1">
        <f>'Monthly Data'!CC17</f>
        <v>16</v>
      </c>
      <c r="M17" s="18"/>
      <c r="N17" s="18">
        <f ca="1">(E17-G17)*'Res Predicted Monthly'!$T$10</f>
        <v>-1871280.8331778948</v>
      </c>
      <c r="O17" s="18">
        <f ca="1">(F17-H17)*'Res Predicted Monthly'!$T$11</f>
        <v>201380.85403270798</v>
      </c>
      <c r="P17" s="18"/>
      <c r="Q17" s="18"/>
      <c r="R17" s="268">
        <f t="shared" ca="1" si="2"/>
        <v>34854220.864201829</v>
      </c>
    </row>
    <row r="18" spans="1:18" x14ac:dyDescent="0.25">
      <c r="A18" s="3">
        <f>'Monthly Data'!A18</f>
        <v>42491</v>
      </c>
      <c r="B18" s="1">
        <f t="shared" si="0"/>
        <v>2016</v>
      </c>
      <c r="C18" s="1">
        <f t="shared" si="1"/>
        <v>5</v>
      </c>
      <c r="D18" s="268">
        <f>'Monthly Data'!F18</f>
        <v>31953380.148771688</v>
      </c>
      <c r="E18" s="278">
        <f t="shared" ca="1" si="3"/>
        <v>64.294809115179262</v>
      </c>
      <c r="F18" s="278">
        <f t="shared" ca="1" si="3"/>
        <v>130.22445928308915</v>
      </c>
      <c r="G18" s="278">
        <f>'Monthly Data'!BF18</f>
        <v>75.344444444444463</v>
      </c>
      <c r="H18" s="278">
        <f>'Monthly Data'!BK18</f>
        <v>134.0888888888889</v>
      </c>
      <c r="I18" s="278"/>
      <c r="J18" s="18">
        <f>'Monthly Data'!DG18</f>
        <v>0</v>
      </c>
      <c r="K18" s="1">
        <f>'Monthly Data'!CC18</f>
        <v>17</v>
      </c>
      <c r="M18" s="18"/>
      <c r="N18" s="18">
        <f ca="1">(E18-G18)*'Res Predicted Monthly'!$T$10</f>
        <v>-395758.61131478549</v>
      </c>
      <c r="O18" s="18">
        <f ca="1">(F18-H18)*'Res Predicted Monthly'!$T$11</f>
        <v>-226419.33840181478</v>
      </c>
      <c r="P18" s="18"/>
      <c r="Q18" s="18"/>
      <c r="R18" s="268">
        <f t="shared" ca="1" si="2"/>
        <v>31331202.199055091</v>
      </c>
    </row>
    <row r="19" spans="1:18" x14ac:dyDescent="0.25">
      <c r="A19" s="3">
        <f>'Monthly Data'!A19</f>
        <v>42522</v>
      </c>
      <c r="B19" s="1">
        <f t="shared" si="0"/>
        <v>2016</v>
      </c>
      <c r="C19" s="1">
        <f t="shared" si="1"/>
        <v>6</v>
      </c>
      <c r="D19" s="268">
        <f>'Monthly Data'!F19</f>
        <v>38776341.079345882</v>
      </c>
      <c r="E19" s="278">
        <f t="shared" ca="1" si="3"/>
        <v>3.2341666666666669</v>
      </c>
      <c r="F19" s="278">
        <f t="shared" ca="1" si="3"/>
        <v>254.51826754405016</v>
      </c>
      <c r="G19" s="278">
        <f>'Monthly Data'!BF19</f>
        <v>3.9749999999999996</v>
      </c>
      <c r="H19" s="278">
        <f>'Monthly Data'!BK19</f>
        <v>263.20416666666671</v>
      </c>
      <c r="I19" s="278"/>
      <c r="J19" s="18">
        <f>'Monthly Data'!DG19</f>
        <v>0</v>
      </c>
      <c r="K19" s="1">
        <f>'Monthly Data'!CC19</f>
        <v>18</v>
      </c>
      <c r="M19" s="18"/>
      <c r="N19" s="18">
        <f ca="1">(E19-G19)*'Res Predicted Monthly'!$T$10</f>
        <v>-26534.013338809487</v>
      </c>
      <c r="O19" s="18">
        <f ca="1">(F19-H19)*'Res Predicted Monthly'!$T$11</f>
        <v>-508912.24148996657</v>
      </c>
      <c r="P19" s="18"/>
      <c r="Q19" s="18"/>
      <c r="R19" s="268">
        <f t="shared" ca="1" si="2"/>
        <v>38240894.824517101</v>
      </c>
    </row>
    <row r="20" spans="1:18" x14ac:dyDescent="0.25">
      <c r="A20" s="3">
        <f>'Monthly Data'!A20</f>
        <v>42552</v>
      </c>
      <c r="B20" s="1">
        <f t="shared" si="0"/>
        <v>2016</v>
      </c>
      <c r="C20" s="1">
        <f t="shared" si="1"/>
        <v>7</v>
      </c>
      <c r="D20" s="268">
        <f>'Monthly Data'!F20</f>
        <v>47218565.56540361</v>
      </c>
      <c r="E20" s="278">
        <f t="shared" ca="1" si="3"/>
        <v>0</v>
      </c>
      <c r="F20" s="278">
        <f t="shared" ca="1" si="3"/>
        <v>359.94737858727854</v>
      </c>
      <c r="G20" s="278">
        <f>'Monthly Data'!BF20</f>
        <v>0</v>
      </c>
      <c r="H20" s="278">
        <f>'Monthly Data'!BK20</f>
        <v>375.22916666666669</v>
      </c>
      <c r="I20" s="278"/>
      <c r="J20" s="18">
        <f>'Monthly Data'!DG20</f>
        <v>0</v>
      </c>
      <c r="K20" s="1">
        <f>'Monthly Data'!CC20</f>
        <v>19</v>
      </c>
      <c r="M20" s="18"/>
      <c r="N20" s="18">
        <f ca="1">(E20-G20)*'Res Predicted Monthly'!$T$10</f>
        <v>0</v>
      </c>
      <c r="O20" s="18">
        <f ca="1">(F20-H20)*'Res Predicted Monthly'!$T$11</f>
        <v>-895369.48514701356</v>
      </c>
      <c r="P20" s="18"/>
      <c r="Q20" s="18"/>
      <c r="R20" s="268">
        <f t="shared" ca="1" si="2"/>
        <v>46323196.080256596</v>
      </c>
    </row>
    <row r="21" spans="1:18" x14ac:dyDescent="0.25">
      <c r="A21" s="3">
        <f>'Monthly Data'!A21</f>
        <v>42583</v>
      </c>
      <c r="B21" s="1">
        <f t="shared" si="0"/>
        <v>2016</v>
      </c>
      <c r="C21" s="1">
        <f t="shared" si="1"/>
        <v>8</v>
      </c>
      <c r="D21" s="268">
        <f>'Monthly Data'!F21</f>
        <v>52195914.613973007</v>
      </c>
      <c r="E21" s="278">
        <f t="shared" ca="1" si="3"/>
        <v>0</v>
      </c>
      <c r="F21" s="278">
        <f t="shared" ca="1" si="3"/>
        <v>334.96558794466404</v>
      </c>
      <c r="G21" s="278">
        <f>'Monthly Data'!BF21</f>
        <v>0</v>
      </c>
      <c r="H21" s="278">
        <f>'Monthly Data'!BK21</f>
        <v>390.02499999999998</v>
      </c>
      <c r="I21" s="278"/>
      <c r="J21" s="18">
        <f>'Monthly Data'!DG21</f>
        <v>0</v>
      </c>
      <c r="K21" s="1">
        <f>'Monthly Data'!CC21</f>
        <v>20</v>
      </c>
      <c r="M21" s="18"/>
      <c r="N21" s="18">
        <f ca="1">(E21-G21)*'Res Predicted Monthly'!$T$10</f>
        <v>0</v>
      </c>
      <c r="O21" s="18">
        <f ca="1">(F21-H21)*'Res Predicted Monthly'!$T$11</f>
        <v>-3225965.2580169281</v>
      </c>
      <c r="P21" s="18"/>
      <c r="Q21" s="18"/>
      <c r="R21" s="268">
        <f t="shared" ca="1" si="2"/>
        <v>48969949.355956078</v>
      </c>
    </row>
    <row r="22" spans="1:18" x14ac:dyDescent="0.25">
      <c r="A22" s="3">
        <f>'Monthly Data'!A22</f>
        <v>42614</v>
      </c>
      <c r="B22" s="1">
        <f t="shared" si="0"/>
        <v>2016</v>
      </c>
      <c r="C22" s="1">
        <f t="shared" si="1"/>
        <v>9</v>
      </c>
      <c r="D22" s="268">
        <f>'Monthly Data'!F22</f>
        <v>42103147.773135491</v>
      </c>
      <c r="E22" s="278">
        <f t="shared" ca="1" si="3"/>
        <v>10.413369565217392</v>
      </c>
      <c r="F22" s="278">
        <f t="shared" ca="1" si="3"/>
        <v>216.57430900621117</v>
      </c>
      <c r="G22" s="278">
        <f>'Monthly Data'!BF22</f>
        <v>4.9124999999999979</v>
      </c>
      <c r="H22" s="278">
        <f>'Monthly Data'!BK22</f>
        <v>235.7416666666667</v>
      </c>
      <c r="I22" s="278"/>
      <c r="J22" s="18">
        <f>'Monthly Data'!DG22</f>
        <v>0</v>
      </c>
      <c r="K22" s="1">
        <f>'Monthly Data'!CC22</f>
        <v>21</v>
      </c>
      <c r="M22" s="18"/>
      <c r="N22" s="18">
        <f ca="1">(E22-G22)*'Res Predicted Monthly'!$T$10</f>
        <v>197021.56996876886</v>
      </c>
      <c r="O22" s="18">
        <f ca="1">(F22-H22)*'Res Predicted Monthly'!$T$11</f>
        <v>-1123027.4278713767</v>
      </c>
      <c r="P22" s="18"/>
      <c r="Q22" s="18"/>
      <c r="R22" s="268">
        <f t="shared" ca="1" si="2"/>
        <v>41177141.915232882</v>
      </c>
    </row>
    <row r="23" spans="1:18" x14ac:dyDescent="0.25">
      <c r="A23" s="3">
        <f>'Monthly Data'!A23</f>
        <v>42644</v>
      </c>
      <c r="B23" s="1">
        <f t="shared" si="0"/>
        <v>2016</v>
      </c>
      <c r="C23" s="1">
        <f t="shared" si="1"/>
        <v>10</v>
      </c>
      <c r="D23" s="268">
        <f>'Monthly Data'!F23</f>
        <v>31899084.21183715</v>
      </c>
      <c r="E23" s="278">
        <f t="shared" ca="1" si="3"/>
        <v>130.19639492753623</v>
      </c>
      <c r="F23" s="278">
        <f t="shared" ca="1" si="3"/>
        <v>62.266666666666673</v>
      </c>
      <c r="G23" s="278">
        <f>'Monthly Data'!BF23</f>
        <v>121.96666666666667</v>
      </c>
      <c r="H23" s="278">
        <f>'Monthly Data'!BK23</f>
        <v>85.800000000000011</v>
      </c>
      <c r="I23" s="278"/>
      <c r="J23" s="18">
        <f>'Monthly Data'!DG23</f>
        <v>0</v>
      </c>
      <c r="K23" s="1">
        <f>'Monthly Data'!CC23</f>
        <v>22</v>
      </c>
      <c r="M23" s="18"/>
      <c r="N23" s="18">
        <f ca="1">(E23-G23)*'Res Predicted Monthly'!$T$10</f>
        <v>294759.57630869368</v>
      </c>
      <c r="O23" s="18">
        <f ca="1">(F23-H23)*'Res Predicted Monthly'!$T$11</f>
        <v>-1378832.6628400255</v>
      </c>
      <c r="P23" s="18"/>
      <c r="Q23" s="18"/>
      <c r="R23" s="268">
        <f t="shared" ca="1" si="2"/>
        <v>30815011.125305817</v>
      </c>
    </row>
    <row r="24" spans="1:18" x14ac:dyDescent="0.25">
      <c r="A24" s="3">
        <f>'Monthly Data'!A24</f>
        <v>42675</v>
      </c>
      <c r="B24" s="1">
        <f t="shared" si="0"/>
        <v>2016</v>
      </c>
      <c r="C24" s="1">
        <f t="shared" si="1"/>
        <v>11</v>
      </c>
      <c r="D24" s="268">
        <f>'Monthly Data'!F24</f>
        <v>35135197.641628094</v>
      </c>
      <c r="E24" s="278">
        <f t="shared" ca="1" si="3"/>
        <v>307.43824722379077</v>
      </c>
      <c r="F24" s="278">
        <f t="shared" ca="1" si="3"/>
        <v>5.6391666666666662</v>
      </c>
      <c r="G24" s="278">
        <f>'Monthly Data'!BF24</f>
        <v>257.33511904761906</v>
      </c>
      <c r="H24" s="278">
        <f>'Monthly Data'!BK24</f>
        <v>3.6666666666666679</v>
      </c>
      <c r="I24" s="278"/>
      <c r="J24" s="18">
        <f>'Monthly Data'!DG24</f>
        <v>0</v>
      </c>
      <c r="K24" s="1">
        <f>'Monthly Data'!CC24</f>
        <v>23</v>
      </c>
      <c r="M24" s="18"/>
      <c r="N24" s="18">
        <f ca="1">(E24-G24)*'Res Predicted Monthly'!$T$10</f>
        <v>1794515.7318460597</v>
      </c>
      <c r="O24" s="18">
        <f ca="1">(F24-H24)*'Res Predicted Monthly'!$T$11</f>
        <v>115570.00399937454</v>
      </c>
      <c r="P24" s="18"/>
      <c r="Q24" s="18"/>
      <c r="R24" s="268">
        <f t="shared" ca="1" si="2"/>
        <v>37045283.377473526</v>
      </c>
    </row>
    <row r="25" spans="1:18" x14ac:dyDescent="0.25">
      <c r="A25" s="3">
        <f>'Monthly Data'!A25</f>
        <v>42705</v>
      </c>
      <c r="B25" s="1">
        <f t="shared" si="0"/>
        <v>2016</v>
      </c>
      <c r="C25" s="1">
        <f t="shared" si="1"/>
        <v>12</v>
      </c>
      <c r="D25" s="268">
        <f>'Monthly Data'!F25</f>
        <v>42452801.040332444</v>
      </c>
      <c r="E25" s="278">
        <f t="shared" ca="1" si="3"/>
        <v>453.92800724637681</v>
      </c>
      <c r="F25" s="278">
        <f t="shared" ca="1" si="3"/>
        <v>0.12791666666666668</v>
      </c>
      <c r="G25" s="278">
        <f>'Monthly Data'!BF25</f>
        <v>492.67083333333335</v>
      </c>
      <c r="H25" s="278">
        <f>'Monthly Data'!BK25</f>
        <v>0</v>
      </c>
      <c r="I25" s="278"/>
      <c r="J25" s="18">
        <f>'Monthly Data'!DG25</f>
        <v>0</v>
      </c>
      <c r="K25" s="1">
        <f>'Monthly Data'!CC25</f>
        <v>24</v>
      </c>
      <c r="M25" s="18"/>
      <c r="N25" s="18">
        <f ca="1">(E25-G25)*'Res Predicted Monthly'!$T$10</f>
        <v>-1387630.1428676918</v>
      </c>
      <c r="O25" s="18">
        <f ca="1">(F25-H25)*'Res Predicted Monthly'!$T$11</f>
        <v>7494.7172006354076</v>
      </c>
      <c r="P25" s="18"/>
      <c r="Q25" s="18"/>
      <c r="R25" s="268">
        <f t="shared" ca="1" si="2"/>
        <v>41072665.614665389</v>
      </c>
    </row>
    <row r="26" spans="1:18" x14ac:dyDescent="0.25">
      <c r="A26" s="3">
        <f>'Monthly Data'!A26</f>
        <v>42736</v>
      </c>
      <c r="B26" s="1">
        <f t="shared" si="0"/>
        <v>2017</v>
      </c>
      <c r="C26" s="1">
        <f t="shared" si="1"/>
        <v>1</v>
      </c>
      <c r="D26" s="268">
        <f>'Monthly Data'!F26</f>
        <v>46444289.199650407</v>
      </c>
      <c r="E26" s="278">
        <f t="shared" ca="1" si="3"/>
        <v>573.33418478260865</v>
      </c>
      <c r="F26" s="278">
        <f t="shared" ca="1" si="3"/>
        <v>0</v>
      </c>
      <c r="G26" s="278">
        <f>'Monthly Data'!BF26</f>
        <v>496.21666666666664</v>
      </c>
      <c r="H26" s="278">
        <f>'Monthly Data'!BK26</f>
        <v>0</v>
      </c>
      <c r="I26" s="278"/>
      <c r="J26" s="18">
        <f>'Monthly Data'!DG26</f>
        <v>0</v>
      </c>
      <c r="K26" s="1">
        <f>'Monthly Data'!CC26</f>
        <v>25</v>
      </c>
      <c r="M26" s="18"/>
      <c r="N26" s="18">
        <f ca="1">(E26-G26)*'Res Predicted Monthly'!$T$10</f>
        <v>2762075.0339855417</v>
      </c>
      <c r="O26" s="18">
        <f ca="1">(F26-H26)*'Res Predicted Monthly'!$T$11</f>
        <v>0</v>
      </c>
      <c r="P26" s="18"/>
      <c r="Q26" s="18"/>
      <c r="R26" s="268">
        <f t="shared" ca="1" si="2"/>
        <v>49206364.233635947</v>
      </c>
    </row>
    <row r="27" spans="1:18" x14ac:dyDescent="0.25">
      <c r="A27" s="3">
        <f>'Monthly Data'!A27</f>
        <v>42767</v>
      </c>
      <c r="B27" s="1">
        <f t="shared" si="0"/>
        <v>2017</v>
      </c>
      <c r="C27" s="1">
        <f t="shared" si="1"/>
        <v>2</v>
      </c>
      <c r="D27" s="268">
        <f>'Monthly Data'!F27</f>
        <v>42786099.90316622</v>
      </c>
      <c r="E27" s="278">
        <f t="shared" ca="1" si="3"/>
        <v>511.05501811594206</v>
      </c>
      <c r="F27" s="278">
        <f t="shared" ca="1" si="3"/>
        <v>0</v>
      </c>
      <c r="G27" s="278">
        <f>'Monthly Data'!BF27</f>
        <v>418.08333333333331</v>
      </c>
      <c r="H27" s="278">
        <f>'Monthly Data'!BK27</f>
        <v>0</v>
      </c>
      <c r="I27" s="278"/>
      <c r="J27" s="18">
        <f>'Monthly Data'!DG27</f>
        <v>0</v>
      </c>
      <c r="K27" s="1">
        <f>'Monthly Data'!CC27</f>
        <v>26</v>
      </c>
      <c r="M27" s="18"/>
      <c r="N27" s="18">
        <f ca="1">(E27-G27)*'Res Predicted Monthly'!$T$10</f>
        <v>3329914.8582497188</v>
      </c>
      <c r="O27" s="18">
        <f ca="1">(F27-H27)*'Res Predicted Monthly'!$T$11</f>
        <v>0</v>
      </c>
      <c r="P27" s="18"/>
      <c r="Q27" s="18"/>
      <c r="R27" s="268">
        <f t="shared" ca="1" si="2"/>
        <v>46116014.761415936</v>
      </c>
    </row>
    <row r="28" spans="1:18" x14ac:dyDescent="0.25">
      <c r="A28" s="3">
        <f>'Monthly Data'!A28</f>
        <v>42795</v>
      </c>
      <c r="B28" s="1">
        <f t="shared" si="0"/>
        <v>2017</v>
      </c>
      <c r="C28" s="1">
        <f t="shared" si="1"/>
        <v>3</v>
      </c>
      <c r="D28" s="268">
        <f>'Monthly Data'!F28</f>
        <v>40837973.445211791</v>
      </c>
      <c r="E28" s="278">
        <f t="shared" ca="1" si="3"/>
        <v>422.13298913043479</v>
      </c>
      <c r="F28" s="278">
        <f t="shared" ca="1" si="3"/>
        <v>0.51874999999999927</v>
      </c>
      <c r="G28" s="278">
        <f>'Monthly Data'!BF28</f>
        <v>475.67916666666662</v>
      </c>
      <c r="H28" s="278">
        <f>'Monthly Data'!BK28</f>
        <v>0</v>
      </c>
      <c r="I28" s="278"/>
      <c r="J28" s="18">
        <f>'Monthly Data'!DG28</f>
        <v>0</v>
      </c>
      <c r="K28" s="1">
        <f>'Monthly Data'!CC28</f>
        <v>27</v>
      </c>
      <c r="M28" s="18"/>
      <c r="N28" s="18">
        <f ca="1">(E28-G28)*'Res Predicted Monthly'!$T$10</f>
        <v>-1917833.5059464169</v>
      </c>
      <c r="O28" s="18">
        <f ca="1">(F28-H28)*'Res Predicted Monthly'!$T$11</f>
        <v>30393.885715931818</v>
      </c>
      <c r="P28" s="18"/>
      <c r="Q28" s="18"/>
      <c r="R28" s="268">
        <f t="shared" ca="1" si="2"/>
        <v>38950533.824981302</v>
      </c>
    </row>
    <row r="29" spans="1:18" x14ac:dyDescent="0.25">
      <c r="A29" s="3">
        <f>'Monthly Data'!A29</f>
        <v>42826</v>
      </c>
      <c r="B29" s="1">
        <f t="shared" si="0"/>
        <v>2017</v>
      </c>
      <c r="C29" s="1">
        <f t="shared" si="1"/>
        <v>4</v>
      </c>
      <c r="D29" s="268">
        <f>'Monthly Data'!F29</f>
        <v>36940740.360373333</v>
      </c>
      <c r="E29" s="278">
        <f t="shared" ca="1" si="3"/>
        <v>234.57024621212122</v>
      </c>
      <c r="F29" s="278">
        <f t="shared" ca="1" si="3"/>
        <v>12.79125</v>
      </c>
      <c r="G29" s="278">
        <f>'Monthly Data'!BF29</f>
        <v>174.03750000000005</v>
      </c>
      <c r="H29" s="278">
        <f>'Monthly Data'!BK29</f>
        <v>24.758333333333333</v>
      </c>
      <c r="I29" s="278"/>
      <c r="J29" s="18">
        <f>'Monthly Data'!DG29</f>
        <v>0</v>
      </c>
      <c r="K29" s="1">
        <f>'Monthly Data'!CC29</f>
        <v>28</v>
      </c>
      <c r="M29" s="18"/>
      <c r="N29" s="18">
        <f ca="1">(E29-G29)*'Res Predicted Monthly'!$T$10</f>
        <v>2168067.5303854132</v>
      </c>
      <c r="O29" s="18">
        <f ca="1">(F29-H29)*'Res Predicted Monthly'!$T$11</f>
        <v>-701158.86879299511</v>
      </c>
      <c r="P29" s="18"/>
      <c r="Q29" s="18"/>
      <c r="R29" s="268">
        <f t="shared" ca="1" si="2"/>
        <v>38407649.02196575</v>
      </c>
    </row>
    <row r="30" spans="1:18" x14ac:dyDescent="0.25">
      <c r="A30" s="3">
        <f>'Monthly Data'!A30</f>
        <v>42856</v>
      </c>
      <c r="B30" s="1">
        <f t="shared" si="0"/>
        <v>2017</v>
      </c>
      <c r="C30" s="1">
        <f t="shared" si="1"/>
        <v>5</v>
      </c>
      <c r="D30" s="268">
        <f>'Monthly Data'!F30</f>
        <v>33272849.356663078</v>
      </c>
      <c r="E30" s="278">
        <f t="shared" ca="1" si="3"/>
        <v>64.294809115179262</v>
      </c>
      <c r="F30" s="278">
        <f t="shared" ca="1" si="3"/>
        <v>130.22445928308915</v>
      </c>
      <c r="G30" s="278">
        <f>'Monthly Data'!BF30</f>
        <v>88.129166666666677</v>
      </c>
      <c r="H30" s="278">
        <f>'Monthly Data'!BK30</f>
        <v>90.983333333333348</v>
      </c>
      <c r="I30" s="278"/>
      <c r="J30" s="18">
        <f>'Monthly Data'!DG30</f>
        <v>0</v>
      </c>
      <c r="K30" s="1">
        <f>'Monthly Data'!CC30</f>
        <v>29</v>
      </c>
      <c r="M30" s="18"/>
      <c r="N30" s="18">
        <f ca="1">(E30-G30)*'Res Predicted Monthly'!$T$10</f>
        <v>-853661.85987823014</v>
      </c>
      <c r="O30" s="18">
        <f ca="1">(F30-H30)*'Res Predicted Monthly'!$T$11</f>
        <v>2299162.0192411873</v>
      </c>
      <c r="P30" s="18"/>
      <c r="Q30" s="18"/>
      <c r="R30" s="268">
        <f t="shared" ca="1" si="2"/>
        <v>34718349.516026035</v>
      </c>
    </row>
    <row r="31" spans="1:18" x14ac:dyDescent="0.25">
      <c r="A31" s="3">
        <f>'Monthly Data'!A31</f>
        <v>42887</v>
      </c>
      <c r="B31" s="1">
        <f t="shared" si="0"/>
        <v>2017</v>
      </c>
      <c r="C31" s="1">
        <f t="shared" si="1"/>
        <v>6</v>
      </c>
      <c r="D31" s="268">
        <f>'Monthly Data'!F31</f>
        <v>37271121.64391619</v>
      </c>
      <c r="E31" s="278">
        <f t="shared" ca="1" si="3"/>
        <v>3.2341666666666669</v>
      </c>
      <c r="F31" s="278">
        <f t="shared" ca="1" si="3"/>
        <v>254.51826754405016</v>
      </c>
      <c r="G31" s="278">
        <f>'Monthly Data'!BF31</f>
        <v>4.091666666666665</v>
      </c>
      <c r="H31" s="278">
        <f>'Monthly Data'!BK31</f>
        <v>228.62166666666667</v>
      </c>
      <c r="I31" s="278"/>
      <c r="J31" s="18">
        <f>'Monthly Data'!DG31</f>
        <v>0</v>
      </c>
      <c r="K31" s="1">
        <f>'Monthly Data'!CC31</f>
        <v>30</v>
      </c>
      <c r="M31" s="18"/>
      <c r="N31" s="18">
        <f ca="1">(E31-G31)*'Res Predicted Monthly'!$T$10</f>
        <v>-30712.598116574718</v>
      </c>
      <c r="O31" s="18">
        <f ca="1">(F31-H31)*'Res Predicted Monthly'!$T$11</f>
        <v>1517297.9807196041</v>
      </c>
      <c r="P31" s="18"/>
      <c r="Q31" s="18"/>
      <c r="R31" s="268">
        <f t="shared" ca="1" si="2"/>
        <v>38757707.026519217</v>
      </c>
    </row>
    <row r="32" spans="1:18" x14ac:dyDescent="0.25">
      <c r="A32" s="3">
        <f>'Monthly Data'!A32</f>
        <v>42917</v>
      </c>
      <c r="B32" s="1">
        <f t="shared" si="0"/>
        <v>2017</v>
      </c>
      <c r="C32" s="1">
        <f t="shared" si="1"/>
        <v>7</v>
      </c>
      <c r="D32" s="268">
        <f>'Monthly Data'!F32</f>
        <v>43007005.802366681</v>
      </c>
      <c r="E32" s="278">
        <f t="shared" ca="1" si="3"/>
        <v>0</v>
      </c>
      <c r="F32" s="278">
        <f t="shared" ca="1" si="3"/>
        <v>359.94737858727854</v>
      </c>
      <c r="G32" s="278">
        <f>'Monthly Data'!BF32</f>
        <v>0</v>
      </c>
      <c r="H32" s="278">
        <f>'Monthly Data'!BK32</f>
        <v>322.16666666666657</v>
      </c>
      <c r="I32" s="278"/>
      <c r="J32" s="18">
        <f>'Monthly Data'!DG32</f>
        <v>0</v>
      </c>
      <c r="K32" s="1">
        <f>'Monthly Data'!CC32</f>
        <v>31</v>
      </c>
      <c r="M32" s="18"/>
      <c r="N32" s="18">
        <f ca="1">(E32-G32)*'Res Predicted Monthly'!$T$10</f>
        <v>0</v>
      </c>
      <c r="O32" s="18">
        <f ca="1">(F32-H32)*'Res Predicted Monthly'!$T$11</f>
        <v>2213595.4513380714</v>
      </c>
      <c r="P32" s="18"/>
      <c r="Q32" s="18"/>
      <c r="R32" s="268">
        <f t="shared" ca="1" si="2"/>
        <v>45220601.253704756</v>
      </c>
    </row>
    <row r="33" spans="1:18" x14ac:dyDescent="0.25">
      <c r="A33" s="3">
        <f>'Monthly Data'!A33</f>
        <v>42948</v>
      </c>
      <c r="B33" s="1">
        <f t="shared" si="0"/>
        <v>2017</v>
      </c>
      <c r="C33" s="1">
        <f t="shared" si="1"/>
        <v>8</v>
      </c>
      <c r="D33" s="268">
        <f>'Monthly Data'!F33</f>
        <v>43246511.74715858</v>
      </c>
      <c r="E33" s="278">
        <f t="shared" ca="1" si="3"/>
        <v>0</v>
      </c>
      <c r="F33" s="278">
        <f t="shared" ca="1" si="3"/>
        <v>334.96558794466404</v>
      </c>
      <c r="G33" s="278">
        <f>'Monthly Data'!BF33</f>
        <v>0</v>
      </c>
      <c r="H33" s="278">
        <f>'Monthly Data'!BK33</f>
        <v>279.42409420289852</v>
      </c>
      <c r="I33" s="278"/>
      <c r="J33" s="18">
        <f>'Monthly Data'!DG33</f>
        <v>0</v>
      </c>
      <c r="K33" s="1">
        <f>'Monthly Data'!CC33</f>
        <v>32</v>
      </c>
      <c r="M33" s="18"/>
      <c r="N33" s="18">
        <f ca="1">(E33-G33)*'Res Predicted Monthly'!$T$10</f>
        <v>0</v>
      </c>
      <c r="O33" s="18">
        <f ca="1">(F33-H33)*'Res Predicted Monthly'!$T$11</f>
        <v>3254210.7243939582</v>
      </c>
      <c r="P33" s="18"/>
      <c r="Q33" s="18"/>
      <c r="R33" s="268">
        <f t="shared" ca="1" si="2"/>
        <v>46500722.471552536</v>
      </c>
    </row>
    <row r="34" spans="1:18" x14ac:dyDescent="0.25">
      <c r="A34" s="3">
        <f>'Monthly Data'!A34</f>
        <v>42979</v>
      </c>
      <c r="B34" s="1">
        <f t="shared" si="0"/>
        <v>2017</v>
      </c>
      <c r="C34" s="1">
        <f t="shared" si="1"/>
        <v>9</v>
      </c>
      <c r="D34" s="268">
        <f>'Monthly Data'!F34</f>
        <v>40173512.443843894</v>
      </c>
      <c r="E34" s="278">
        <f t="shared" ref="E34:F53" ca="1" si="4">E22</f>
        <v>10.413369565217392</v>
      </c>
      <c r="F34" s="278">
        <f t="shared" ca="1" si="4"/>
        <v>216.57430900621117</v>
      </c>
      <c r="G34" s="278">
        <f>'Monthly Data'!BF34</f>
        <v>16.833333333333329</v>
      </c>
      <c r="H34" s="278">
        <f>'Monthly Data'!BK34</f>
        <v>217.22916666666663</v>
      </c>
      <c r="I34" s="278"/>
      <c r="J34" s="18">
        <f>'Monthly Data'!DG34</f>
        <v>0</v>
      </c>
      <c r="K34" s="1">
        <f>'Monthly Data'!CC34</f>
        <v>33</v>
      </c>
      <c r="M34" s="18"/>
      <c r="N34" s="18">
        <f ca="1">(E34-G34)*'Res Predicted Monthly'!$T$10</f>
        <v>-229940.25321646163</v>
      </c>
      <c r="O34" s="18">
        <f ca="1">(F34-H34)*'Res Predicted Monthly'!$T$11</f>
        <v>-38368.518346189572</v>
      </c>
      <c r="P34" s="18"/>
      <c r="Q34" s="18"/>
      <c r="R34" s="268">
        <f t="shared" ref="R34:R65" ca="1" si="5">D34+N34+O34</f>
        <v>39905203.672281243</v>
      </c>
    </row>
    <row r="35" spans="1:18" x14ac:dyDescent="0.25">
      <c r="A35" s="3">
        <f>'Monthly Data'!A35</f>
        <v>43009</v>
      </c>
      <c r="B35" s="1">
        <f t="shared" si="0"/>
        <v>2017</v>
      </c>
      <c r="C35" s="1">
        <f t="shared" si="1"/>
        <v>10</v>
      </c>
      <c r="D35" s="268">
        <f>'Monthly Data'!F35</f>
        <v>36831928.279389635</v>
      </c>
      <c r="E35" s="278">
        <f t="shared" ca="1" si="4"/>
        <v>130.19639492753623</v>
      </c>
      <c r="F35" s="278">
        <f t="shared" ca="1" si="4"/>
        <v>62.266666666666673</v>
      </c>
      <c r="G35" s="278">
        <f>'Monthly Data'!BF35</f>
        <v>82.137500000000017</v>
      </c>
      <c r="H35" s="278">
        <f>'Monthly Data'!BK35</f>
        <v>98.274999999999977</v>
      </c>
      <c r="I35" s="278"/>
      <c r="J35" s="18">
        <f>'Monthly Data'!DG35</f>
        <v>0</v>
      </c>
      <c r="K35" s="1">
        <f>'Monthly Data'!CC35</f>
        <v>34</v>
      </c>
      <c r="M35" s="18"/>
      <c r="N35" s="18">
        <f ca="1">(E35-G35)*'Res Predicted Monthly'!$T$10</f>
        <v>1721298.5724036316</v>
      </c>
      <c r="O35" s="18">
        <f ca="1">(F35-H35)*'Res Predicted Monthly'!$T$11</f>
        <v>-2109750.6855990598</v>
      </c>
      <c r="P35" s="18"/>
      <c r="Q35" s="18"/>
      <c r="R35" s="268">
        <f t="shared" ca="1" si="5"/>
        <v>36443476.166194208</v>
      </c>
    </row>
    <row r="36" spans="1:18" x14ac:dyDescent="0.25">
      <c r="A36" s="3">
        <f>'Monthly Data'!A36</f>
        <v>43040</v>
      </c>
      <c r="B36" s="1">
        <f t="shared" si="0"/>
        <v>2017</v>
      </c>
      <c r="C36" s="1">
        <f t="shared" si="1"/>
        <v>11</v>
      </c>
      <c r="D36" s="268">
        <f>'Monthly Data'!F36</f>
        <v>39177413.497449182</v>
      </c>
      <c r="E36" s="278">
        <f t="shared" ca="1" si="4"/>
        <v>307.43824722379077</v>
      </c>
      <c r="F36" s="278">
        <f t="shared" ca="1" si="4"/>
        <v>5.6391666666666662</v>
      </c>
      <c r="G36" s="278">
        <f>'Monthly Data'!BF36</f>
        <v>322.61174242424249</v>
      </c>
      <c r="H36" s="278">
        <f>'Monthly Data'!BK36</f>
        <v>1.2958333333333325</v>
      </c>
      <c r="I36" s="278"/>
      <c r="J36" s="18">
        <f>'Monthly Data'!DG36</f>
        <v>0</v>
      </c>
      <c r="K36" s="1">
        <f>'Monthly Data'!CC36</f>
        <v>35</v>
      </c>
      <c r="M36" s="18"/>
      <c r="N36" s="18">
        <f ca="1">(E36-G36)*'Res Predicted Monthly'!$T$10</f>
        <v>-543460.5948865891</v>
      </c>
      <c r="O36" s="18">
        <f ca="1">(F36-H36)*'Res Predicted Monthly'!$T$11</f>
        <v>254478.60618704717</v>
      </c>
      <c r="P36" s="18"/>
      <c r="Q36" s="18"/>
      <c r="R36" s="268">
        <f t="shared" ca="1" si="5"/>
        <v>38888431.508749641</v>
      </c>
    </row>
    <row r="37" spans="1:18" x14ac:dyDescent="0.25">
      <c r="A37" s="3">
        <f>'Monthly Data'!A37</f>
        <v>43070</v>
      </c>
      <c r="B37" s="1">
        <f t="shared" si="0"/>
        <v>2017</v>
      </c>
      <c r="C37" s="1">
        <f t="shared" si="1"/>
        <v>12</v>
      </c>
      <c r="D37" s="268">
        <f>'Monthly Data'!F37</f>
        <v>45743096.906611487</v>
      </c>
      <c r="E37" s="278">
        <f t="shared" ca="1" si="4"/>
        <v>453.92800724637681</v>
      </c>
      <c r="F37" s="278">
        <f t="shared" ca="1" si="4"/>
        <v>0.12791666666666668</v>
      </c>
      <c r="G37" s="278">
        <f>'Monthly Data'!BF37</f>
        <v>612.31250000000011</v>
      </c>
      <c r="H37" s="278">
        <f>'Monthly Data'!BK37</f>
        <v>0</v>
      </c>
      <c r="I37" s="278"/>
      <c r="J37" s="18">
        <f>'Monthly Data'!DG37</f>
        <v>0</v>
      </c>
      <c r="K37" s="1">
        <f>'Monthly Data'!CC37</f>
        <v>36</v>
      </c>
      <c r="M37" s="18"/>
      <c r="N37" s="18">
        <f ca="1">(E37-G37)*'Res Predicted Monthly'!$T$10</f>
        <v>-5672768.8324659867</v>
      </c>
      <c r="O37" s="18">
        <f ca="1">(F37-H37)*'Res Predicted Monthly'!$T$11</f>
        <v>7494.7172006354076</v>
      </c>
      <c r="P37" s="18"/>
      <c r="Q37" s="18"/>
      <c r="R37" s="268">
        <f t="shared" ca="1" si="5"/>
        <v>40077822.79134614</v>
      </c>
    </row>
    <row r="38" spans="1:18" x14ac:dyDescent="0.25">
      <c r="A38" s="3">
        <f>'Monthly Data'!A38</f>
        <v>43101</v>
      </c>
      <c r="B38" s="1">
        <f t="shared" si="0"/>
        <v>2018</v>
      </c>
      <c r="C38" s="1">
        <f t="shared" si="1"/>
        <v>1</v>
      </c>
      <c r="D38" s="268">
        <f>'Monthly Data'!F38</f>
        <v>49182543.969667621</v>
      </c>
      <c r="E38" s="278">
        <f t="shared" ca="1" si="4"/>
        <v>573.33418478260865</v>
      </c>
      <c r="F38" s="278">
        <f t="shared" ca="1" si="4"/>
        <v>0</v>
      </c>
      <c r="G38" s="278">
        <f>'Monthly Data'!BF38</f>
        <v>626.53750000000002</v>
      </c>
      <c r="H38" s="278">
        <f>'Monthly Data'!BK38</f>
        <v>0</v>
      </c>
      <c r="I38" s="278"/>
      <c r="J38" s="18">
        <f>'Monthly Data'!DG38</f>
        <v>0</v>
      </c>
      <c r="K38" s="1">
        <f>'Monthly Data'!CC38</f>
        <v>37</v>
      </c>
      <c r="M38" s="18"/>
      <c r="N38" s="18">
        <f ca="1">(E38-G38)*'Res Predicted Monthly'!$T$10</f>
        <v>-1905553.3979489084</v>
      </c>
      <c r="O38" s="18">
        <f ca="1">(F38-H38)*'Res Predicted Monthly'!$T$11</f>
        <v>0</v>
      </c>
      <c r="P38" s="18"/>
      <c r="Q38" s="18"/>
      <c r="R38" s="268">
        <f t="shared" ca="1" si="5"/>
        <v>47276990.571718715</v>
      </c>
    </row>
    <row r="39" spans="1:18" x14ac:dyDescent="0.25">
      <c r="A39" s="3">
        <f>'Monthly Data'!A39</f>
        <v>43132</v>
      </c>
      <c r="B39" s="1">
        <f t="shared" si="0"/>
        <v>2018</v>
      </c>
      <c r="C39" s="1">
        <f t="shared" si="1"/>
        <v>2</v>
      </c>
      <c r="D39" s="268">
        <f>'Monthly Data'!F39</f>
        <v>42254490.640547559</v>
      </c>
      <c r="E39" s="278">
        <f t="shared" ca="1" si="4"/>
        <v>511.05501811594206</v>
      </c>
      <c r="F39" s="278">
        <f t="shared" ca="1" si="4"/>
        <v>0</v>
      </c>
      <c r="G39" s="278">
        <f>'Monthly Data'!BF39</f>
        <v>464.49583333333334</v>
      </c>
      <c r="H39" s="278">
        <f>'Monthly Data'!BK39</f>
        <v>0</v>
      </c>
      <c r="I39" s="278"/>
      <c r="J39" s="18">
        <f>'Monthly Data'!DG39</f>
        <v>0</v>
      </c>
      <c r="K39" s="1">
        <f>'Monthly Data'!CC39</f>
        <v>38</v>
      </c>
      <c r="M39" s="18"/>
      <c r="N39" s="18">
        <f ca="1">(E39-G39)*'Res Predicted Monthly'!$T$10</f>
        <v>1667584.2925523103</v>
      </c>
      <c r="O39" s="18">
        <f ca="1">(F39-H39)*'Res Predicted Monthly'!$T$11</f>
        <v>0</v>
      </c>
      <c r="P39" s="18"/>
      <c r="Q39" s="18"/>
      <c r="R39" s="268">
        <f t="shared" ca="1" si="5"/>
        <v>43922074.933099866</v>
      </c>
    </row>
    <row r="40" spans="1:18" x14ac:dyDescent="0.25">
      <c r="A40" s="3">
        <f>'Monthly Data'!A40</f>
        <v>43160</v>
      </c>
      <c r="B40" s="1">
        <f t="shared" si="0"/>
        <v>2018</v>
      </c>
      <c r="C40" s="1">
        <f t="shared" si="1"/>
        <v>3</v>
      </c>
      <c r="D40" s="268">
        <f>'Monthly Data'!F40</f>
        <v>43432566.137043901</v>
      </c>
      <c r="E40" s="278">
        <f t="shared" ca="1" si="4"/>
        <v>422.13298913043479</v>
      </c>
      <c r="F40" s="278">
        <f t="shared" ca="1" si="4"/>
        <v>0.51874999999999927</v>
      </c>
      <c r="G40" s="278">
        <f>'Monthly Data'!BF40</f>
        <v>443.2791666666667</v>
      </c>
      <c r="H40" s="278">
        <f>'Monthly Data'!BK40</f>
        <v>0</v>
      </c>
      <c r="I40" s="278"/>
      <c r="J40" s="18">
        <f>'Monthly Data'!DG40</f>
        <v>0</v>
      </c>
      <c r="K40" s="1">
        <f>'Monthly Data'!CC40</f>
        <v>39</v>
      </c>
      <c r="M40" s="18"/>
      <c r="N40" s="18">
        <f ca="1">(E40-G40)*'Res Predicted Monthly'!$T$10</f>
        <v>-757380.81909274857</v>
      </c>
      <c r="O40" s="18">
        <f ca="1">(F40-H40)*'Res Predicted Monthly'!$T$11</f>
        <v>30393.885715931818</v>
      </c>
      <c r="P40" s="18"/>
      <c r="Q40" s="18"/>
      <c r="R40" s="268">
        <f t="shared" ca="1" si="5"/>
        <v>42705579.203667082</v>
      </c>
    </row>
    <row r="41" spans="1:18" x14ac:dyDescent="0.25">
      <c r="A41" s="3">
        <f>'Monthly Data'!A41</f>
        <v>43191</v>
      </c>
      <c r="B41" s="1">
        <f t="shared" si="0"/>
        <v>2018</v>
      </c>
      <c r="C41" s="1">
        <f t="shared" si="1"/>
        <v>4</v>
      </c>
      <c r="D41" s="268">
        <f>'Monthly Data'!F41</f>
        <v>40741485.304550432</v>
      </c>
      <c r="E41" s="278">
        <f t="shared" ca="1" si="4"/>
        <v>234.57024621212122</v>
      </c>
      <c r="F41" s="278">
        <f t="shared" ca="1" si="4"/>
        <v>12.79125</v>
      </c>
      <c r="G41" s="278">
        <f>'Monthly Data'!BF41</f>
        <v>332.51666666666671</v>
      </c>
      <c r="H41" s="278">
        <f>'Monthly Data'!BK41</f>
        <v>6.2499999999998224E-2</v>
      </c>
      <c r="I41" s="278"/>
      <c r="J41" s="18">
        <f>'Monthly Data'!DG41</f>
        <v>0</v>
      </c>
      <c r="K41" s="1">
        <f>'Monthly Data'!CC41</f>
        <v>40</v>
      </c>
      <c r="M41" s="18"/>
      <c r="N41" s="18">
        <f ca="1">(E41-G41)*'Res Predicted Monthly'!$T$10</f>
        <v>-3508092.1846968113</v>
      </c>
      <c r="O41" s="18">
        <f ca="1">(F41-H41)*'Res Predicted Monthly'!$T$11</f>
        <v>745785.39336225099</v>
      </c>
      <c r="P41" s="18"/>
      <c r="Q41" s="18"/>
      <c r="R41" s="268">
        <f t="shared" ca="1" si="5"/>
        <v>37979178.513215877</v>
      </c>
    </row>
    <row r="42" spans="1:18" x14ac:dyDescent="0.25">
      <c r="A42" s="3">
        <f>'Monthly Data'!A42</f>
        <v>43221</v>
      </c>
      <c r="B42" s="1">
        <f t="shared" si="0"/>
        <v>2018</v>
      </c>
      <c r="C42" s="1">
        <f t="shared" si="1"/>
        <v>5</v>
      </c>
      <c r="D42" s="268">
        <f>'Monthly Data'!F42</f>
        <v>32656333.018106893</v>
      </c>
      <c r="E42" s="278">
        <f t="shared" ca="1" si="4"/>
        <v>64.294809115179262</v>
      </c>
      <c r="F42" s="278">
        <f t="shared" ca="1" si="4"/>
        <v>130.22445928308915</v>
      </c>
      <c r="G42" s="278">
        <f>'Monthly Data'!BF42</f>
        <v>22.062500000000014</v>
      </c>
      <c r="H42" s="278">
        <f>'Monthly Data'!BK42</f>
        <v>185.32554112554109</v>
      </c>
      <c r="I42" s="278"/>
      <c r="J42" s="18">
        <f>'Monthly Data'!DG42</f>
        <v>0</v>
      </c>
      <c r="K42" s="1">
        <f>'Monthly Data'!CC42</f>
        <v>41</v>
      </c>
      <c r="M42" s="18"/>
      <c r="N42" s="18">
        <f ca="1">(E42-G42)*'Res Predicted Monthly'!$T$10</f>
        <v>1512611.005701992</v>
      </c>
      <c r="O42" s="18">
        <f ca="1">(F42-H42)*'Res Predicted Monthly'!$T$11</f>
        <v>-3228406.7168071182</v>
      </c>
      <c r="P42" s="18"/>
      <c r="Q42" s="18"/>
      <c r="R42" s="268">
        <f t="shared" ca="1" si="5"/>
        <v>30940537.307001762</v>
      </c>
    </row>
    <row r="43" spans="1:18" x14ac:dyDescent="0.25">
      <c r="A43" s="3">
        <f>'Monthly Data'!A43</f>
        <v>43252</v>
      </c>
      <c r="B43" s="1">
        <f t="shared" si="0"/>
        <v>2018</v>
      </c>
      <c r="C43" s="1">
        <f t="shared" si="1"/>
        <v>6</v>
      </c>
      <c r="D43" s="268">
        <f>'Monthly Data'!F43</f>
        <v>39427584.09957619</v>
      </c>
      <c r="E43" s="278">
        <f t="shared" ca="1" si="4"/>
        <v>3.2341666666666669</v>
      </c>
      <c r="F43" s="278">
        <f t="shared" ca="1" si="4"/>
        <v>254.51826754405016</v>
      </c>
      <c r="G43" s="278">
        <f>'Monthly Data'!BF43</f>
        <v>3.3208333333333275</v>
      </c>
      <c r="H43" s="278">
        <f>'Monthly Data'!BK43</f>
        <v>258.19393939393944</v>
      </c>
      <c r="I43" s="278"/>
      <c r="J43" s="18">
        <f>'Monthly Data'!DG43</f>
        <v>0</v>
      </c>
      <c r="K43" s="1">
        <f>'Monthly Data'!CC43</f>
        <v>42</v>
      </c>
      <c r="M43" s="18"/>
      <c r="N43" s="18">
        <f ca="1">(E43-G43)*'Res Predicted Monthly'!$T$10</f>
        <v>-3104.0915491968481</v>
      </c>
      <c r="O43" s="18">
        <f ca="1">(F43-H43)*'Res Predicted Monthly'!$T$11</f>
        <v>-215359.90387431852</v>
      </c>
      <c r="P43" s="18"/>
      <c r="Q43" s="18"/>
      <c r="R43" s="268">
        <f t="shared" ca="1" si="5"/>
        <v>39209120.104152679</v>
      </c>
    </row>
    <row r="44" spans="1:18" x14ac:dyDescent="0.25">
      <c r="A44" s="3">
        <f>'Monthly Data'!A44</f>
        <v>43282</v>
      </c>
      <c r="B44" s="1">
        <f t="shared" si="0"/>
        <v>2018</v>
      </c>
      <c r="C44" s="1">
        <f t="shared" si="1"/>
        <v>7</v>
      </c>
      <c r="D44" s="268">
        <f>'Monthly Data'!F44</f>
        <v>48882916.889358468</v>
      </c>
      <c r="E44" s="278">
        <f t="shared" ca="1" si="4"/>
        <v>0</v>
      </c>
      <c r="F44" s="278">
        <f t="shared" ca="1" si="4"/>
        <v>359.94737858727854</v>
      </c>
      <c r="G44" s="278">
        <f>'Monthly Data'!BF44</f>
        <v>0</v>
      </c>
      <c r="H44" s="278">
        <f>'Monthly Data'!BK44</f>
        <v>380.39861424807083</v>
      </c>
      <c r="I44" s="278"/>
      <c r="J44" s="18">
        <f>'Monthly Data'!DG44</f>
        <v>0</v>
      </c>
      <c r="K44" s="1">
        <f>'Monthly Data'!CC44</f>
        <v>43</v>
      </c>
      <c r="M44" s="18"/>
      <c r="N44" s="18">
        <f ca="1">(E44-G44)*'Res Predicted Monthly'!$T$10</f>
        <v>0</v>
      </c>
      <c r="O44" s="18">
        <f ca="1">(F44-H44)*'Res Predicted Monthly'!$T$11</f>
        <v>-1198250.6398529371</v>
      </c>
      <c r="P44" s="18"/>
      <c r="Q44" s="18"/>
      <c r="R44" s="268">
        <f t="shared" ca="1" si="5"/>
        <v>47684666.249505535</v>
      </c>
    </row>
    <row r="45" spans="1:18" x14ac:dyDescent="0.25">
      <c r="A45" s="3">
        <f>'Monthly Data'!A45</f>
        <v>43313</v>
      </c>
      <c r="B45" s="1">
        <f t="shared" si="0"/>
        <v>2018</v>
      </c>
      <c r="C45" s="1">
        <f t="shared" si="1"/>
        <v>8</v>
      </c>
      <c r="D45" s="268">
        <f>'Monthly Data'!F45</f>
        <v>51351752.177842215</v>
      </c>
      <c r="E45" s="278">
        <f t="shared" ca="1" si="4"/>
        <v>0</v>
      </c>
      <c r="F45" s="278">
        <f t="shared" ca="1" si="4"/>
        <v>334.96558794466404</v>
      </c>
      <c r="G45" s="278">
        <f>'Monthly Data'!BF45</f>
        <v>0</v>
      </c>
      <c r="H45" s="278">
        <f>'Monthly Data'!BK45</f>
        <v>376.24583333333334</v>
      </c>
      <c r="I45" s="278"/>
      <c r="J45" s="18">
        <f>'Monthly Data'!DG45</f>
        <v>0</v>
      </c>
      <c r="K45" s="1">
        <f>'Monthly Data'!CC45</f>
        <v>44</v>
      </c>
      <c r="M45" s="18"/>
      <c r="N45" s="18">
        <f ca="1">(E45-G45)*'Res Predicted Monthly'!$T$10</f>
        <v>0</v>
      </c>
      <c r="O45" s="18">
        <f ca="1">(F45-H45)*'Res Predicted Monthly'!$T$11</f>
        <v>-2418635.2976748683</v>
      </c>
      <c r="P45" s="18"/>
      <c r="Q45" s="18"/>
      <c r="R45" s="268">
        <f t="shared" ca="1" si="5"/>
        <v>48933116.88016735</v>
      </c>
    </row>
    <row r="46" spans="1:18" x14ac:dyDescent="0.25">
      <c r="A46" s="3">
        <f>'Monthly Data'!A46</f>
        <v>43344</v>
      </c>
      <c r="B46" s="1">
        <f t="shared" si="0"/>
        <v>2018</v>
      </c>
      <c r="C46" s="1">
        <f t="shared" si="1"/>
        <v>9</v>
      </c>
      <c r="D46" s="268">
        <f>'Monthly Data'!F46</f>
        <v>45094790.035028785</v>
      </c>
      <c r="E46" s="278">
        <f t="shared" ca="1" si="4"/>
        <v>10.413369565217392</v>
      </c>
      <c r="F46" s="278">
        <f t="shared" ca="1" si="4"/>
        <v>216.57430900621117</v>
      </c>
      <c r="G46" s="278">
        <f>'Monthly Data'!BF46</f>
        <v>13.695833333333338</v>
      </c>
      <c r="H46" s="278">
        <f>'Monthly Data'!BK46</f>
        <v>241.36666666666665</v>
      </c>
      <c r="I46" s="278"/>
      <c r="J46" s="18">
        <f>'Monthly Data'!DG46</f>
        <v>0</v>
      </c>
      <c r="K46" s="1">
        <f>'Monthly Data'!CC46</f>
        <v>45</v>
      </c>
      <c r="M46" s="18"/>
      <c r="N46" s="18">
        <f ca="1">(E46-G46)*'Res Predicted Monthly'!$T$10</f>
        <v>-117566.16972870292</v>
      </c>
      <c r="O46" s="18">
        <f ca="1">(F46-H46)*'Res Predicted Monthly'!$T$11</f>
        <v>-1452599.6826224418</v>
      </c>
      <c r="P46" s="18"/>
      <c r="Q46" s="18"/>
      <c r="R46" s="268">
        <f t="shared" ca="1" si="5"/>
        <v>43524624.182677642</v>
      </c>
    </row>
    <row r="47" spans="1:18" x14ac:dyDescent="0.25">
      <c r="A47" s="3">
        <f>'Monthly Data'!A47</f>
        <v>43374</v>
      </c>
      <c r="B47" s="1">
        <f t="shared" si="0"/>
        <v>2018</v>
      </c>
      <c r="C47" s="1">
        <f t="shared" si="1"/>
        <v>10</v>
      </c>
      <c r="D47" s="268">
        <f>'Monthly Data'!F47</f>
        <v>34872575.812981203</v>
      </c>
      <c r="E47" s="278">
        <f t="shared" ca="1" si="4"/>
        <v>130.19639492753623</v>
      </c>
      <c r="F47" s="278">
        <f t="shared" ca="1" si="4"/>
        <v>62.266666666666673</v>
      </c>
      <c r="G47" s="278">
        <f>'Monthly Data'!BF47</f>
        <v>194.17916666666662</v>
      </c>
      <c r="H47" s="278">
        <f>'Monthly Data'!BK47</f>
        <v>41.524999999999999</v>
      </c>
      <c r="I47" s="278"/>
      <c r="J47" s="18">
        <f>'Monthly Data'!DG47</f>
        <v>0</v>
      </c>
      <c r="K47" s="1">
        <f>'Monthly Data'!CC47</f>
        <v>46</v>
      </c>
      <c r="M47" s="18"/>
      <c r="N47" s="18">
        <f ca="1">(E47-G47)*'Res Predicted Monthly'!$T$10</f>
        <v>-2291635.1659573764</v>
      </c>
      <c r="O47" s="18">
        <f ca="1">(F47-H47)*'Res Predicted Monthly'!$T$11</f>
        <v>1215267.1734450511</v>
      </c>
      <c r="P47" s="18"/>
      <c r="Q47" s="18"/>
      <c r="R47" s="268">
        <f t="shared" ca="1" si="5"/>
        <v>33796207.82046888</v>
      </c>
    </row>
    <row r="48" spans="1:18" x14ac:dyDescent="0.25">
      <c r="A48" s="3">
        <f>'Monthly Data'!A48</f>
        <v>43405</v>
      </c>
      <c r="B48" s="1">
        <f t="shared" si="0"/>
        <v>2018</v>
      </c>
      <c r="C48" s="1">
        <f t="shared" si="1"/>
        <v>11</v>
      </c>
      <c r="D48" s="268">
        <f>'Monthly Data'!F48</f>
        <v>39696145.233856961</v>
      </c>
      <c r="E48" s="278">
        <f t="shared" ca="1" si="4"/>
        <v>307.43824722379077</v>
      </c>
      <c r="F48" s="278">
        <f t="shared" ca="1" si="4"/>
        <v>5.6391666666666662</v>
      </c>
      <c r="G48" s="278">
        <f>'Monthly Data'!BF48</f>
        <v>383.52500000000003</v>
      </c>
      <c r="H48" s="278">
        <f>'Monthly Data'!BK48</f>
        <v>0.34166666666666856</v>
      </c>
      <c r="I48" s="278"/>
      <c r="J48" s="18">
        <f>'Monthly Data'!DG48</f>
        <v>0</v>
      </c>
      <c r="K48" s="1">
        <f>'Monthly Data'!CC48</f>
        <v>47</v>
      </c>
      <c r="M48" s="18"/>
      <c r="N48" s="18">
        <f ca="1">(E48-G48)*'Res Predicted Monthly'!$T$10</f>
        <v>-2725156.6880593537</v>
      </c>
      <c r="O48" s="18">
        <f ca="1">(F48-H48)*'Res Predicted Monthly'!$T$11</f>
        <v>310383.82569667272</v>
      </c>
      <c r="P48" s="18"/>
      <c r="Q48" s="18"/>
      <c r="R48" s="268">
        <f t="shared" ca="1" si="5"/>
        <v>37281372.371494278</v>
      </c>
    </row>
    <row r="49" spans="1:18" x14ac:dyDescent="0.25">
      <c r="A49" s="3">
        <f>'Monthly Data'!A49</f>
        <v>43435</v>
      </c>
      <c r="B49" s="1">
        <f t="shared" si="0"/>
        <v>2018</v>
      </c>
      <c r="C49" s="1">
        <f t="shared" si="1"/>
        <v>12</v>
      </c>
      <c r="D49" s="268">
        <f>'Monthly Data'!F49</f>
        <v>43470353.451681152</v>
      </c>
      <c r="E49" s="278">
        <f t="shared" ca="1" si="4"/>
        <v>453.92800724637681</v>
      </c>
      <c r="F49" s="278">
        <f t="shared" ca="1" si="4"/>
        <v>0.12791666666666668</v>
      </c>
      <c r="G49" s="278">
        <f>'Monthly Data'!BF49</f>
        <v>460.91666666666657</v>
      </c>
      <c r="H49" s="278">
        <f>'Monthly Data'!BK49</f>
        <v>0</v>
      </c>
      <c r="I49" s="278"/>
      <c r="J49" s="18">
        <f>'Monthly Data'!DG49</f>
        <v>0</v>
      </c>
      <c r="K49" s="1">
        <f>'Monthly Data'!CC49</f>
        <v>48</v>
      </c>
      <c r="M49" s="18"/>
      <c r="N49" s="18">
        <f ca="1">(E49-G49)*'Res Predicted Monthly'!$T$10</f>
        <v>-250308.90746236037</v>
      </c>
      <c r="O49" s="18">
        <f ca="1">(F49-H49)*'Res Predicted Monthly'!$T$11</f>
        <v>7494.7172006354076</v>
      </c>
      <c r="P49" s="18"/>
      <c r="Q49" s="18"/>
      <c r="R49" s="268">
        <f t="shared" ca="1" si="5"/>
        <v>43227539.26141943</v>
      </c>
    </row>
    <row r="50" spans="1:18" x14ac:dyDescent="0.25">
      <c r="A50" s="3">
        <f>'Monthly Data'!A50</f>
        <v>43466</v>
      </c>
      <c r="B50" s="1">
        <f t="shared" si="0"/>
        <v>2019</v>
      </c>
      <c r="C50" s="1">
        <f t="shared" si="1"/>
        <v>1</v>
      </c>
      <c r="D50" s="268">
        <f>'Monthly Data'!F50</f>
        <v>49786545.597074255</v>
      </c>
      <c r="E50" s="278">
        <f t="shared" ca="1" si="4"/>
        <v>573.33418478260865</v>
      </c>
      <c r="F50" s="278">
        <f t="shared" ca="1" si="4"/>
        <v>0</v>
      </c>
      <c r="G50" s="278">
        <f>'Monthly Data'!BF50</f>
        <v>655.93333333333339</v>
      </c>
      <c r="H50" s="278">
        <f>'Monthly Data'!BK50</f>
        <v>0</v>
      </c>
      <c r="I50" s="278"/>
      <c r="J50" s="18">
        <f>'Monthly Data'!DG50</f>
        <v>0</v>
      </c>
      <c r="K50" s="1">
        <f>'Monthly Data'!CC50</f>
        <v>49</v>
      </c>
      <c r="M50" s="18"/>
      <c r="N50" s="18">
        <f ca="1">(E50-G50)*'Res Predicted Monthly'!$T$10</f>
        <v>-2958407.5267751249</v>
      </c>
      <c r="O50" s="18">
        <f ca="1">(F50-H50)*'Res Predicted Monthly'!$T$11</f>
        <v>0</v>
      </c>
      <c r="P50" s="18"/>
      <c r="Q50" s="18"/>
      <c r="R50" s="268">
        <f t="shared" ca="1" si="5"/>
        <v>46828138.070299134</v>
      </c>
    </row>
    <row r="51" spans="1:18" x14ac:dyDescent="0.25">
      <c r="A51" s="3">
        <f>'Monthly Data'!A51</f>
        <v>43497</v>
      </c>
      <c r="B51" s="1">
        <f t="shared" si="0"/>
        <v>2019</v>
      </c>
      <c r="C51" s="1">
        <f t="shared" si="1"/>
        <v>2</v>
      </c>
      <c r="D51" s="268">
        <f>'Monthly Data'!F51</f>
        <v>46962938.100034416</v>
      </c>
      <c r="E51" s="278">
        <f t="shared" ca="1" si="4"/>
        <v>511.05501811594206</v>
      </c>
      <c r="F51" s="278">
        <f t="shared" ca="1" si="4"/>
        <v>0</v>
      </c>
      <c r="G51" s="278">
        <f>'Monthly Data'!BF51</f>
        <v>527.30416666666656</v>
      </c>
      <c r="H51" s="278">
        <f>'Monthly Data'!BK51</f>
        <v>0</v>
      </c>
      <c r="I51" s="278"/>
      <c r="J51" s="18">
        <f>'Monthly Data'!DG51</f>
        <v>0</v>
      </c>
      <c r="K51" s="1">
        <f>'Monthly Data'!CC51</f>
        <v>50</v>
      </c>
      <c r="M51" s="18"/>
      <c r="N51" s="18">
        <f ca="1">(E51-G51)*'Res Predicted Monthly'!$T$10</f>
        <v>-581986.66959174944</v>
      </c>
      <c r="O51" s="18">
        <f ca="1">(F51-H51)*'Res Predicted Monthly'!$T$11</f>
        <v>0</v>
      </c>
      <c r="P51" s="18"/>
      <c r="Q51" s="18"/>
      <c r="R51" s="268">
        <f t="shared" ca="1" si="5"/>
        <v>46380951.430442668</v>
      </c>
    </row>
    <row r="52" spans="1:18" x14ac:dyDescent="0.25">
      <c r="A52" s="3">
        <f>'Monthly Data'!A52</f>
        <v>43525</v>
      </c>
      <c r="B52" s="1">
        <f t="shared" si="0"/>
        <v>2019</v>
      </c>
      <c r="C52" s="1">
        <f t="shared" si="1"/>
        <v>3</v>
      </c>
      <c r="D52" s="268">
        <f>'Monthly Data'!F52</f>
        <v>40529259.756652385</v>
      </c>
      <c r="E52" s="278">
        <f t="shared" ca="1" si="4"/>
        <v>422.13298913043479</v>
      </c>
      <c r="F52" s="278">
        <f t="shared" ca="1" si="4"/>
        <v>0.51874999999999927</v>
      </c>
      <c r="G52" s="278">
        <f>'Monthly Data'!BF52</f>
        <v>487.45833333333331</v>
      </c>
      <c r="H52" s="278">
        <f>'Monthly Data'!BK52</f>
        <v>0</v>
      </c>
      <c r="I52" s="278"/>
      <c r="J52" s="18">
        <f>'Monthly Data'!DG52</f>
        <v>0</v>
      </c>
      <c r="K52" s="1">
        <f>'Monthly Data'!CC52</f>
        <v>51</v>
      </c>
      <c r="M52" s="18"/>
      <c r="N52" s="18">
        <f ca="1">(E52-G52)*'Res Predicted Monthly'!$T$10</f>
        <v>-2339721.3333300762</v>
      </c>
      <c r="O52" s="18">
        <f ca="1">(F52-H52)*'Res Predicted Monthly'!$T$11</f>
        <v>30393.885715931818</v>
      </c>
      <c r="P52" s="18"/>
      <c r="Q52" s="18"/>
      <c r="R52" s="268">
        <f t="shared" ca="1" si="5"/>
        <v>38219932.309038237</v>
      </c>
    </row>
    <row r="53" spans="1:18" x14ac:dyDescent="0.25">
      <c r="A53" s="3">
        <f>'Monthly Data'!A53</f>
        <v>43556</v>
      </c>
      <c r="B53" s="1">
        <f t="shared" si="0"/>
        <v>2019</v>
      </c>
      <c r="C53" s="1">
        <f t="shared" si="1"/>
        <v>4</v>
      </c>
      <c r="D53" s="268">
        <f>'Monthly Data'!F53</f>
        <v>38390411.159753427</v>
      </c>
      <c r="E53" s="278">
        <f t="shared" ca="1" si="4"/>
        <v>234.57024621212122</v>
      </c>
      <c r="F53" s="278">
        <f t="shared" ca="1" si="4"/>
        <v>12.79125</v>
      </c>
      <c r="G53" s="278">
        <f>'Monthly Data'!BF53</f>
        <v>246.6541666666667</v>
      </c>
      <c r="H53" s="278">
        <f>'Monthly Data'!BK53</f>
        <v>2.8791666666666664</v>
      </c>
      <c r="I53" s="278"/>
      <c r="J53" s="18">
        <f>'Monthly Data'!DG53</f>
        <v>0</v>
      </c>
      <c r="K53" s="1">
        <f>'Monthly Data'!CC53</f>
        <v>52</v>
      </c>
      <c r="M53" s="18"/>
      <c r="N53" s="18">
        <f ca="1">(E53-G53)*'Res Predicted Monthly'!$T$10</f>
        <v>-432803.02343220165</v>
      </c>
      <c r="O53" s="18">
        <f ca="1">(F53-H53)*'Res Predicted Monthly'!$T$11</f>
        <v>580755.13839060487</v>
      </c>
      <c r="P53" s="18"/>
      <c r="Q53" s="18"/>
      <c r="R53" s="268">
        <f t="shared" ca="1" si="5"/>
        <v>38538363.274711832</v>
      </c>
    </row>
    <row r="54" spans="1:18" x14ac:dyDescent="0.25">
      <c r="A54" s="3">
        <f>'Monthly Data'!A54</f>
        <v>43586</v>
      </c>
      <c r="B54" s="1">
        <f t="shared" si="0"/>
        <v>2019</v>
      </c>
      <c r="C54" s="1">
        <f t="shared" si="1"/>
        <v>5</v>
      </c>
      <c r="D54" s="268">
        <f>'Monthly Data'!F54</f>
        <v>34434462.367302448</v>
      </c>
      <c r="E54" s="278">
        <f t="shared" ref="E54:F73" ca="1" si="6">E42</f>
        <v>64.294809115179262</v>
      </c>
      <c r="F54" s="278">
        <f t="shared" ca="1" si="6"/>
        <v>130.22445928308915</v>
      </c>
      <c r="G54" s="278">
        <f>'Monthly Data'!BF54</f>
        <v>92.742982456140368</v>
      </c>
      <c r="H54" s="278">
        <f>'Monthly Data'!BK54</f>
        <v>63.802850877192981</v>
      </c>
      <c r="I54" s="278"/>
      <c r="J54" s="18">
        <f>'Monthly Data'!DG54</f>
        <v>0</v>
      </c>
      <c r="K54" s="1">
        <f>'Monthly Data'!CC54</f>
        <v>53</v>
      </c>
      <c r="M54" s="18"/>
      <c r="N54" s="18">
        <f ca="1">(E54-G54)*'Res Predicted Monthly'!$T$10</f>
        <v>-1018912.320666583</v>
      </c>
      <c r="O54" s="18">
        <f ca="1">(F54-H54)*'Res Predicted Monthly'!$T$11</f>
        <v>3891683.4216042161</v>
      </c>
      <c r="P54" s="18"/>
      <c r="Q54" s="18"/>
      <c r="R54" s="268">
        <f t="shared" ca="1" si="5"/>
        <v>37307233.468240082</v>
      </c>
    </row>
    <row r="55" spans="1:18" x14ac:dyDescent="0.25">
      <c r="A55" s="3">
        <f>'Monthly Data'!A55</f>
        <v>43617</v>
      </c>
      <c r="B55" s="1">
        <f t="shared" si="0"/>
        <v>2019</v>
      </c>
      <c r="C55" s="1">
        <f t="shared" si="1"/>
        <v>6</v>
      </c>
      <c r="D55" s="268">
        <f>'Monthly Data'!F55</f>
        <v>36650162.657272302</v>
      </c>
      <c r="E55" s="278">
        <f t="shared" ca="1" si="6"/>
        <v>3.2341666666666669</v>
      </c>
      <c r="F55" s="278">
        <f t="shared" ca="1" si="6"/>
        <v>254.51826754405016</v>
      </c>
      <c r="G55" s="278">
        <f>'Monthly Data'!BF55</f>
        <v>9.0750000000000011</v>
      </c>
      <c r="H55" s="278">
        <f>'Monthly Data'!BK55</f>
        <v>230.72083333333327</v>
      </c>
      <c r="I55" s="278"/>
      <c r="J55" s="18">
        <f>'Monthly Data'!DG55</f>
        <v>0</v>
      </c>
      <c r="K55" s="1">
        <f>'Monthly Data'!CC55</f>
        <v>54</v>
      </c>
      <c r="M55" s="18"/>
      <c r="N55" s="18">
        <f ca="1">(E55-G55)*'Res Predicted Monthly'!$T$10</f>
        <v>-209197.86219540591</v>
      </c>
      <c r="O55" s="18">
        <f ca="1">(F55-H55)*'Res Predicted Monthly'!$T$11</f>
        <v>1394306.4977984312</v>
      </c>
      <c r="P55" s="18"/>
      <c r="Q55" s="18"/>
      <c r="R55" s="268">
        <f t="shared" ca="1" si="5"/>
        <v>37835271.292875327</v>
      </c>
    </row>
    <row r="56" spans="1:18" x14ac:dyDescent="0.25">
      <c r="A56" s="3">
        <f>'Monthly Data'!A56</f>
        <v>43647</v>
      </c>
      <c r="B56" s="1">
        <f t="shared" si="0"/>
        <v>2019</v>
      </c>
      <c r="C56" s="1">
        <f t="shared" si="1"/>
        <v>7</v>
      </c>
      <c r="D56" s="268">
        <f>'Monthly Data'!F56</f>
        <v>51398792.330054857</v>
      </c>
      <c r="E56" s="278">
        <f t="shared" ca="1" si="6"/>
        <v>0</v>
      </c>
      <c r="F56" s="278">
        <f t="shared" ca="1" si="6"/>
        <v>359.94737858727854</v>
      </c>
      <c r="G56" s="278">
        <f>'Monthly Data'!BF56</f>
        <v>0</v>
      </c>
      <c r="H56" s="278">
        <f>'Monthly Data'!BK56</f>
        <v>383.6</v>
      </c>
      <c r="I56" s="278"/>
      <c r="J56" s="18">
        <f>'Monthly Data'!DG56</f>
        <v>0</v>
      </c>
      <c r="K56" s="1">
        <f>'Monthly Data'!CC56</f>
        <v>55</v>
      </c>
      <c r="M56" s="18"/>
      <c r="N56" s="18">
        <f ca="1">(E56-G56)*'Res Predicted Monthly'!$T$10</f>
        <v>0</v>
      </c>
      <c r="O56" s="18">
        <f ca="1">(F56-H56)*'Res Predicted Monthly'!$T$11</f>
        <v>-1385821.8257358258</v>
      </c>
      <c r="P56" s="18"/>
      <c r="Q56" s="18"/>
      <c r="R56" s="268">
        <f t="shared" ca="1" si="5"/>
        <v>50012970.504319035</v>
      </c>
    </row>
    <row r="57" spans="1:18" x14ac:dyDescent="0.25">
      <c r="A57" s="3">
        <f>'Monthly Data'!A57</f>
        <v>43678</v>
      </c>
      <c r="B57" s="1">
        <f t="shared" si="0"/>
        <v>2019</v>
      </c>
      <c r="C57" s="1">
        <f t="shared" si="1"/>
        <v>8</v>
      </c>
      <c r="D57" s="268">
        <f>'Monthly Data'!F57</f>
        <v>50405166.652542427</v>
      </c>
      <c r="E57" s="278">
        <f t="shared" ca="1" si="6"/>
        <v>0</v>
      </c>
      <c r="F57" s="278">
        <f t="shared" ca="1" si="6"/>
        <v>334.96558794466404</v>
      </c>
      <c r="G57" s="278">
        <f>'Monthly Data'!BF57</f>
        <v>0</v>
      </c>
      <c r="H57" s="278">
        <f>'Monthly Data'!BK57</f>
        <v>314.07083333333338</v>
      </c>
      <c r="I57" s="278"/>
      <c r="J57" s="18">
        <f>'Monthly Data'!DG57</f>
        <v>0</v>
      </c>
      <c r="K57" s="1">
        <f>'Monthly Data'!CC57</f>
        <v>56</v>
      </c>
      <c r="M57" s="18"/>
      <c r="N57" s="18">
        <f ca="1">(E57-G57)*'Res Predicted Monthly'!$T$10</f>
        <v>0</v>
      </c>
      <c r="O57" s="18">
        <f ca="1">(F57-H57)*'Res Predicted Monthly'!$T$11</f>
        <v>1224236.6915069381</v>
      </c>
      <c r="P57" s="18"/>
      <c r="Q57" s="18"/>
      <c r="R57" s="268">
        <f t="shared" ca="1" si="5"/>
        <v>51629403.344049364</v>
      </c>
    </row>
    <row r="58" spans="1:18" x14ac:dyDescent="0.25">
      <c r="A58" s="3">
        <f>'Monthly Data'!A58</f>
        <v>43709</v>
      </c>
      <c r="B58" s="1">
        <f t="shared" si="0"/>
        <v>2019</v>
      </c>
      <c r="C58" s="1">
        <f t="shared" si="1"/>
        <v>9</v>
      </c>
      <c r="D58" s="268">
        <f>'Monthly Data'!F58</f>
        <v>40715477.639350682</v>
      </c>
      <c r="E58" s="278">
        <f t="shared" ca="1" si="6"/>
        <v>10.413369565217392</v>
      </c>
      <c r="F58" s="278">
        <f t="shared" ca="1" si="6"/>
        <v>216.57430900621117</v>
      </c>
      <c r="G58" s="278">
        <f>'Monthly Data'!BF58</f>
        <v>4.9833333333333325</v>
      </c>
      <c r="H58" s="278">
        <f>'Monthly Data'!BK58</f>
        <v>191.51666666666671</v>
      </c>
      <c r="I58" s="278"/>
      <c r="J58" s="18">
        <f>'Monthly Data'!DG58</f>
        <v>0</v>
      </c>
      <c r="K58" s="1">
        <f>'Monthly Data'!CC58</f>
        <v>57</v>
      </c>
      <c r="M58" s="18"/>
      <c r="N58" s="18">
        <f ca="1">(E58-G58)*'Res Predicted Monthly'!$T$10</f>
        <v>194484.57206798275</v>
      </c>
      <c r="O58" s="18">
        <f ca="1">(F58-H58)*'Res Predicted Monthly'!$T$11</f>
        <v>1468142.877260356</v>
      </c>
      <c r="P58" s="18"/>
      <c r="Q58" s="18"/>
      <c r="R58" s="268">
        <f t="shared" ca="1" si="5"/>
        <v>42378105.088679023</v>
      </c>
    </row>
    <row r="59" spans="1:18" x14ac:dyDescent="0.25">
      <c r="A59" s="3">
        <f>'Monthly Data'!A59</f>
        <v>43739</v>
      </c>
      <c r="B59" s="1">
        <f t="shared" si="0"/>
        <v>2019</v>
      </c>
      <c r="C59" s="1">
        <f t="shared" si="1"/>
        <v>10</v>
      </c>
      <c r="D59" s="268">
        <f>'Monthly Data'!F59</f>
        <v>35245091.017522082</v>
      </c>
      <c r="E59" s="278">
        <f t="shared" ca="1" si="6"/>
        <v>130.19639492753623</v>
      </c>
      <c r="F59" s="278">
        <f t="shared" ca="1" si="6"/>
        <v>62.266666666666673</v>
      </c>
      <c r="G59" s="278">
        <f>'Monthly Data'!BF59</f>
        <v>125.30000000000004</v>
      </c>
      <c r="H59" s="278">
        <f>'Monthly Data'!BK59</f>
        <v>37.229166666666664</v>
      </c>
      <c r="I59" s="278"/>
      <c r="J59" s="18">
        <f>'Monthly Data'!DG59</f>
        <v>0</v>
      </c>
      <c r="K59" s="1">
        <f>'Monthly Data'!CC59</f>
        <v>58</v>
      </c>
      <c r="M59" s="18"/>
      <c r="N59" s="18">
        <f ca="1">(E59-G59)*'Res Predicted Monthly'!$T$10</f>
        <v>175371.43980111298</v>
      </c>
      <c r="O59" s="18">
        <f ca="1">(F59-H59)*'Res Predicted Monthly'!$T$11</f>
        <v>1466962.7250364225</v>
      </c>
      <c r="P59" s="18"/>
      <c r="Q59" s="18"/>
      <c r="R59" s="268">
        <f t="shared" ca="1" si="5"/>
        <v>36887425.182359613</v>
      </c>
    </row>
    <row r="60" spans="1:18" x14ac:dyDescent="0.25">
      <c r="A60" s="3">
        <f>'Monthly Data'!A60</f>
        <v>43770</v>
      </c>
      <c r="B60" s="1">
        <f t="shared" ref="B60:B115" si="7">YEAR(A60)</f>
        <v>2019</v>
      </c>
      <c r="C60" s="1">
        <f t="shared" ref="C60:C115" si="8">MONTH(A60)</f>
        <v>11</v>
      </c>
      <c r="D60" s="268">
        <f>'Monthly Data'!F60</f>
        <v>40900798.175965577</v>
      </c>
      <c r="E60" s="278">
        <f t="shared" ca="1" si="6"/>
        <v>307.43824722379077</v>
      </c>
      <c r="F60" s="278">
        <f t="shared" ca="1" si="6"/>
        <v>5.6391666666666662</v>
      </c>
      <c r="G60" s="278">
        <f>'Monthly Data'!BF60</f>
        <v>409.72499999999997</v>
      </c>
      <c r="H60" s="278">
        <f>'Monthly Data'!BK60</f>
        <v>0</v>
      </c>
      <c r="I60" s="278"/>
      <c r="J60" s="18">
        <f>'Monthly Data'!DG60</f>
        <v>0</v>
      </c>
      <c r="K60" s="1">
        <f>'Monthly Data'!CC60</f>
        <v>59</v>
      </c>
      <c r="M60" s="18"/>
      <c r="N60" s="18">
        <f ca="1">(E60-G60)*'Res Predicted Monthly'!$T$10</f>
        <v>-3663547.441008925</v>
      </c>
      <c r="O60" s="18">
        <f ca="1">(F60-H60)*'Res Predicted Monthly'!$T$11</f>
        <v>330402.28857784881</v>
      </c>
      <c r="P60" s="18"/>
      <c r="Q60" s="18"/>
      <c r="R60" s="268">
        <f t="shared" ca="1" si="5"/>
        <v>37567653.023534499</v>
      </c>
    </row>
    <row r="61" spans="1:18" x14ac:dyDescent="0.25">
      <c r="A61" s="3">
        <f>'Monthly Data'!A61</f>
        <v>43800</v>
      </c>
      <c r="B61" s="1">
        <f t="shared" si="7"/>
        <v>2019</v>
      </c>
      <c r="C61" s="1">
        <f t="shared" si="8"/>
        <v>12</v>
      </c>
      <c r="D61" s="268">
        <f>'Monthly Data'!F61</f>
        <v>46344241.546475172</v>
      </c>
      <c r="E61" s="278">
        <f t="shared" ca="1" si="6"/>
        <v>453.92800724637681</v>
      </c>
      <c r="F61" s="278">
        <f t="shared" ca="1" si="6"/>
        <v>0.12791666666666668</v>
      </c>
      <c r="G61" s="278">
        <f>'Monthly Data'!BF61</f>
        <v>490.42916666666656</v>
      </c>
      <c r="H61" s="278">
        <f>'Monthly Data'!BK61</f>
        <v>0</v>
      </c>
      <c r="I61" s="278"/>
      <c r="J61" s="18">
        <f>'Monthly Data'!DG61</f>
        <v>0</v>
      </c>
      <c r="K61" s="1">
        <f>'Monthly Data'!CC61</f>
        <v>60</v>
      </c>
      <c r="M61" s="18"/>
      <c r="N61" s="18">
        <f ca="1">(E61-G61)*'Res Predicted Monthly'!$T$10</f>
        <v>-1307341.6210663405</v>
      </c>
      <c r="O61" s="18">
        <f ca="1">(F61-H61)*'Res Predicted Monthly'!$T$11</f>
        <v>7494.7172006354076</v>
      </c>
      <c r="P61" s="18"/>
      <c r="Q61" s="18"/>
      <c r="R61" s="268">
        <f t="shared" ca="1" si="5"/>
        <v>45044394.64260947</v>
      </c>
    </row>
    <row r="62" spans="1:18" x14ac:dyDescent="0.25">
      <c r="A62" s="3">
        <f>'Monthly Data'!A62</f>
        <v>43831</v>
      </c>
      <c r="B62" s="1">
        <f t="shared" si="7"/>
        <v>2020</v>
      </c>
      <c r="C62" s="1">
        <f t="shared" si="8"/>
        <v>1</v>
      </c>
      <c r="D62" s="268">
        <f>'Monthly Data'!F62</f>
        <v>48338968.594280884</v>
      </c>
      <c r="E62" s="278">
        <f t="shared" ca="1" si="6"/>
        <v>573.33418478260865</v>
      </c>
      <c r="F62" s="278">
        <f t="shared" ca="1" si="6"/>
        <v>0</v>
      </c>
      <c r="G62" s="278">
        <f>'Monthly Data'!BF62</f>
        <v>504.82083333333333</v>
      </c>
      <c r="H62" s="278">
        <f>'Monthly Data'!BK62</f>
        <v>0</v>
      </c>
      <c r="I62" s="278"/>
      <c r="J62" s="18">
        <f>'Monthly Data'!DG62</f>
        <v>0</v>
      </c>
      <c r="K62" s="1">
        <f>'Monthly Data'!CC62</f>
        <v>61</v>
      </c>
      <c r="M62" s="18"/>
      <c r="N62" s="18">
        <f ca="1">(E62-G62)*'Res Predicted Monthly'!$T$10</f>
        <v>2453904.4066253519</v>
      </c>
      <c r="O62" s="18">
        <f ca="1">(F62-H62)*'Res Predicted Monthly'!$T$11</f>
        <v>0</v>
      </c>
      <c r="P62" s="18"/>
      <c r="Q62" s="18"/>
      <c r="R62" s="268">
        <f t="shared" ca="1" si="5"/>
        <v>50792873.000906236</v>
      </c>
    </row>
    <row r="63" spans="1:18" x14ac:dyDescent="0.25">
      <c r="A63" s="3">
        <f>'Monthly Data'!A63</f>
        <v>43862</v>
      </c>
      <c r="B63" s="1">
        <f t="shared" si="7"/>
        <v>2020</v>
      </c>
      <c r="C63" s="1">
        <f t="shared" si="8"/>
        <v>2</v>
      </c>
      <c r="D63" s="268">
        <f>'Monthly Data'!F63</f>
        <v>45824867.163535185</v>
      </c>
      <c r="E63" s="278">
        <f t="shared" ca="1" si="6"/>
        <v>511.05501811594206</v>
      </c>
      <c r="F63" s="278">
        <f t="shared" ca="1" si="6"/>
        <v>0</v>
      </c>
      <c r="G63" s="278">
        <f>'Monthly Data'!BF63</f>
        <v>504.40000000000003</v>
      </c>
      <c r="H63" s="278">
        <f>'Monthly Data'!BK63</f>
        <v>0</v>
      </c>
      <c r="I63" s="278"/>
      <c r="J63" s="18">
        <f>'Monthly Data'!DG63</f>
        <v>0</v>
      </c>
      <c r="K63" s="1">
        <f>'Monthly Data'!CC63</f>
        <v>62</v>
      </c>
      <c r="M63" s="18"/>
      <c r="N63" s="18">
        <f ca="1">(E63-G63)*'Res Predicted Monthly'!$T$10</f>
        <v>238359.06338595005</v>
      </c>
      <c r="O63" s="18">
        <f ca="1">(F63-H63)*'Res Predicted Monthly'!$T$11</f>
        <v>0</v>
      </c>
      <c r="P63" s="18"/>
      <c r="Q63" s="18"/>
      <c r="R63" s="268">
        <f t="shared" ca="1" si="5"/>
        <v>46063226.226921134</v>
      </c>
    </row>
    <row r="64" spans="1:18"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278">
        <f>'Monthly Data'!BF64</f>
        <v>357.57083333333344</v>
      </c>
      <c r="H64" s="278">
        <f>'Monthly Data'!BK64</f>
        <v>3.7499999999999645E-2</v>
      </c>
      <c r="I64" s="278">
        <f ca="1">F64*'Monthly Data'!CH64</f>
        <v>0.25937499999999963</v>
      </c>
      <c r="J64" s="18">
        <f>'Monthly Data'!DG64</f>
        <v>0</v>
      </c>
      <c r="K64" s="1">
        <f>'Monthly Data'!CC64</f>
        <v>63</v>
      </c>
      <c r="M64" s="18"/>
      <c r="N64" s="18">
        <f ca="1">(E64-G64)*'Res Predicted Monthly'!$T$10</f>
        <v>2312386.640858382</v>
      </c>
      <c r="O64" s="18">
        <f ca="1">(F64-H64)*'Res Predicted Monthly'!$T$11</f>
        <v>28196.737350924715</v>
      </c>
      <c r="P64" s="18">
        <f ca="1">(I64-J64)*'Res Predicted Monthly'!$T$12</f>
        <v>3931.8303187770807</v>
      </c>
      <c r="Q64" s="18"/>
      <c r="R64" s="268">
        <f t="shared" ca="1" si="5"/>
        <v>42659434.070319131</v>
      </c>
    </row>
    <row r="65" spans="1:18" x14ac:dyDescent="0.25">
      <c r="A65" s="3">
        <f>'Monthly Data'!A65</f>
        <v>43922</v>
      </c>
      <c r="B65" s="1">
        <f t="shared" si="7"/>
        <v>2020</v>
      </c>
      <c r="C65" s="1">
        <f t="shared" si="8"/>
        <v>4</v>
      </c>
      <c r="D65" s="268">
        <f>'Monthly Data'!F65</f>
        <v>41695243.05434832</v>
      </c>
      <c r="E65" s="278">
        <f t="shared" ca="1" si="6"/>
        <v>234.57024621212122</v>
      </c>
      <c r="F65" s="278">
        <f t="shared" ca="1" si="6"/>
        <v>12.79125</v>
      </c>
      <c r="G65" s="278">
        <f>'Monthly Data'!BF65</f>
        <v>259.67500000000007</v>
      </c>
      <c r="H65" s="278">
        <f>'Monthly Data'!BK65</f>
        <v>2.1541666666666721</v>
      </c>
      <c r="I65" s="278">
        <f ca="1">F65*'Monthly Data'!CH65</f>
        <v>12.79125</v>
      </c>
      <c r="J65" s="18">
        <f>'Monthly Data'!DG65</f>
        <v>0</v>
      </c>
      <c r="K65" s="1">
        <f>'Monthly Data'!CC65</f>
        <v>64</v>
      </c>
      <c r="M65" s="18"/>
      <c r="N65" s="18">
        <f ca="1">(E65-G65)*'Res Predicted Monthly'!$T$10</f>
        <v>-899162.93166493473</v>
      </c>
      <c r="O65" s="18">
        <f ca="1">(F65-H65)*'Res Predicted Monthly'!$T$11</f>
        <v>623233.34011407557</v>
      </c>
      <c r="P65" s="18">
        <f ca="1">(I65-J65)*'Res Predicted Monthly'!$T$12</f>
        <v>193900.81760022131</v>
      </c>
      <c r="Q65" s="18"/>
      <c r="R65" s="268">
        <f t="shared" ca="1" si="5"/>
        <v>41419313.462797455</v>
      </c>
    </row>
    <row r="66" spans="1:18"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278">
        <f>'Monthly Data'!BF66</f>
        <v>122.05</v>
      </c>
      <c r="H66" s="278">
        <f>'Monthly Data'!BK66</f>
        <v>111.87976190476191</v>
      </c>
      <c r="I66" s="278">
        <f ca="1">F66*'Monthly Data'!CH66</f>
        <v>130.22445928308915</v>
      </c>
      <c r="J66" s="18">
        <f>'Monthly Data'!DG66</f>
        <v>77.750595238095229</v>
      </c>
      <c r="K66" s="1">
        <f>'Monthly Data'!CC66</f>
        <v>65</v>
      </c>
      <c r="M66" s="18"/>
      <c r="N66" s="18">
        <f ca="1">(E66-G66)*'Res Predicted Monthly'!$T$10</f>
        <v>-2068585.3840134838</v>
      </c>
      <c r="O66" s="18">
        <f ca="1">(F66-H66)*'Res Predicted Monthly'!$T$11</f>
        <v>1074827.2493691237</v>
      </c>
      <c r="P66" s="18">
        <f ca="1">(I66-J66)*'Res Predicted Monthly'!$T$12</f>
        <v>795444.16229588015</v>
      </c>
      <c r="Q66" s="18"/>
      <c r="R66" s="268">
        <f t="shared" ref="R66:R97" ca="1" si="9">D66+N66+O66</f>
        <v>38372841.699651867</v>
      </c>
    </row>
    <row r="67" spans="1:18"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278">
        <f>'Monthly Data'!BF67</f>
        <v>3.4333333333333353</v>
      </c>
      <c r="H67" s="278">
        <f>'Monthly Data'!BK67</f>
        <v>282.53623188405788</v>
      </c>
      <c r="I67" s="278">
        <f ca="1">F67*'Monthly Data'!CH67</f>
        <v>254.51826754405016</v>
      </c>
      <c r="J67" s="18">
        <f>'Monthly Data'!DG67</f>
        <v>222.53623188405788</v>
      </c>
      <c r="K67" s="1">
        <f>'Monthly Data'!CC67</f>
        <v>66</v>
      </c>
      <c r="M67" s="18"/>
      <c r="N67" s="18">
        <f ca="1">(E67-G67)*'Res Predicted Monthly'!$T$10</f>
        <v>-7133.44115632793</v>
      </c>
      <c r="O67" s="18">
        <f ca="1">(F67-H67)*'Res Predicted Monthly'!$T$11</f>
        <v>-1641589.9877460222</v>
      </c>
      <c r="P67" s="18">
        <f ca="1">(I67-J67)*'Res Predicted Monthly'!$T$12</f>
        <v>484811.32516305568</v>
      </c>
      <c r="Q67" s="18"/>
      <c r="R67" s="268">
        <f t="shared" ca="1" si="9"/>
        <v>45505374.193444051</v>
      </c>
    </row>
    <row r="68" spans="1:18" x14ac:dyDescent="0.25">
      <c r="A68" s="3">
        <f>'Monthly Data'!A68</f>
        <v>44013</v>
      </c>
      <c r="B68" s="1">
        <f t="shared" si="7"/>
        <v>2020</v>
      </c>
      <c r="C68" s="1">
        <f t="shared" si="8"/>
        <v>7</v>
      </c>
      <c r="D68" s="268">
        <f>'Monthly Data'!F68</f>
        <v>60194460.576176599</v>
      </c>
      <c r="E68" s="278">
        <f t="shared" ca="1" si="6"/>
        <v>0</v>
      </c>
      <c r="F68" s="278">
        <f t="shared" ca="1" si="6"/>
        <v>359.94737858727854</v>
      </c>
      <c r="G68" s="278">
        <f>'Monthly Data'!BF68</f>
        <v>0</v>
      </c>
      <c r="H68" s="278">
        <f>'Monthly Data'!BK68</f>
        <v>432.88750000000005</v>
      </c>
      <c r="I68" s="278">
        <f ca="1">F68*'Monthly Data'!CH68</f>
        <v>359.94737858727854</v>
      </c>
      <c r="J68" s="18">
        <f>'Monthly Data'!DG68</f>
        <v>370.88750000000005</v>
      </c>
      <c r="K68" s="1">
        <f>'Monthly Data'!CC68</f>
        <v>67</v>
      </c>
      <c r="M68" s="18"/>
      <c r="N68" s="18">
        <f ca="1">(E68-G68)*'Res Predicted Monthly'!$T$10</f>
        <v>0</v>
      </c>
      <c r="O68" s="18">
        <f ca="1">(F68-H68)*'Res Predicted Monthly'!$T$11</f>
        <v>-4273607.1601435216</v>
      </c>
      <c r="P68" s="18">
        <f ca="1">(I68-J68)*'Res Predicted Monthly'!$T$12</f>
        <v>-165839.81132198879</v>
      </c>
      <c r="Q68" s="18"/>
      <c r="R68" s="268">
        <f t="shared" ca="1" si="9"/>
        <v>55920853.416033074</v>
      </c>
    </row>
    <row r="69" spans="1:18" x14ac:dyDescent="0.25">
      <c r="A69" s="3">
        <f>'Monthly Data'!A69</f>
        <v>44044</v>
      </c>
      <c r="B69" s="1">
        <f t="shared" si="7"/>
        <v>2020</v>
      </c>
      <c r="C69" s="1">
        <f t="shared" si="8"/>
        <v>8</v>
      </c>
      <c r="D69" s="268">
        <f>'Monthly Data'!F69</f>
        <v>55662667.072527848</v>
      </c>
      <c r="E69" s="278">
        <f t="shared" ca="1" si="6"/>
        <v>0</v>
      </c>
      <c r="F69" s="278">
        <f t="shared" ca="1" si="6"/>
        <v>334.96558794466404</v>
      </c>
      <c r="G69" s="278">
        <f>'Monthly Data'!BF69</f>
        <v>0</v>
      </c>
      <c r="H69" s="278">
        <f>'Monthly Data'!BK69</f>
        <v>340.93106060606056</v>
      </c>
      <c r="I69" s="278">
        <f ca="1">F69*'Monthly Data'!CH69</f>
        <v>334.96558794466404</v>
      </c>
      <c r="J69" s="18">
        <f>'Monthly Data'!DG69</f>
        <v>278.93106060606061</v>
      </c>
      <c r="K69" s="1">
        <f>'Monthly Data'!CC69</f>
        <v>68</v>
      </c>
      <c r="M69" s="18"/>
      <c r="N69" s="18">
        <f ca="1">(E69-G69)*'Res Predicted Monthly'!$T$10</f>
        <v>0</v>
      </c>
      <c r="O69" s="18">
        <f ca="1">(F69-H69)*'Res Predicted Monthly'!$T$11</f>
        <v>-349520.76011952123</v>
      </c>
      <c r="P69" s="18">
        <f ca="1">(I69-J69)*'Res Predicted Monthly'!$T$12</f>
        <v>849419.77248487493</v>
      </c>
      <c r="Q69" s="18"/>
      <c r="R69" s="268">
        <f t="shared" ca="1" si="9"/>
        <v>55313146.312408328</v>
      </c>
    </row>
    <row r="70" spans="1:18"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278">
        <f>'Monthly Data'!BF70</f>
        <v>23.967028985507248</v>
      </c>
      <c r="H70" s="278">
        <f>'Monthly Data'!BK70</f>
        <v>174.07880434782609</v>
      </c>
      <c r="I70" s="278">
        <f ca="1">F70*'Monthly Data'!CH70</f>
        <v>216.57430900621117</v>
      </c>
      <c r="J70" s="18">
        <f>'Monthly Data'!DG70</f>
        <v>120.81213768115938</v>
      </c>
      <c r="K70" s="1">
        <f>'Monthly Data'!CC70</f>
        <v>69</v>
      </c>
      <c r="M70" s="18"/>
      <c r="N70" s="18">
        <f ca="1">(E70-G70)*'Res Predicted Monthly'!$T$10</f>
        <v>-485443.84231404116</v>
      </c>
      <c r="O70" s="18">
        <f ca="1">(F70-H70)*'Res Predicted Monthly'!$T$11</f>
        <v>2489838.0954752886</v>
      </c>
      <c r="P70" s="18">
        <f ca="1">(I70-J70)*'Res Predicted Monthly'!$T$12</f>
        <v>1451645.7199335489</v>
      </c>
      <c r="Q70" s="18"/>
      <c r="R70" s="268">
        <f t="shared" ca="1" si="9"/>
        <v>46337174.73106271</v>
      </c>
    </row>
    <row r="71" spans="1:18"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278">
        <f>'Monthly Data'!BF71</f>
        <v>167.76250000000005</v>
      </c>
      <c r="H71" s="278">
        <f>'Monthly Data'!BK71</f>
        <v>31.466666666666676</v>
      </c>
      <c r="I71" s="278">
        <f ca="1">F71*'Monthly Data'!CH71</f>
        <v>62.266666666666673</v>
      </c>
      <c r="J71" s="18">
        <f>'Monthly Data'!DG71</f>
        <v>10.262500000000003</v>
      </c>
      <c r="K71" s="1">
        <f>'Monthly Data'!CC71</f>
        <v>70</v>
      </c>
      <c r="M71" s="18"/>
      <c r="N71" s="18">
        <f ca="1">(E71-G71)*'Res Predicted Monthly'!$T$10</f>
        <v>-1345484.1841348135</v>
      </c>
      <c r="O71" s="18">
        <f ca="1">(F71-H71)*'Res Predicted Monthly'!$T$11</f>
        <v>1804591.1904591832</v>
      </c>
      <c r="P71" s="18">
        <f ca="1">(I71-J71)*'Res Predicted Monthly'!$T$12</f>
        <v>788324.08367320185</v>
      </c>
      <c r="Q71" s="18"/>
      <c r="R71" s="268">
        <f t="shared" ca="1" si="9"/>
        <v>36910217.776165605</v>
      </c>
    </row>
    <row r="72" spans="1:18"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278">
        <f>'Monthly Data'!BF72</f>
        <v>246.30072463768118</v>
      </c>
      <c r="H72" s="278">
        <f>'Monthly Data'!BK72</f>
        <v>9.9624999999999932</v>
      </c>
      <c r="I72" s="278">
        <f ca="1">F72*'Monthly Data'!CH72</f>
        <v>5.6391666666666662</v>
      </c>
      <c r="J72" s="18">
        <f>'Monthly Data'!DG72</f>
        <v>1.8291666666666622</v>
      </c>
      <c r="K72" s="1">
        <f>'Monthly Data'!CC72</f>
        <v>71</v>
      </c>
      <c r="M72" s="18"/>
      <c r="N72" s="18">
        <f ca="1">(E72-G72)*'Res Predicted Monthly'!$T$10</f>
        <v>2189728.4676736994</v>
      </c>
      <c r="O72" s="18">
        <f ca="1">(F72-H72)*'Res Predicted Monthly'!$T$11</f>
        <v>-253306.79372570966</v>
      </c>
      <c r="P72" s="18">
        <f ca="1">(I72-J72)*'Res Predicted Monthly'!$T$12</f>
        <v>57755.271381361788</v>
      </c>
      <c r="Q72" s="18"/>
      <c r="R72" s="268">
        <f t="shared" ca="1" si="9"/>
        <v>41539755.7171086</v>
      </c>
    </row>
    <row r="73" spans="1:18"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278">
        <f>'Monthly Data'!BF73</f>
        <v>458.90416666666681</v>
      </c>
      <c r="H73" s="278">
        <f>'Monthly Data'!BK73</f>
        <v>0</v>
      </c>
      <c r="I73" s="278">
        <f ca="1">F73*'Monthly Data'!CH73</f>
        <v>0.12791666666666668</v>
      </c>
      <c r="J73" s="18">
        <f>'Monthly Data'!DG73</f>
        <v>0</v>
      </c>
      <c r="K73" s="1">
        <f>'Monthly Data'!CC73</f>
        <v>72</v>
      </c>
      <c r="M73" s="18"/>
      <c r="N73" s="18">
        <f ca="1">(E73-G73)*'Res Predicted Monthly'!$T$10</f>
        <v>-178228.32004591791</v>
      </c>
      <c r="O73" s="18">
        <f ca="1">(F73-H73)*'Res Predicted Monthly'!$T$11</f>
        <v>7494.7172006354076</v>
      </c>
      <c r="P73" s="18">
        <f ca="1">(I73-J73)*'Res Predicted Monthly'!$T$12</f>
        <v>1939.071337935045</v>
      </c>
      <c r="Q73" s="18"/>
      <c r="R73" s="268">
        <f t="shared" ca="1" si="9"/>
        <v>45924625.496630087</v>
      </c>
    </row>
    <row r="74" spans="1:18"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278">
        <f>'Monthly Data'!BF74</f>
        <v>529.50416666666661</v>
      </c>
      <c r="H74" s="278">
        <f>'Monthly Data'!BK74</f>
        <v>0</v>
      </c>
      <c r="I74" s="278">
        <f ca="1">F74*'Monthly Data'!CH74</f>
        <v>0</v>
      </c>
      <c r="J74" s="18">
        <f>'Monthly Data'!DG74</f>
        <v>0</v>
      </c>
      <c r="K74" s="1">
        <f>'Monthly Data'!CC74</f>
        <v>73</v>
      </c>
      <c r="M74" s="18"/>
      <c r="N74" s="18">
        <f ca="1">(E74-G74)*'Res Predicted Monthly'!$T$10</f>
        <v>1569835.255786729</v>
      </c>
      <c r="O74" s="18">
        <f ca="1">(F74-H74)*'Res Predicted Monthly'!$T$11</f>
        <v>0</v>
      </c>
      <c r="P74" s="18">
        <f ca="1">(I74-J74)*'Res Predicted Monthly'!$T$12</f>
        <v>0</v>
      </c>
      <c r="Q74" s="18"/>
      <c r="R74" s="268">
        <f t="shared" ca="1" si="9"/>
        <v>53154751.359392971</v>
      </c>
    </row>
    <row r="75" spans="1:18" x14ac:dyDescent="0.25">
      <c r="A75" s="3">
        <f>'Monthly Data'!A75</f>
        <v>44228</v>
      </c>
      <c r="B75" s="1">
        <f t="shared" si="7"/>
        <v>2021</v>
      </c>
      <c r="C75" s="1">
        <f t="shared" si="8"/>
        <v>2</v>
      </c>
      <c r="D75" s="268">
        <f>'Monthly Data'!F75</f>
        <v>50363307.607176967</v>
      </c>
      <c r="E75" s="278">
        <f t="shared" ca="1" si="10"/>
        <v>511.05501811594206</v>
      </c>
      <c r="F75" s="278">
        <f t="shared" ca="1" si="10"/>
        <v>0</v>
      </c>
      <c r="G75" s="278">
        <f>'Monthly Data'!BF75</f>
        <v>541.45416666666677</v>
      </c>
      <c r="H75" s="278">
        <f>'Monthly Data'!BK75</f>
        <v>0</v>
      </c>
      <c r="I75" s="278">
        <f ca="1">F75*'Monthly Data'!CH75</f>
        <v>0</v>
      </c>
      <c r="J75" s="18">
        <f>'Monthly Data'!DG75</f>
        <v>0</v>
      </c>
      <c r="K75" s="1">
        <f>'Monthly Data'!CC75</f>
        <v>74</v>
      </c>
      <c r="M75" s="18"/>
      <c r="N75" s="18">
        <f ca="1">(E75-G75)*'Res Predicted Monthly'!$T$10</f>
        <v>-1088789.3090664309</v>
      </c>
      <c r="O75" s="18">
        <f ca="1">(F75-H75)*'Res Predicted Monthly'!$T$11</f>
        <v>0</v>
      </c>
      <c r="P75" s="18">
        <f ca="1">(I75-J75)*'Res Predicted Monthly'!$T$12</f>
        <v>0</v>
      </c>
      <c r="Q75" s="18"/>
      <c r="R75" s="268">
        <f t="shared" ca="1" si="9"/>
        <v>49274518.298110537</v>
      </c>
    </row>
    <row r="76" spans="1:18"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278">
        <f>'Monthly Data'!BF76</f>
        <v>368.59637681159427</v>
      </c>
      <c r="H76" s="278">
        <f>'Monthly Data'!BK76</f>
        <v>5.1499999999999932</v>
      </c>
      <c r="I76" s="278">
        <f ca="1">F76*'Monthly Data'!CH76</f>
        <v>0.38906249999999942</v>
      </c>
      <c r="J76" s="18">
        <f>'Monthly Data'!DG76</f>
        <v>0.22187499999999671</v>
      </c>
      <c r="K76" s="1">
        <f>'Monthly Data'!CC76</f>
        <v>75</v>
      </c>
      <c r="M76" s="18"/>
      <c r="N76" s="18">
        <f ca="1">(E76-G76)*'Res Predicted Monthly'!$T$10</f>
        <v>1917490.9139025258</v>
      </c>
      <c r="O76" s="18">
        <f ca="1">(F76-H76)*'Res Predicted Monthly'!$T$11</f>
        <v>-271347.82307837927</v>
      </c>
      <c r="P76" s="18">
        <f ca="1">(I76-J76)*'Res Predicted Monthly'!$T$12</f>
        <v>2534.3725548744278</v>
      </c>
      <c r="Q76" s="18"/>
      <c r="R76" s="268">
        <f t="shared" ca="1" si="9"/>
        <v>43231730.305614121</v>
      </c>
    </row>
    <row r="77" spans="1:18" x14ac:dyDescent="0.25">
      <c r="A77" s="3">
        <f>'Monthly Data'!A77</f>
        <v>44287</v>
      </c>
      <c r="B77" s="1">
        <f t="shared" si="7"/>
        <v>2021</v>
      </c>
      <c r="C77" s="1">
        <f t="shared" si="8"/>
        <v>4</v>
      </c>
      <c r="D77" s="268">
        <f>'Monthly Data'!F77</f>
        <v>39269226.956045598</v>
      </c>
      <c r="E77" s="278">
        <f t="shared" ca="1" si="10"/>
        <v>234.57024621212122</v>
      </c>
      <c r="F77" s="278">
        <f t="shared" ca="1" si="10"/>
        <v>12.79125</v>
      </c>
      <c r="G77" s="278">
        <f>'Monthly Data'!BF77</f>
        <v>203.50416666666672</v>
      </c>
      <c r="H77" s="278">
        <f>'Monthly Data'!BK77</f>
        <v>22.362499999999997</v>
      </c>
      <c r="I77" s="278">
        <f ca="1">F77*'Monthly Data'!CH77</f>
        <v>9.5934375000000003</v>
      </c>
      <c r="J77" s="18">
        <f>'Monthly Data'!DG77</f>
        <v>8.2906249999999986</v>
      </c>
      <c r="K77" s="1">
        <f>'Monthly Data'!CC77</f>
        <v>76</v>
      </c>
      <c r="M77" s="18"/>
      <c r="N77" s="18">
        <f ca="1">(E77-G77)*'Res Predicted Monthly'!$T$10</f>
        <v>1112676.4036584119</v>
      </c>
      <c r="O77" s="18">
        <f ca="1">(F77-H77)*'Res Predicted Monthly'!$T$11</f>
        <v>-560785.50102865102</v>
      </c>
      <c r="P77" s="18">
        <f ca="1">(I77-J77)*'Res Predicted Monthly'!$T$12</f>
        <v>19749.157348170716</v>
      </c>
      <c r="Q77" s="18"/>
      <c r="R77" s="268">
        <f t="shared" ca="1" si="9"/>
        <v>39821117.858675361</v>
      </c>
    </row>
    <row r="78" spans="1:18"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278">
        <f>'Monthly Data'!BF78</f>
        <v>83.376388888888897</v>
      </c>
      <c r="H78" s="278">
        <f>'Monthly Data'!BK78</f>
        <v>120.51527777777777</v>
      </c>
      <c r="I78" s="278">
        <f ca="1">F78*'Monthly Data'!CH78</f>
        <v>97.668344462316867</v>
      </c>
      <c r="J78" s="18">
        <f>'Monthly Data'!DG78</f>
        <v>62.442708333333314</v>
      </c>
      <c r="K78" s="1">
        <f>'Monthly Data'!CC78</f>
        <v>77</v>
      </c>
      <c r="M78" s="18"/>
      <c r="N78" s="18">
        <f ca="1">(E78-G78)*'Res Predicted Monthly'!$T$10</f>
        <v>-683434.27524117322</v>
      </c>
      <c r="O78" s="18">
        <f ca="1">(F78-H78)*'Res Predicted Monthly'!$T$11</f>
        <v>568866.99386539427</v>
      </c>
      <c r="P78" s="18">
        <f ca="1">(I78-J78)*'Res Predicted Monthly'!$T$12</f>
        <v>533980.62315237417</v>
      </c>
      <c r="Q78" s="18"/>
      <c r="R78" s="268">
        <f t="shared" ca="1" si="9"/>
        <v>38322665.689887546</v>
      </c>
    </row>
    <row r="79" spans="1:18"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278">
        <f>'Monthly Data'!BF79</f>
        <v>0</v>
      </c>
      <c r="H79" s="278">
        <f>'Monthly Data'!BK79</f>
        <v>301.67500000000001</v>
      </c>
      <c r="I79" s="278">
        <f ca="1">F79*'Monthly Data'!CH79</f>
        <v>190.88870065803764</v>
      </c>
      <c r="J79" s="18">
        <f>'Monthly Data'!DG79</f>
        <v>181.25625000000002</v>
      </c>
      <c r="K79" s="1">
        <f>'Monthly Data'!CC79</f>
        <v>78</v>
      </c>
      <c r="M79" s="18"/>
      <c r="N79" s="18">
        <f ca="1">(E79-G79)*'Res Predicted Monthly'!$T$10</f>
        <v>115836.33944647886</v>
      </c>
      <c r="O79" s="18">
        <f ca="1">(F79-H79)*'Res Predicted Monthly'!$T$11</f>
        <v>-2762942.3363911607</v>
      </c>
      <c r="P79" s="18">
        <f ca="1">(I79-J79)*'Res Predicted Monthly'!$T$12</f>
        <v>146017.00835237236</v>
      </c>
      <c r="Q79" s="18"/>
      <c r="R79" s="268">
        <f t="shared" ca="1" si="9"/>
        <v>43508344.749071687</v>
      </c>
    </row>
    <row r="80" spans="1:18" x14ac:dyDescent="0.25">
      <c r="A80" s="3">
        <f>'Monthly Data'!A80</f>
        <v>44378</v>
      </c>
      <c r="B80" s="1">
        <f t="shared" si="7"/>
        <v>2021</v>
      </c>
      <c r="C80" s="1">
        <f t="shared" si="8"/>
        <v>7</v>
      </c>
      <c r="D80" s="268">
        <f>'Monthly Data'!F80</f>
        <v>49489787.815358631</v>
      </c>
      <c r="E80" s="278">
        <f t="shared" ca="1" si="10"/>
        <v>0</v>
      </c>
      <c r="F80" s="278">
        <f t="shared" ca="1" si="10"/>
        <v>359.94737858727854</v>
      </c>
      <c r="G80" s="278">
        <f>'Monthly Data'!BF80</f>
        <v>0</v>
      </c>
      <c r="H80" s="278">
        <f>'Monthly Data'!BK80</f>
        <v>316.87499999999994</v>
      </c>
      <c r="I80" s="278">
        <f ca="1">F80*'Monthly Data'!CH80</f>
        <v>269.9605339404589</v>
      </c>
      <c r="J80" s="18">
        <f>'Monthly Data'!DG80</f>
        <v>191.15624999999994</v>
      </c>
      <c r="K80" s="1">
        <f>'Monthly Data'!CC80</f>
        <v>79</v>
      </c>
      <c r="M80" s="18"/>
      <c r="N80" s="18">
        <f ca="1">(E80-G80)*'Res Predicted Monthly'!$T$10</f>
        <v>0</v>
      </c>
      <c r="O80" s="18">
        <f ca="1">(F80-H80)*'Res Predicted Monthly'!$T$11</f>
        <v>2523637.4984001853</v>
      </c>
      <c r="P80" s="18">
        <f ca="1">(I80-J80)*'Res Predicted Monthly'!$T$12</f>
        <v>1194583.4133845388</v>
      </c>
      <c r="Q80" s="18"/>
      <c r="R80" s="268">
        <f t="shared" ca="1" si="9"/>
        <v>52013425.31375882</v>
      </c>
    </row>
    <row r="81" spans="1:18" x14ac:dyDescent="0.25">
      <c r="A81" s="3">
        <f>'Monthly Data'!A81</f>
        <v>44409</v>
      </c>
      <c r="B81" s="1">
        <f t="shared" si="7"/>
        <v>2021</v>
      </c>
      <c r="C81" s="1">
        <f t="shared" si="8"/>
        <v>8</v>
      </c>
      <c r="D81" s="268">
        <f>'Monthly Data'!F81</f>
        <v>55294718.577662736</v>
      </c>
      <c r="E81" s="278">
        <f t="shared" ca="1" si="10"/>
        <v>0</v>
      </c>
      <c r="F81" s="278">
        <f t="shared" ca="1" si="10"/>
        <v>334.96558794466404</v>
      </c>
      <c r="G81" s="278">
        <f>'Monthly Data'!BF81</f>
        <v>0</v>
      </c>
      <c r="H81" s="278">
        <f>'Monthly Data'!BK81</f>
        <v>390.06249999999989</v>
      </c>
      <c r="I81" s="278">
        <f ca="1">F81*'Monthly Data'!CH81</f>
        <v>251.22419095849801</v>
      </c>
      <c r="J81" s="18">
        <f>'Monthly Data'!DG81</f>
        <v>246.04687499999991</v>
      </c>
      <c r="K81" s="1">
        <f>'Monthly Data'!CC81</f>
        <v>80</v>
      </c>
      <c r="M81" s="18"/>
      <c r="N81" s="18">
        <f ca="1">(E81-G81)*'Res Predicted Monthly'!$T$10</f>
        <v>0</v>
      </c>
      <c r="O81" s="18">
        <f ca="1">(F81-H81)*'Res Predicted Monthly'!$T$11</f>
        <v>-3228162.4063819302</v>
      </c>
      <c r="P81" s="18">
        <f ca="1">(I81-J81)*'Res Predicted Monthly'!$T$12</f>
        <v>78482.227876669975</v>
      </c>
      <c r="Q81" s="18"/>
      <c r="R81" s="268">
        <f t="shared" ca="1" si="9"/>
        <v>52066556.171280809</v>
      </c>
    </row>
    <row r="82" spans="1:18"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278">
        <f>'Monthly Data'!BF82</f>
        <v>5.9833333333333432</v>
      </c>
      <c r="H82" s="278">
        <f>'Monthly Data'!BK82</f>
        <v>209.27500000000001</v>
      </c>
      <c r="I82" s="278">
        <f ca="1">F82*'Monthly Data'!CH82</f>
        <v>162.43073175465838</v>
      </c>
      <c r="J82" s="18">
        <f>'Monthly Data'!DG82</f>
        <v>112.16874999999996</v>
      </c>
      <c r="K82" s="1">
        <f>'Monthly Data'!CC82</f>
        <v>81</v>
      </c>
      <c r="M82" s="18"/>
      <c r="N82" s="18">
        <f ca="1">(E82-G82)*'Res Predicted Monthly'!$T$10</f>
        <v>158668.13111570856</v>
      </c>
      <c r="O82" s="18">
        <f ca="1">(F82-H82)*'Res Predicted Monthly'!$T$11</f>
        <v>427671.06263142976</v>
      </c>
      <c r="P82" s="18">
        <f ca="1">(I82-J82)*'Res Predicted Monthly'!$T$12</f>
        <v>761914.5397389367</v>
      </c>
      <c r="Q82" s="18"/>
      <c r="R82" s="268">
        <f t="shared" ca="1" si="9"/>
        <v>48428857.859983422</v>
      </c>
    </row>
    <row r="83" spans="1:18"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278">
        <f>'Monthly Data'!BF83</f>
        <v>72.749999999999986</v>
      </c>
      <c r="H83" s="278">
        <f>'Monthly Data'!BK83</f>
        <v>118.07916666666668</v>
      </c>
      <c r="I83" s="278">
        <f ca="1">F83*'Monthly Data'!CH83</f>
        <v>46.7</v>
      </c>
      <c r="J83" s="18">
        <f>'Monthly Data'!DG83</f>
        <v>58.484375000000014</v>
      </c>
      <c r="K83" s="1">
        <f>'Monthly Data'!CC83</f>
        <v>82</v>
      </c>
      <c r="M83" s="18"/>
      <c r="N83" s="18">
        <f ca="1">(E83-G83)*'Res Predicted Monthly'!$T$10</f>
        <v>2057525.4118431031</v>
      </c>
      <c r="O83" s="18">
        <f ca="1">(F83-H83)*'Res Predicted Monthly'!$T$11</f>
        <v>-3270089.1499189343</v>
      </c>
      <c r="P83" s="18">
        <f ca="1">(I83-J83)*'Res Predicted Monthly'!$T$12</f>
        <v>-178637.73653142658</v>
      </c>
      <c r="Q83" s="18"/>
      <c r="R83" s="268">
        <f t="shared" ca="1" si="9"/>
        <v>35611838.601739801</v>
      </c>
    </row>
    <row r="84" spans="1:18"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278">
        <f>'Monthly Data'!BF84</f>
        <v>326.31260351966864</v>
      </c>
      <c r="H84" s="278">
        <f>'Monthly Data'!BK84</f>
        <v>0</v>
      </c>
      <c r="I84" s="278">
        <f ca="1">F84*'Monthly Data'!CH84</f>
        <v>4.2293749999999992</v>
      </c>
      <c r="J84" s="18">
        <f>'Monthly Data'!DG84</f>
        <v>0</v>
      </c>
      <c r="K84" s="1">
        <f>'Monthly Data'!CC84</f>
        <v>83</v>
      </c>
      <c r="M84" s="18"/>
      <c r="N84" s="18">
        <f ca="1">(E84-G84)*'Res Predicted Monthly'!$T$10</f>
        <v>-676012.2677834871</v>
      </c>
      <c r="O84" s="18">
        <f ca="1">(F84-H84)*'Res Predicted Monthly'!$T$11</f>
        <v>330402.28857784881</v>
      </c>
      <c r="P84" s="18">
        <f ca="1">(I84-J84)*'Res Predicted Monthly'!$T$12</f>
        <v>64112.519920878403</v>
      </c>
      <c r="Q84" s="18"/>
      <c r="R84" s="268">
        <f t="shared" ca="1" si="9"/>
        <v>39151693.096066803</v>
      </c>
    </row>
    <row r="85" spans="1:18"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278">
        <f>'Monthly Data'!BF85</f>
        <v>409.04583333333335</v>
      </c>
      <c r="H85" s="278">
        <f>'Monthly Data'!BK85</f>
        <v>0.41249999999999964</v>
      </c>
      <c r="I85" s="278">
        <f ca="1">F85*'Monthly Data'!CH85</f>
        <v>9.5937500000000009E-2</v>
      </c>
      <c r="J85" s="18">
        <f>'Monthly Data'!DG85</f>
        <v>0</v>
      </c>
      <c r="K85" s="1">
        <f>'Monthly Data'!CC85</f>
        <v>84</v>
      </c>
      <c r="M85" s="18"/>
      <c r="N85" s="18">
        <f ca="1">(E85-G85)*'Res Predicted Monthly'!$T$10</f>
        <v>1607519.7317662046</v>
      </c>
      <c r="O85" s="18">
        <f ca="1">(F85-H85)*'Res Predicted Monthly'!$T$11</f>
        <v>-16673.91481444292</v>
      </c>
      <c r="P85" s="18">
        <f ca="1">(I85-J85)*'Res Predicted Monthly'!$T$12</f>
        <v>1454.3035034512839</v>
      </c>
      <c r="Q85" s="18"/>
      <c r="R85" s="268">
        <f t="shared" ca="1" si="9"/>
        <v>47261256.678647779</v>
      </c>
    </row>
    <row r="86" spans="1:18" x14ac:dyDescent="0.25">
      <c r="A86" s="3">
        <f>'Monthly Data'!A86</f>
        <v>44562</v>
      </c>
      <c r="B86" s="1">
        <f t="shared" si="7"/>
        <v>2022</v>
      </c>
      <c r="C86" s="1">
        <f t="shared" si="8"/>
        <v>1</v>
      </c>
      <c r="D86" s="268">
        <f>'Monthly Data'!F86</f>
        <v>51393545.028530009</v>
      </c>
      <c r="E86" s="278">
        <f t="shared" ca="1" si="10"/>
        <v>573.33418478260865</v>
      </c>
      <c r="F86" s="278">
        <f t="shared" ca="1" si="10"/>
        <v>0</v>
      </c>
      <c r="G86" s="278">
        <f>'Monthly Data'!BF86</f>
        <v>701.49166666666656</v>
      </c>
      <c r="H86" s="278">
        <f>'Monthly Data'!BK86</f>
        <v>0</v>
      </c>
      <c r="I86" s="278">
        <f ca="1">F86*'Monthly Data'!CH86</f>
        <v>0</v>
      </c>
      <c r="J86" s="18">
        <f>'Monthly Data'!DG86</f>
        <v>0</v>
      </c>
      <c r="K86" s="1">
        <f>'Monthly Data'!CC86</f>
        <v>85</v>
      </c>
      <c r="M86" s="18"/>
      <c r="N86" s="18">
        <f ca="1">(E86-G86)*'Res Predicted Monthly'!$T$10</f>
        <v>-4590144.8824924594</v>
      </c>
      <c r="O86" s="18">
        <f ca="1">(F86-H86)*'Res Predicted Monthly'!$T$11</f>
        <v>0</v>
      </c>
      <c r="P86" s="18">
        <f ca="1">(I86-J86)*'Res Predicted Monthly'!$T$12</f>
        <v>0</v>
      </c>
      <c r="Q86" s="18"/>
      <c r="R86" s="268">
        <f t="shared" ca="1" si="9"/>
        <v>46803400.146037549</v>
      </c>
    </row>
    <row r="87" spans="1:18" x14ac:dyDescent="0.25">
      <c r="A87" s="3">
        <f>'Monthly Data'!A87</f>
        <v>44593</v>
      </c>
      <c r="B87" s="1">
        <f t="shared" si="7"/>
        <v>2022</v>
      </c>
      <c r="C87" s="1">
        <f t="shared" si="8"/>
        <v>2</v>
      </c>
      <c r="D87" s="268">
        <f>'Monthly Data'!F87</f>
        <v>45927123.35305661</v>
      </c>
      <c r="E87" s="278">
        <f t="shared" ca="1" si="10"/>
        <v>511.05501811594206</v>
      </c>
      <c r="F87" s="278">
        <f t="shared" ca="1" si="10"/>
        <v>0</v>
      </c>
      <c r="G87" s="278">
        <f>'Monthly Data'!BF87</f>
        <v>524.84999999999991</v>
      </c>
      <c r="H87" s="278">
        <f>'Monthly Data'!BK87</f>
        <v>0</v>
      </c>
      <c r="I87" s="278">
        <f ca="1">F87*'Monthly Data'!CH87</f>
        <v>0</v>
      </c>
      <c r="J87" s="18">
        <f>'Monthly Data'!DG87</f>
        <v>0</v>
      </c>
      <c r="K87" s="1">
        <f>'Monthly Data'!CC87</f>
        <v>86</v>
      </c>
      <c r="M87" s="18"/>
      <c r="N87" s="18">
        <f ca="1">(E87-G87)*'Res Predicted Monthly'!$T$10</f>
        <v>-494087.15408804466</v>
      </c>
      <c r="O87" s="18">
        <f ca="1">(F87-H87)*'Res Predicted Monthly'!$T$11</f>
        <v>0</v>
      </c>
      <c r="P87" s="18">
        <f ca="1">(I87-J87)*'Res Predicted Monthly'!$T$12</f>
        <v>0</v>
      </c>
      <c r="Q87" s="18"/>
      <c r="R87" s="268">
        <f t="shared" ca="1" si="9"/>
        <v>45433036.198968567</v>
      </c>
    </row>
    <row r="88" spans="1:18"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278">
        <f>'Monthly Data'!BF88</f>
        <v>420.72083333333353</v>
      </c>
      <c r="H88" s="278">
        <f>'Monthly Data'!BK88</f>
        <v>0</v>
      </c>
      <c r="I88" s="278">
        <f ca="1">F88*'Monthly Data'!CH88</f>
        <v>0.25937499999999963</v>
      </c>
      <c r="J88" s="18">
        <f>'Monthly Data'!DG88</f>
        <v>0</v>
      </c>
      <c r="K88" s="1">
        <f>'Monthly Data'!CC88</f>
        <v>87</v>
      </c>
      <c r="M88" s="18"/>
      <c r="N88" s="18">
        <f ca="1">(E88-G88)*'Res Predicted Monthly'!$T$10</f>
        <v>50578.39472228854</v>
      </c>
      <c r="O88" s="18">
        <f ca="1">(F88-H88)*'Res Predicted Monthly'!$T$11</f>
        <v>30393.885715931818</v>
      </c>
      <c r="P88" s="18">
        <f ca="1">(I88-J88)*'Res Predicted Monthly'!$T$12</f>
        <v>3931.8303187770807</v>
      </c>
      <c r="Q88" s="18"/>
      <c r="R88" s="268">
        <f t="shared" ca="1" si="9"/>
        <v>48891837.596235231</v>
      </c>
    </row>
    <row r="89" spans="1:18" x14ac:dyDescent="0.25">
      <c r="A89" s="3">
        <f>'Monthly Data'!A89</f>
        <v>44652</v>
      </c>
      <c r="B89" s="1">
        <f t="shared" si="7"/>
        <v>2022</v>
      </c>
      <c r="C89" s="1">
        <f t="shared" si="8"/>
        <v>4</v>
      </c>
      <c r="D89" s="268">
        <f>'Monthly Data'!F89</f>
        <v>41008175.440445341</v>
      </c>
      <c r="E89" s="278">
        <f t="shared" ca="1" si="10"/>
        <v>234.57024621212122</v>
      </c>
      <c r="F89" s="278">
        <f t="shared" ca="1" si="10"/>
        <v>12.79125</v>
      </c>
      <c r="G89" s="278">
        <f>'Monthly Data'!BF89</f>
        <v>234.33333333333331</v>
      </c>
      <c r="H89" s="278">
        <f>'Monthly Data'!BK89</f>
        <v>8.7083333333333286</v>
      </c>
      <c r="I89" s="278">
        <f ca="1">F89*'Monthly Data'!CH89</f>
        <v>6.3956249999999999</v>
      </c>
      <c r="J89" s="18">
        <f>'Monthly Data'!DG89</f>
        <v>1.1270833333333314</v>
      </c>
      <c r="K89" s="1">
        <f>'Monthly Data'!CC89</f>
        <v>88</v>
      </c>
      <c r="M89" s="18"/>
      <c r="N89" s="18">
        <f ca="1">(E89-G89)*'Res Predicted Monthly'!$T$10</f>
        <v>8485.3761339401954</v>
      </c>
      <c r="O89" s="18">
        <f ca="1">(F89-H89)*'Res Predicted Monthly'!$T$11</f>
        <v>239220.63143005353</v>
      </c>
      <c r="P89" s="18">
        <f ca="1">(I89-J89)*'Res Predicted Monthly'!$T$12</f>
        <v>79865.105969119482</v>
      </c>
      <c r="Q89" s="18"/>
      <c r="R89" s="268">
        <f t="shared" ca="1" si="9"/>
        <v>41255881.448009335</v>
      </c>
    </row>
    <row r="90" spans="1:18"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278">
        <f>'Monthly Data'!BF90</f>
        <v>39.324999999999996</v>
      </c>
      <c r="H90" s="278">
        <f>'Monthly Data'!BK90</f>
        <v>157.97083333333333</v>
      </c>
      <c r="I90" s="278">
        <f ca="1">F90*'Monthly Data'!CH90</f>
        <v>65.112229641544573</v>
      </c>
      <c r="J90" s="18">
        <f>'Monthly Data'!DG90</f>
        <v>54.718749999999986</v>
      </c>
      <c r="K90" s="1">
        <f>'Monthly Data'!CC90</f>
        <v>89</v>
      </c>
      <c r="M90" s="18"/>
      <c r="N90" s="18">
        <f ca="1">(E90-G90)*'Res Predicted Monthly'!$T$10</f>
        <v>894329.69376336632</v>
      </c>
      <c r="O90" s="18">
        <f ca="1">(F90-H90)*'Res Predicted Monthly'!$T$11</f>
        <v>-1625677.3434498683</v>
      </c>
      <c r="P90" s="18">
        <f ca="1">(I90-J90)*'Res Predicted Monthly'!$T$12</f>
        <v>157553.34312180206</v>
      </c>
      <c r="Q90" s="18"/>
      <c r="R90" s="268">
        <f t="shared" ca="1" si="9"/>
        <v>36357163.235134549</v>
      </c>
    </row>
    <row r="91" spans="1:18"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278">
        <f>'Monthly Data'!BF91</f>
        <v>0</v>
      </c>
      <c r="H91" s="278">
        <f>'Monthly Data'!BK91</f>
        <v>240.92250416250408</v>
      </c>
      <c r="I91" s="278">
        <f ca="1">F91*'Monthly Data'!CH91</f>
        <v>127.25913377202508</v>
      </c>
      <c r="J91" s="18">
        <f>'Monthly Data'!DG91</f>
        <v>90.461252081252042</v>
      </c>
      <c r="K91" s="1">
        <f>'Monthly Data'!CC91</f>
        <v>90</v>
      </c>
      <c r="M91" s="18"/>
      <c r="N91" s="18">
        <f ca="1">(E91-G91)*'Res Predicted Monthly'!$T$10</f>
        <v>115836.33944647886</v>
      </c>
      <c r="O91" s="18">
        <f ca="1">(F91-H91)*'Res Predicted Monthly'!$T$11</f>
        <v>796584.24759433791</v>
      </c>
      <c r="P91" s="18">
        <f ca="1">(I91-J91)*'Res Predicted Monthly'!$T$12</f>
        <v>557814.07960888161</v>
      </c>
      <c r="Q91" s="18"/>
      <c r="R91" s="268">
        <f t="shared" ca="1" si="9"/>
        <v>42515187.20661521</v>
      </c>
    </row>
    <row r="92" spans="1:18" x14ac:dyDescent="0.25">
      <c r="A92" s="3">
        <f>'Monthly Data'!A92</f>
        <v>44743</v>
      </c>
      <c r="B92" s="1">
        <f t="shared" si="7"/>
        <v>2022</v>
      </c>
      <c r="C92" s="1">
        <f t="shared" si="8"/>
        <v>7</v>
      </c>
      <c r="D92" s="268">
        <f>'Monthly Data'!F92</f>
        <v>50133432.015538678</v>
      </c>
      <c r="E92" s="278">
        <f t="shared" ca="1" si="10"/>
        <v>0</v>
      </c>
      <c r="F92" s="278">
        <f t="shared" ca="1" si="10"/>
        <v>359.94737858727854</v>
      </c>
      <c r="G92" s="278">
        <f>'Monthly Data'!BF92</f>
        <v>0</v>
      </c>
      <c r="H92" s="278">
        <f>'Monthly Data'!BK92</f>
        <v>345.85433829138066</v>
      </c>
      <c r="I92" s="278">
        <f ca="1">F92*'Monthly Data'!CH92</f>
        <v>179.97368929363927</v>
      </c>
      <c r="J92" s="18">
        <f>'Monthly Data'!DG92</f>
        <v>141.9271691456903</v>
      </c>
      <c r="K92" s="1">
        <f>'Monthly Data'!CC92</f>
        <v>91</v>
      </c>
      <c r="M92" s="18"/>
      <c r="N92" s="18">
        <f ca="1">(E92-G92)*'Res Predicted Monthly'!$T$10</f>
        <v>0</v>
      </c>
      <c r="O92" s="18">
        <f ca="1">(F92-H92)*'Res Predicted Monthly'!$T$11</f>
        <v>825720.01184297376</v>
      </c>
      <c r="P92" s="18">
        <f ca="1">(I92-J92)*'Res Predicted Monthly'!$T$12</f>
        <v>576742.02001607337</v>
      </c>
      <c r="Q92" s="18"/>
      <c r="R92" s="268">
        <f t="shared" ca="1" si="9"/>
        <v>50959152.027381651</v>
      </c>
    </row>
    <row r="93" spans="1:18" x14ac:dyDescent="0.25">
      <c r="A93" s="3">
        <f>'Monthly Data'!A93</f>
        <v>44774</v>
      </c>
      <c r="B93" s="1">
        <f t="shared" si="7"/>
        <v>2022</v>
      </c>
      <c r="C93" s="1">
        <f t="shared" si="8"/>
        <v>8</v>
      </c>
      <c r="D93" s="268">
        <f>'Monthly Data'!F93</f>
        <v>54578895.420204103</v>
      </c>
      <c r="E93" s="278">
        <f t="shared" ca="1" si="10"/>
        <v>0</v>
      </c>
      <c r="F93" s="278">
        <f t="shared" ca="1" si="10"/>
        <v>334.96558794466404</v>
      </c>
      <c r="G93" s="278">
        <f>'Monthly Data'!BF93</f>
        <v>0</v>
      </c>
      <c r="H93" s="278">
        <f>'Monthly Data'!BK93</f>
        <v>352.28333333333342</v>
      </c>
      <c r="I93" s="278">
        <f ca="1">F93*'Monthly Data'!CH93</f>
        <v>167.48279397233202</v>
      </c>
      <c r="J93" s="18">
        <f>'Monthly Data'!DG93</f>
        <v>145.14166666666668</v>
      </c>
      <c r="K93" s="1">
        <f>'Monthly Data'!CC93</f>
        <v>92</v>
      </c>
      <c r="M93" s="18"/>
      <c r="N93" s="18">
        <f ca="1">(E93-G93)*'Res Predicted Monthly'!$T$10</f>
        <v>0</v>
      </c>
      <c r="O93" s="18">
        <f ca="1">(F93-H93)*'Res Predicted Monthly'!$T$11</f>
        <v>-1014657.4924353217</v>
      </c>
      <c r="P93" s="18">
        <f ca="1">(I93-J93)*'Res Predicted Monthly'!$T$12</f>
        <v>338666.10774389823</v>
      </c>
      <c r="Q93" s="18"/>
      <c r="R93" s="268">
        <f t="shared" ca="1" si="9"/>
        <v>53564237.927768782</v>
      </c>
    </row>
    <row r="94" spans="1:18"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278">
        <f>'Monthly Data'!BF94</f>
        <v>22.833333333333329</v>
      </c>
      <c r="H94" s="278">
        <f>'Monthly Data'!BK94</f>
        <v>193.32083333333327</v>
      </c>
      <c r="I94" s="278">
        <f ca="1">F94*'Monthly Data'!CH94</f>
        <v>108.28715450310558</v>
      </c>
      <c r="J94" s="18">
        <f>'Monthly Data'!DG94</f>
        <v>69.895833333333314</v>
      </c>
      <c r="K94" s="1">
        <f>'Monthly Data'!CC94</f>
        <v>93</v>
      </c>
      <c r="M94" s="18"/>
      <c r="N94" s="18">
        <f ca="1">(E94-G94)*'Res Predicted Monthly'!$T$10</f>
        <v>-444838.89893010445</v>
      </c>
      <c r="O94" s="18">
        <f ca="1">(F94-H94)*'Res Predicted Monthly'!$T$11</f>
        <v>1362435.6281439085</v>
      </c>
      <c r="P94" s="18">
        <f ca="1">(I94-J94)*'Res Predicted Monthly'!$T$12</f>
        <v>581968.81177144754</v>
      </c>
      <c r="Q94" s="18"/>
      <c r="R94" s="268">
        <f t="shared" ca="1" si="9"/>
        <v>46445831.153484911</v>
      </c>
    </row>
    <row r="95" spans="1:18"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278">
        <f>'Monthly Data'!BF95</f>
        <v>147.2764492753623</v>
      </c>
      <c r="H95" s="278">
        <f>'Monthly Data'!BK95</f>
        <v>32</v>
      </c>
      <c r="I95" s="278">
        <f ca="1">F95*'Monthly Data'!CH95</f>
        <v>31.133333333333336</v>
      </c>
      <c r="J95" s="18">
        <f>'Monthly Data'!DG95</f>
        <v>5.8020833333333339</v>
      </c>
      <c r="K95" s="1">
        <f>'Monthly Data'!CC95</f>
        <v>94</v>
      </c>
      <c r="M95" s="18"/>
      <c r="N95" s="18">
        <f ca="1">(E95-G95)*'Res Predicted Monthly'!$T$10</f>
        <v>-611746.75801053958</v>
      </c>
      <c r="O95" s="18">
        <f ca="1">(F95-H95)*'Res Predicted Monthly'!$T$11</f>
        <v>1773342.8581568601</v>
      </c>
      <c r="P95" s="18">
        <f ca="1">(I95-J95)*'Res Predicted Monthly'!$T$12</f>
        <v>383992.97065068752</v>
      </c>
      <c r="Q95" s="18"/>
      <c r="R95" s="268">
        <f t="shared" ca="1" si="9"/>
        <v>37015285.854640044</v>
      </c>
    </row>
    <row r="96" spans="1:18"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278">
        <f>'Monthly Data'!BF96</f>
        <v>294.14166666666671</v>
      </c>
      <c r="H96" s="278">
        <f>'Monthly Data'!BK96</f>
        <v>13.824999999999999</v>
      </c>
      <c r="I96" s="278">
        <f ca="1">F96*'Monthly Data'!CH96</f>
        <v>2.8195833333333331</v>
      </c>
      <c r="J96" s="18">
        <f>'Monthly Data'!DG96</f>
        <v>3.2895833333333337</v>
      </c>
      <c r="K96" s="1">
        <f>'Monthly Data'!CC96</f>
        <v>95</v>
      </c>
      <c r="M96" s="18"/>
      <c r="N96" s="18">
        <f ca="1">(E96-G96)*'Res Predicted Monthly'!$T$10</f>
        <v>476236.19239138573</v>
      </c>
      <c r="O96" s="18">
        <f ca="1">(F96-H96)*'Res Predicted Monthly'!$T$11</f>
        <v>-479613.07532144361</v>
      </c>
      <c r="P96" s="18">
        <f ca="1">(I96-J96)*'Res Predicted Monthly'!$T$12</f>
        <v>-7124.6660234225847</v>
      </c>
      <c r="Q96" s="18"/>
      <c r="R96" s="268">
        <f t="shared" ca="1" si="9"/>
        <v>39276373.413466372</v>
      </c>
    </row>
    <row r="97" spans="1:18"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278">
        <f>'Monthly Data'!BF97</f>
        <v>461.12083333333328</v>
      </c>
      <c r="H97" s="278">
        <f>'Monthly Data'!BK97</f>
        <v>0</v>
      </c>
      <c r="I97" s="278">
        <f ca="1">F97*'Monthly Data'!CH97</f>
        <v>6.3958333333333339E-2</v>
      </c>
      <c r="J97" s="18">
        <f>'Monthly Data'!DG97</f>
        <v>0</v>
      </c>
      <c r="K97" s="1">
        <f>'Monthly Data'!CC97</f>
        <v>96</v>
      </c>
      <c r="M97" s="18"/>
      <c r="N97" s="18">
        <f ca="1">(E97-G97)*'Res Predicted Monthly'!$T$10</f>
        <v>-257621.43082345111</v>
      </c>
      <c r="O97" s="18">
        <f ca="1">(F97-H97)*'Res Predicted Monthly'!$T$11</f>
        <v>7494.7172006354076</v>
      </c>
      <c r="P97" s="18">
        <f ca="1">(I97-J97)*'Res Predicted Monthly'!$T$12</f>
        <v>969.5356689675225</v>
      </c>
      <c r="Q97" s="18"/>
      <c r="R97" s="268">
        <f t="shared" ca="1" si="9"/>
        <v>45696392.314876139</v>
      </c>
    </row>
    <row r="98" spans="1:18" x14ac:dyDescent="0.25">
      <c r="A98" s="3">
        <f>'Monthly Data'!A98</f>
        <v>44927</v>
      </c>
      <c r="B98" s="1">
        <f t="shared" si="7"/>
        <v>2023</v>
      </c>
      <c r="C98" s="1">
        <f t="shared" si="8"/>
        <v>1</v>
      </c>
      <c r="D98" s="268">
        <f>'Monthly Data'!F98</f>
        <v>49810652.246749312</v>
      </c>
      <c r="E98" s="278">
        <f t="shared" ca="1" si="11"/>
        <v>573.33418478260865</v>
      </c>
      <c r="F98" s="278">
        <f t="shared" ca="1" si="11"/>
        <v>0</v>
      </c>
      <c r="G98" s="278">
        <f>'Monthly Data'!BF98</f>
        <v>480.07083333333327</v>
      </c>
      <c r="H98" s="278">
        <f>'Monthly Data'!BK98</f>
        <v>0</v>
      </c>
      <c r="I98" s="278">
        <f ca="1">F98*'Monthly Data'!CH98</f>
        <v>0</v>
      </c>
      <c r="J98" s="18">
        <f>'Monthly Data'!DG98</f>
        <v>0</v>
      </c>
      <c r="K98" s="1">
        <f>'Monthly Data'!CC98</f>
        <v>97</v>
      </c>
      <c r="M98" s="18"/>
      <c r="N98" s="18">
        <f ca="1">(E98-G98)*'Res Predicted Monthly'!$T$10</f>
        <v>3340361.3201941303</v>
      </c>
      <c r="O98" s="18">
        <f ca="1">(F98-H98)*'Res Predicted Monthly'!$T$11</f>
        <v>0</v>
      </c>
      <c r="P98" s="18">
        <f ca="1">(I98-J98)*'Res Predicted Monthly'!$T$12</f>
        <v>0</v>
      </c>
      <c r="Q98" s="18"/>
      <c r="R98" s="268">
        <f t="shared" ref="R98:R121" ca="1" si="12">D98+N98+O98</f>
        <v>53151013.566943444</v>
      </c>
    </row>
    <row r="99" spans="1:18" x14ac:dyDescent="0.25">
      <c r="A99" s="3">
        <f>'Monthly Data'!A99</f>
        <v>44958</v>
      </c>
      <c r="B99" s="1">
        <f t="shared" si="7"/>
        <v>2023</v>
      </c>
      <c r="C99" s="1">
        <f t="shared" si="8"/>
        <v>2</v>
      </c>
      <c r="D99" s="268">
        <f>'Monthly Data'!F99</f>
        <v>48142162.27973219</v>
      </c>
      <c r="E99" s="278">
        <f t="shared" ca="1" si="11"/>
        <v>511.05501811594206</v>
      </c>
      <c r="F99" s="278">
        <f t="shared" ca="1" si="11"/>
        <v>0</v>
      </c>
      <c r="G99" s="278">
        <f>'Monthly Data'!BF99</f>
        <v>461.43333333333328</v>
      </c>
      <c r="H99" s="278">
        <f>'Monthly Data'!BK99</f>
        <v>0</v>
      </c>
      <c r="I99" s="278">
        <f ca="1">F99*'Monthly Data'!CH99</f>
        <v>0</v>
      </c>
      <c r="J99" s="18">
        <f>'Monthly Data'!DG99</f>
        <v>0</v>
      </c>
      <c r="K99" s="1">
        <f>'Monthly Data'!CC99</f>
        <v>98</v>
      </c>
      <c r="M99" s="18"/>
      <c r="N99" s="18">
        <f ca="1">(E99-G99)*'Res Predicted Monthly'!$T$10</f>
        <v>1777272.1429686507</v>
      </c>
      <c r="O99" s="18">
        <f ca="1">(F99-H99)*'Res Predicted Monthly'!$T$11</f>
        <v>0</v>
      </c>
      <c r="P99" s="18">
        <f ca="1">(I99-J99)*'Res Predicted Monthly'!$T$12</f>
        <v>0</v>
      </c>
      <c r="Q99" s="18"/>
      <c r="R99" s="268">
        <f t="shared" ca="1" si="12"/>
        <v>49919434.422700837</v>
      </c>
    </row>
    <row r="100" spans="1:18"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278">
        <f>'Monthly Data'!BF100</f>
        <v>427.0333333333333</v>
      </c>
      <c r="H100" s="278">
        <f>'Monthly Data'!BK100</f>
        <v>0</v>
      </c>
      <c r="I100" s="278">
        <f ca="1">F100*'Monthly Data'!CH100</f>
        <v>0.12968749999999982</v>
      </c>
      <c r="J100" s="18">
        <f>'Monthly Data'!DG100</f>
        <v>0</v>
      </c>
      <c r="K100" s="1">
        <f>'Monthly Data'!CC100</f>
        <v>99</v>
      </c>
      <c r="M100" s="18"/>
      <c r="N100" s="18">
        <f ca="1">(E100-G100)*'Res Predicted Monthly'!$T$10</f>
        <v>-175512.88878893165</v>
      </c>
      <c r="O100" s="18">
        <f ca="1">(F100-H100)*'Res Predicted Monthly'!$T$11</f>
        <v>30393.885715931818</v>
      </c>
      <c r="P100" s="18">
        <f ca="1">(I100-J100)*'Res Predicted Monthly'!$T$12</f>
        <v>1965.9151593885404</v>
      </c>
      <c r="Q100" s="18"/>
      <c r="R100" s="268">
        <f t="shared" ca="1" si="12"/>
        <v>43938517.225896195</v>
      </c>
    </row>
    <row r="101" spans="1:18"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278">
        <f>'Monthly Data'!BF101</f>
        <v>193.11666666666667</v>
      </c>
      <c r="H101" s="278">
        <f>'Monthly Data'!BK101</f>
        <v>37.175000000000004</v>
      </c>
      <c r="I101" s="278">
        <f ca="1">F101*'Monthly Data'!CH101</f>
        <v>3.1978124999999999</v>
      </c>
      <c r="J101" s="18">
        <f>'Monthly Data'!DG101</f>
        <v>5.6791666666666689</v>
      </c>
      <c r="K101" s="1">
        <f>'Monthly Data'!CC101</f>
        <v>100</v>
      </c>
      <c r="M101" s="18"/>
      <c r="N101" s="18">
        <f ca="1">(E101-G101)*'Res Predicted Monthly'!$T$10</f>
        <v>1484719.6840501577</v>
      </c>
      <c r="O101" s="18">
        <f ca="1">(F101-H101)*'Res Predicted Monthly'!$T$11</f>
        <v>-1428659.1052064649</v>
      </c>
      <c r="P101" s="18">
        <f ca="1">(I101-J101)*'Res Predicted Monthly'!$T$12</f>
        <v>-37614.510049634155</v>
      </c>
      <c r="Q101" s="18"/>
      <c r="R101" s="268">
        <f t="shared" ca="1" si="12"/>
        <v>41566414.799320474</v>
      </c>
    </row>
    <row r="102" spans="1:18"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278">
        <f>'Monthly Data'!BF102</f>
        <v>68.776666666666671</v>
      </c>
      <c r="H102" s="278">
        <f>'Monthly Data'!BK102</f>
        <v>112.85416666666666</v>
      </c>
      <c r="I102" s="278">
        <f ca="1">F102*'Monthly Data'!CH102</f>
        <v>32.556114820772287</v>
      </c>
      <c r="J102" s="18">
        <f>'Monthly Data'!DG102</f>
        <v>17.012499999999996</v>
      </c>
      <c r="K102" s="1">
        <f>'Monthly Data'!CC102</f>
        <v>101</v>
      </c>
      <c r="M102" s="18"/>
      <c r="N102" s="18">
        <f ca="1">(E102-G102)*'Res Predicted Monthly'!$T$10</f>
        <v>-160524.18634935119</v>
      </c>
      <c r="O102" s="18">
        <f ca="1">(F102-H102)*'Res Predicted Monthly'!$T$11</f>
        <v>1017736.2672498124</v>
      </c>
      <c r="P102" s="18">
        <f ca="1">(I102-J102)*'Res Predicted Monthly'!$T$12</f>
        <v>235623.54126537003</v>
      </c>
      <c r="Q102" s="18"/>
      <c r="R102" s="268">
        <f t="shared" ca="1" si="12"/>
        <v>38573859.154348135</v>
      </c>
    </row>
    <row r="103" spans="1:18"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278">
        <f>'Monthly Data'!BF103</f>
        <v>0</v>
      </c>
      <c r="H103" s="278">
        <f>'Monthly Data'!BK103</f>
        <v>265.54166666666669</v>
      </c>
      <c r="I103" s="278">
        <f ca="1">F103*'Monthly Data'!CH103</f>
        <v>63.62956688601254</v>
      </c>
      <c r="J103" s="18">
        <f>'Monthly Data'!DG103</f>
        <v>51.385416666666671</v>
      </c>
      <c r="K103" s="1">
        <f>'Monthly Data'!CC103</f>
        <v>102</v>
      </c>
      <c r="M103" s="18"/>
      <c r="N103" s="18">
        <f ca="1">(E103-G103)*'Res Predicted Monthly'!$T$10</f>
        <v>115836.33944647886</v>
      </c>
      <c r="O103" s="18">
        <f ca="1">(F103-H103)*'Res Predicted Monthly'!$T$11</f>
        <v>-645867.82290874247</v>
      </c>
      <c r="P103" s="18">
        <f ca="1">(I103-J103)*'Res Predicted Monthly'!$T$12</f>
        <v>185607.40649671401</v>
      </c>
      <c r="Q103" s="18"/>
      <c r="R103" s="268">
        <f t="shared" ca="1" si="12"/>
        <v>43714011.019036256</v>
      </c>
    </row>
    <row r="104" spans="1:18" x14ac:dyDescent="0.25">
      <c r="A104" s="3">
        <f>'Monthly Data'!A104</f>
        <v>45108</v>
      </c>
      <c r="B104" s="1">
        <f t="shared" si="7"/>
        <v>2023</v>
      </c>
      <c r="C104" s="1">
        <f t="shared" si="8"/>
        <v>7</v>
      </c>
      <c r="D104" s="268">
        <f>'Monthly Data'!F104</f>
        <v>53189542.788322985</v>
      </c>
      <c r="E104" s="278">
        <f t="shared" ca="1" si="11"/>
        <v>0</v>
      </c>
      <c r="F104" s="278">
        <f t="shared" ca="1" si="11"/>
        <v>359.94737858727854</v>
      </c>
      <c r="G104" s="278">
        <f>'Monthly Data'!BF104</f>
        <v>0</v>
      </c>
      <c r="H104" s="278">
        <f>'Monthly Data'!BK104</f>
        <v>347.78333333333342</v>
      </c>
      <c r="I104" s="278">
        <f ca="1">F104*'Monthly Data'!CH104</f>
        <v>89.986844646819634</v>
      </c>
      <c r="J104" s="18">
        <f>'Monthly Data'!DG104</f>
        <v>71.445833333333354</v>
      </c>
      <c r="K104" s="1">
        <f>'Monthly Data'!CC104</f>
        <v>103</v>
      </c>
      <c r="M104" s="18"/>
      <c r="N104" s="18">
        <f ca="1">(E104-G104)*'Res Predicted Monthly'!$T$10</f>
        <v>0</v>
      </c>
      <c r="O104" s="18">
        <f ca="1">(F104-H104)*'Res Predicted Monthly'!$T$11</f>
        <v>712698.99044208438</v>
      </c>
      <c r="P104" s="18">
        <f ca="1">(I104-J104)*'Res Predicted Monthly'!$T$12</f>
        <v>281060.66669167927</v>
      </c>
      <c r="Q104" s="18"/>
      <c r="R104" s="268">
        <f t="shared" ca="1" si="12"/>
        <v>53902241.778765067</v>
      </c>
    </row>
    <row r="105" spans="1:18" x14ac:dyDescent="0.25">
      <c r="A105" s="3">
        <f>'Monthly Data'!A105</f>
        <v>45139</v>
      </c>
      <c r="B105" s="1">
        <f t="shared" si="7"/>
        <v>2023</v>
      </c>
      <c r="C105" s="1">
        <f t="shared" si="8"/>
        <v>8</v>
      </c>
      <c r="D105" s="268">
        <f>'Monthly Data'!F105</f>
        <v>52400162.702367157</v>
      </c>
      <c r="E105" s="278">
        <f t="shared" ca="1" si="11"/>
        <v>0</v>
      </c>
      <c r="F105" s="278">
        <f t="shared" ca="1" si="11"/>
        <v>334.96558794466404</v>
      </c>
      <c r="G105" s="278">
        <f>'Monthly Data'!BF105</f>
        <v>0</v>
      </c>
      <c r="H105" s="278">
        <f>'Monthly Data'!BK105</f>
        <v>289.8048913043479</v>
      </c>
      <c r="I105" s="278">
        <f ca="1">F105*'Monthly Data'!CH105</f>
        <v>83.741396986166009</v>
      </c>
      <c r="J105" s="18">
        <f>'Monthly Data'!DG105</f>
        <v>56.951222826086969</v>
      </c>
      <c r="K105" s="1">
        <f>'Monthly Data'!CC105</f>
        <v>104</v>
      </c>
      <c r="M105" s="18"/>
      <c r="N105" s="18">
        <f ca="1">(E105-G105)*'Res Predicted Monthly'!$T$10</f>
        <v>0</v>
      </c>
      <c r="O105" s="18">
        <f ca="1">(F105-H105)*'Res Predicted Monthly'!$T$11</f>
        <v>2645993.3542894195</v>
      </c>
      <c r="P105" s="18">
        <f ca="1">(I105-J105)*'Res Predicted Monthly'!$T$12</f>
        <v>406108.60340401821</v>
      </c>
      <c r="Q105" s="18"/>
      <c r="R105" s="268">
        <f t="shared" ca="1" si="12"/>
        <v>55046156.056656577</v>
      </c>
    </row>
    <row r="106" spans="1:18"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278">
        <f>'Monthly Data'!BF106</f>
        <v>2.3583333333333378</v>
      </c>
      <c r="H106" s="278">
        <f>'Monthly Data'!BK106</f>
        <v>222.99166666666656</v>
      </c>
      <c r="I106" s="278">
        <f ca="1">F106*'Monthly Data'!CH106</f>
        <v>54.143577251552792</v>
      </c>
      <c r="J106" s="18">
        <f>'Monthly Data'!DG106</f>
        <v>40.747916666666654</v>
      </c>
      <c r="K106" s="1">
        <f>'Monthly Data'!CC106</f>
        <v>105</v>
      </c>
      <c r="M106" s="18"/>
      <c r="N106" s="18">
        <f ca="1">(E106-G106)*'Res Predicted Monthly'!$T$10</f>
        <v>288502.72956770129</v>
      </c>
      <c r="O106" s="18">
        <f ca="1">(F106-H106)*'Res Predicted Monthly'!$T$11</f>
        <v>-375996.98376894672</v>
      </c>
      <c r="P106" s="18">
        <f ca="1">(I106-J106)*'Res Predicted Monthly'!$T$12</f>
        <v>203062.99538391328</v>
      </c>
      <c r="Q106" s="18"/>
      <c r="R106" s="268">
        <f t="shared" ca="1" si="12"/>
        <v>46526172.490015469</v>
      </c>
    </row>
    <row r="107" spans="1:18"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278">
        <f>'Monthly Data'!BF107</f>
        <v>111.18333333333332</v>
      </c>
      <c r="H107" s="278">
        <f>'Monthly Data'!BK107</f>
        <v>85.929166666666674</v>
      </c>
      <c r="I107" s="278">
        <f ca="1">F107*'Monthly Data'!CH107</f>
        <v>15.566666666666668</v>
      </c>
      <c r="J107" s="18">
        <f>'Monthly Data'!DG107</f>
        <v>13.65625</v>
      </c>
      <c r="K107" s="1">
        <f>'Monthly Data'!CC107</f>
        <v>106</v>
      </c>
      <c r="M107" s="18"/>
      <c r="N107" s="18">
        <f ca="1">(E107-G107)*'Res Predicted Monthly'!$T$10</f>
        <v>680980.19791071326</v>
      </c>
      <c r="O107" s="18">
        <f ca="1">(F107-H107)*'Res Predicted Monthly'!$T$11</f>
        <v>-1386400.6183194944</v>
      </c>
      <c r="P107" s="18">
        <f ca="1">(I107-J107)*'Res Predicted Monthly'!$T$12</f>
        <v>28959.746203362174</v>
      </c>
      <c r="Q107" s="18"/>
      <c r="R107" s="268">
        <f t="shared" ca="1" si="12"/>
        <v>38516656.241454862</v>
      </c>
    </row>
    <row r="108" spans="1:18"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278">
        <f>'Monthly Data'!BF108</f>
        <v>330.59311594202904</v>
      </c>
      <c r="H108" s="278">
        <f>'Monthly Data'!BK108</f>
        <v>0.36249999999999893</v>
      </c>
      <c r="I108" s="278">
        <f ca="1">F108*'Monthly Data'!CH108</f>
        <v>1.4097916666666666</v>
      </c>
      <c r="J108" s="18">
        <f>'Monthly Data'!DG108</f>
        <v>0</v>
      </c>
      <c r="K108" s="1">
        <f>'Monthly Data'!CC108</f>
        <v>107</v>
      </c>
      <c r="M108" s="18"/>
      <c r="N108" s="18">
        <f ca="1">(E108-G108)*'Res Predicted Monthly'!$T$10</f>
        <v>-829324.98820443288</v>
      </c>
      <c r="O108" s="18">
        <f ca="1">(F108-H108)*'Res Predicted Monthly'!$T$11</f>
        <v>309163.18771611335</v>
      </c>
      <c r="P108" s="18">
        <f ca="1">(I108-J108)*'Res Predicted Monthly'!$T$12</f>
        <v>21370.839973626134</v>
      </c>
      <c r="Q108" s="18"/>
      <c r="R108" s="268">
        <f t="shared" ca="1" si="12"/>
        <v>41322739.362099268</v>
      </c>
    </row>
    <row r="109" spans="1:18"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278">
        <f>'Monthly Data'!BF109</f>
        <v>365.67916666666667</v>
      </c>
      <c r="H109" s="278">
        <f>'Monthly Data'!BK109</f>
        <v>0</v>
      </c>
      <c r="I109" s="278">
        <f ca="1">F109*'Monthly Data'!CH109</f>
        <v>3.197916666666667E-2</v>
      </c>
      <c r="J109" s="18">
        <f>'Monthly Data'!DG109</f>
        <v>0</v>
      </c>
      <c r="K109" s="1">
        <f>'Monthly Data'!CC109</f>
        <v>108</v>
      </c>
      <c r="M109" s="18"/>
      <c r="N109" s="18">
        <f ca="1">(E109-G109)*'Res Predicted Monthly'!$T$10</f>
        <v>3160759.3877298119</v>
      </c>
      <c r="O109" s="18">
        <f ca="1">(F109-H109)*'Res Predicted Monthly'!$T$11</f>
        <v>7494.7172006354076</v>
      </c>
      <c r="P109" s="18">
        <f ca="1">(I109-J109)*'Res Predicted Monthly'!$T$12</f>
        <v>484.76783448376125</v>
      </c>
      <c r="Q109" s="18"/>
      <c r="R109" s="268">
        <f t="shared" ca="1" si="12"/>
        <v>49562275.233225994</v>
      </c>
    </row>
    <row r="110" spans="1:18" x14ac:dyDescent="0.25">
      <c r="A110" s="3">
        <f>'Monthly Data'!A110</f>
        <v>45292</v>
      </c>
      <c r="B110" s="1">
        <f t="shared" si="7"/>
        <v>2024</v>
      </c>
      <c r="C110" s="1">
        <f t="shared" si="8"/>
        <v>1</v>
      </c>
      <c r="D110" s="268">
        <f>'Monthly Data'!F110</f>
        <v>49462744.048726559</v>
      </c>
      <c r="E110" s="278">
        <f t="shared" ca="1" si="11"/>
        <v>573.33418478260865</v>
      </c>
      <c r="F110" s="278">
        <f t="shared" ca="1" si="11"/>
        <v>0</v>
      </c>
      <c r="G110" s="278">
        <f>'Monthly Data'!BF110</f>
        <v>512.99583333333328</v>
      </c>
      <c r="H110" s="278">
        <f>'Monthly Data'!BK110</f>
        <v>0</v>
      </c>
      <c r="I110" s="278">
        <f ca="1">F110*'Monthly Data'!CH110</f>
        <v>0</v>
      </c>
      <c r="J110" s="18">
        <f>'Monthly Data'!DG110</f>
        <v>0</v>
      </c>
      <c r="K110" s="1">
        <f>'Monthly Data'!CC110</f>
        <v>109</v>
      </c>
      <c r="M110" s="18"/>
      <c r="N110" s="18">
        <f ca="1">(E110-G110)*'Res Predicted Monthly'!$T$10</f>
        <v>2161105.0018405151</v>
      </c>
      <c r="O110" s="18">
        <f ca="1">(F110-H110)*'Res Predicted Monthly'!$T$11</f>
        <v>0</v>
      </c>
      <c r="P110" s="18">
        <f ca="1">(I110-J110)*'Res Predicted Monthly'!$T$12</f>
        <v>0</v>
      </c>
      <c r="Q110" s="18"/>
      <c r="R110" s="268">
        <f t="shared" ca="1" si="12"/>
        <v>51623849.050567076</v>
      </c>
    </row>
    <row r="111" spans="1:18" x14ac:dyDescent="0.25">
      <c r="A111" s="3">
        <f>'Monthly Data'!A111</f>
        <v>45323</v>
      </c>
      <c r="B111" s="1">
        <f t="shared" si="7"/>
        <v>2024</v>
      </c>
      <c r="C111" s="1">
        <f t="shared" si="8"/>
        <v>2</v>
      </c>
      <c r="D111" s="268">
        <f>'Monthly Data'!F111</f>
        <v>43224005.779384121</v>
      </c>
      <c r="E111" s="278">
        <f t="shared" ca="1" si="11"/>
        <v>511.05501811594206</v>
      </c>
      <c r="F111" s="278">
        <f t="shared" ca="1" si="11"/>
        <v>0</v>
      </c>
      <c r="G111" s="278">
        <f>'Monthly Data'!BF111</f>
        <v>426.96666666666664</v>
      </c>
      <c r="H111" s="278">
        <f>'Monthly Data'!BK111</f>
        <v>0</v>
      </c>
      <c r="I111" s="278">
        <f ca="1">F111*'Monthly Data'!CH111</f>
        <v>0</v>
      </c>
      <c r="J111" s="18">
        <f>'Monthly Data'!DG111</f>
        <v>0</v>
      </c>
      <c r="K111" s="1">
        <f>'Monthly Data'!CC111</f>
        <v>110</v>
      </c>
      <c r="M111" s="18"/>
      <c r="N111" s="18">
        <f ca="1">(E111-G111)*'Res Predicted Monthly'!$T$10</f>
        <v>3011745.4744570199</v>
      </c>
      <c r="O111" s="18">
        <f ca="1">(F111-H111)*'Res Predicted Monthly'!$T$11</f>
        <v>0</v>
      </c>
      <c r="P111" s="18">
        <f ca="1">(I111-J111)*'Res Predicted Monthly'!$T$12</f>
        <v>0</v>
      </c>
      <c r="Q111" s="18"/>
      <c r="R111" s="268">
        <f t="shared" ca="1" si="12"/>
        <v>46235751.253841139</v>
      </c>
    </row>
    <row r="112" spans="1:18" x14ac:dyDescent="0.25">
      <c r="A112" s="3">
        <f>'Monthly Data'!A112</f>
        <v>45352</v>
      </c>
      <c r="B112" s="1">
        <f t="shared" si="7"/>
        <v>2024</v>
      </c>
      <c r="C112" s="1">
        <f t="shared" si="8"/>
        <v>3</v>
      </c>
      <c r="D112" s="268">
        <f>'Monthly Data'!F112</f>
        <v>44976905.780688122</v>
      </c>
      <c r="E112" s="278">
        <f t="shared" ca="1" si="11"/>
        <v>422.13298913043479</v>
      </c>
      <c r="F112" s="278">
        <f t="shared" ca="1" si="11"/>
        <v>0.51874999999999927</v>
      </c>
      <c r="G112" s="278">
        <f>'Monthly Data'!BF112</f>
        <v>336.11249999999995</v>
      </c>
      <c r="H112" s="278">
        <f>'Monthly Data'!BK112</f>
        <v>0</v>
      </c>
      <c r="I112" s="278">
        <f ca="1">F112*'Monthly Data'!CH112</f>
        <v>0.12968749999999982</v>
      </c>
      <c r="J112" s="18">
        <f>'Monthly Data'!DG112</f>
        <v>0</v>
      </c>
      <c r="K112" s="1">
        <f>'Monthly Data'!CC112</f>
        <v>111</v>
      </c>
      <c r="M112" s="18"/>
      <c r="N112" s="18">
        <f ca="1">(E112-G112)*'Res Predicted Monthly'!$T$10</f>
        <v>3080947.7696259296</v>
      </c>
      <c r="O112" s="18">
        <f ca="1">(F112-H112)*'Res Predicted Monthly'!$T$11</f>
        <v>30393.885715931818</v>
      </c>
      <c r="P112" s="18">
        <f ca="1">(I112-J112)*'Res Predicted Monthly'!$T$12</f>
        <v>1965.9151593885404</v>
      </c>
      <c r="Q112" s="18"/>
      <c r="R112" s="268">
        <f t="shared" ca="1" si="12"/>
        <v>48088247.436029986</v>
      </c>
    </row>
    <row r="113" spans="1:18" x14ac:dyDescent="0.25">
      <c r="A113" s="3">
        <f>'Monthly Data'!A113</f>
        <v>45383</v>
      </c>
      <c r="B113" s="1">
        <f t="shared" si="7"/>
        <v>2024</v>
      </c>
      <c r="C113" s="1">
        <f t="shared" si="8"/>
        <v>4</v>
      </c>
      <c r="D113" s="268">
        <f>'Monthly Data'!F113</f>
        <v>40981445.237707838</v>
      </c>
      <c r="E113" s="278">
        <f t="shared" ca="1" si="11"/>
        <v>234.57024621212122</v>
      </c>
      <c r="F113" s="278">
        <f t="shared" ca="1" si="11"/>
        <v>12.79125</v>
      </c>
      <c r="G113" s="278">
        <f>'Monthly Data'!BF113</f>
        <v>188.29791666666671</v>
      </c>
      <c r="H113" s="278">
        <f>'Monthly Data'!BK113</f>
        <v>10.625</v>
      </c>
      <c r="I113" s="278">
        <f ca="1">F113*'Monthly Data'!CH113</f>
        <v>3.1978124999999999</v>
      </c>
      <c r="J113" s="18">
        <f>'Monthly Data'!DG113</f>
        <v>0.59583333333333366</v>
      </c>
      <c r="K113" s="1">
        <f>'Monthly Data'!CC113</f>
        <v>112</v>
      </c>
      <c r="M113" s="18"/>
      <c r="N113" s="18">
        <f ca="1">(E113-G113)*'Res Predicted Monthly'!$T$10</f>
        <v>1657310.1588889258</v>
      </c>
      <c r="O113" s="18">
        <f ca="1">(F113-H113)*'Res Predicted Monthly'!$T$11</f>
        <v>126921.9372185781</v>
      </c>
      <c r="P113" s="18">
        <f ca="1">(I113-J113)*'Res Predicted Monthly'!$T$12</f>
        <v>39443.048005113582</v>
      </c>
      <c r="Q113" s="18"/>
      <c r="R113" s="268">
        <f t="shared" ca="1" si="12"/>
        <v>42765677.333815344</v>
      </c>
    </row>
    <row r="114" spans="1:18" x14ac:dyDescent="0.25">
      <c r="A114" s="3">
        <f>'Monthly Data'!A114</f>
        <v>45413</v>
      </c>
      <c r="B114" s="1">
        <f t="shared" si="7"/>
        <v>2024</v>
      </c>
      <c r="C114" s="1">
        <f t="shared" si="8"/>
        <v>5</v>
      </c>
      <c r="D114" s="268">
        <f>'Monthly Data'!F114</f>
        <v>40999479.224246085</v>
      </c>
      <c r="E114" s="278">
        <f t="shared" ref="E114:F121" ca="1" si="13">E102</f>
        <v>64.294809115179262</v>
      </c>
      <c r="F114" s="278">
        <f t="shared" ca="1" si="13"/>
        <v>130.22445928308915</v>
      </c>
      <c r="G114" s="278">
        <f>'Monthly Data'!BF114</f>
        <v>15.562499999999984</v>
      </c>
      <c r="H114" s="278">
        <f>'Monthly Data'!BK114</f>
        <v>169.12916666666669</v>
      </c>
      <c r="I114" s="278">
        <f ca="1">F114*'Monthly Data'!CH114</f>
        <v>32.556114820772287</v>
      </c>
      <c r="J114" s="18">
        <f>'Monthly Data'!DG114</f>
        <v>27.512500000000003</v>
      </c>
      <c r="K114" s="1">
        <f>'Monthly Data'!CC114</f>
        <v>113</v>
      </c>
      <c r="M114" s="18"/>
      <c r="N114" s="18">
        <f ca="1">(E114-G114)*'Res Predicted Monthly'!$T$10</f>
        <v>1745417.8718917728</v>
      </c>
      <c r="O114" s="18">
        <f ca="1">(F114-H114)*'Res Predicted Monthly'!$T$11</f>
        <v>-2279451.0458375448</v>
      </c>
      <c r="P114" s="18">
        <f ca="1">(I114-J114)*'Res Predicted Monthly'!$T$12</f>
        <v>76455.470529333688</v>
      </c>
      <c r="Q114" s="18"/>
      <c r="R114" s="268">
        <f t="shared" ca="1" si="12"/>
        <v>40465446.050300315</v>
      </c>
    </row>
    <row r="115" spans="1:18" x14ac:dyDescent="0.25">
      <c r="A115" s="3">
        <f>'Monthly Data'!A115</f>
        <v>45444</v>
      </c>
      <c r="B115" s="1">
        <f t="shared" si="7"/>
        <v>2024</v>
      </c>
      <c r="C115" s="1">
        <f t="shared" si="8"/>
        <v>6</v>
      </c>
      <c r="D115" s="268">
        <f>'Monthly Data'!F115</f>
        <v>45946444.049043909</v>
      </c>
      <c r="E115" s="278">
        <f t="shared" ca="1" si="13"/>
        <v>3.2341666666666669</v>
      </c>
      <c r="F115" s="278">
        <f t="shared" ca="1" si="13"/>
        <v>254.51826754405016</v>
      </c>
      <c r="G115" s="278">
        <f>'Monthly Data'!BF115</f>
        <v>2.4583333333333321</v>
      </c>
      <c r="H115" s="278">
        <f>'Monthly Data'!BK115</f>
        <v>264.15416666666664</v>
      </c>
      <c r="I115" s="278">
        <f ca="1">F115*'Monthly Data'!CH115</f>
        <v>63.62956688601254</v>
      </c>
      <c r="J115" s="18">
        <f>'Monthly Data'!DG115</f>
        <v>51.038541666666667</v>
      </c>
      <c r="K115" s="1">
        <f>'Monthly Data'!CC115</f>
        <v>114</v>
      </c>
      <c r="M115" s="18"/>
      <c r="N115" s="18">
        <f ca="1">(E115-G115)*'Res Predicted Monthly'!$T$10</f>
        <v>27787.588772139137</v>
      </c>
      <c r="O115" s="18">
        <f ca="1">(F115-H115)*'Res Predicted Monthly'!$T$11</f>
        <v>-564573.33340347628</v>
      </c>
      <c r="P115" s="18">
        <f ca="1">(I115-J115)*'Res Predicted Monthly'!$T$12</f>
        <v>190865.63740495814</v>
      </c>
      <c r="Q115" s="18"/>
      <c r="R115" s="268">
        <f t="shared" ca="1" si="12"/>
        <v>45409658.304412574</v>
      </c>
    </row>
    <row r="116" spans="1:18" x14ac:dyDescent="0.25">
      <c r="A116" s="3">
        <v>45474</v>
      </c>
      <c r="B116" s="1">
        <f t="shared" ref="B116:B133" si="14">YEAR(A116)</f>
        <v>2024</v>
      </c>
      <c r="C116" s="1">
        <f t="shared" ref="C116:C133" si="15">MONTH(A116)</f>
        <v>7</v>
      </c>
      <c r="D116" s="268">
        <f>'Monthly Data'!F116</f>
        <v>55632987.866458856</v>
      </c>
      <c r="E116" s="278">
        <f t="shared" ca="1" si="13"/>
        <v>0</v>
      </c>
      <c r="F116" s="278">
        <f t="shared" ca="1" si="13"/>
        <v>359.94737858727854</v>
      </c>
      <c r="G116" s="278">
        <f>'Monthly Data'!BF116</f>
        <v>0</v>
      </c>
      <c r="H116" s="278">
        <f>'Monthly Data'!BK116</f>
        <v>365.14166666666671</v>
      </c>
      <c r="I116" s="278">
        <f ca="1">F116*'Monthly Data'!CH116</f>
        <v>89.986844646819634</v>
      </c>
      <c r="J116" s="18">
        <f>'Monthly Data'!DG116</f>
        <v>75.785416666666663</v>
      </c>
      <c r="K116" s="1">
        <f>'Monthly Data'!CC116</f>
        <v>115</v>
      </c>
      <c r="M116" s="18"/>
      <c r="N116" s="18">
        <f ca="1">(E116-G116)*'Res Predicted Monthly'!$T$10</f>
        <v>0</v>
      </c>
      <c r="O116" s="18">
        <f ca="1">(F116-H116)*'Res Predicted Monthly'!$T$11</f>
        <v>-304336.57496009895</v>
      </c>
      <c r="P116" s="18">
        <f ca="1">(I116-J116)*'Res Predicted Monthly'!$T$12</f>
        <v>215277.51364740121</v>
      </c>
      <c r="Q116" s="18"/>
      <c r="R116" s="268">
        <f t="shared" ca="1" si="12"/>
        <v>55328651.291498758</v>
      </c>
    </row>
    <row r="117" spans="1:18" x14ac:dyDescent="0.25">
      <c r="A117" s="3">
        <v>45505</v>
      </c>
      <c r="B117" s="1">
        <f t="shared" si="14"/>
        <v>2024</v>
      </c>
      <c r="C117" s="1">
        <f t="shared" si="15"/>
        <v>8</v>
      </c>
      <c r="D117" s="268">
        <f>'Monthly Data'!F117</f>
        <v>55407027.68387381</v>
      </c>
      <c r="E117" s="278">
        <f t="shared" ca="1" si="13"/>
        <v>0</v>
      </c>
      <c r="F117" s="278">
        <f t="shared" ca="1" si="13"/>
        <v>334.96558794466404</v>
      </c>
      <c r="G117" s="278">
        <f>'Monthly Data'!BF117</f>
        <v>0</v>
      </c>
      <c r="H117" s="278">
        <f>'Monthly Data'!BK117</f>
        <v>324.86666666666667</v>
      </c>
      <c r="I117" s="278">
        <f ca="1">F117*'Monthly Data'!CH117</f>
        <v>83.741396986166009</v>
      </c>
      <c r="J117" s="18">
        <f>'Monthly Data'!DG117</f>
        <v>65.716666666666669</v>
      </c>
      <c r="K117" s="1">
        <f>'Monthly Data'!CC117</f>
        <v>116</v>
      </c>
      <c r="M117" s="18"/>
      <c r="N117" s="18">
        <f ca="1">(E117-G117)*'Res Predicted Monthly'!$T$10</f>
        <v>0</v>
      </c>
      <c r="O117" s="18">
        <f ca="1">(F117-H117)*'Res Predicted Monthly'!$T$11</f>
        <v>591702.08998100122</v>
      </c>
      <c r="P117" s="18">
        <f ca="1">(I117-J117)*'Res Predicted Monthly'!$T$12</f>
        <v>273234.43338019511</v>
      </c>
      <c r="Q117" s="18"/>
      <c r="R117" s="268">
        <f t="shared" ca="1" si="12"/>
        <v>55998729.773854814</v>
      </c>
    </row>
    <row r="118" spans="1:18" x14ac:dyDescent="0.25">
      <c r="A118" s="3">
        <v>45536</v>
      </c>
      <c r="B118" s="1">
        <f t="shared" si="14"/>
        <v>2024</v>
      </c>
      <c r="C118" s="1">
        <f t="shared" si="15"/>
        <v>9</v>
      </c>
      <c r="D118" s="268">
        <f>'Monthly Data'!F118</f>
        <v>47324482.501288757</v>
      </c>
      <c r="E118" s="278">
        <f t="shared" ca="1" si="13"/>
        <v>10.413369565217392</v>
      </c>
      <c r="F118" s="278">
        <f t="shared" ca="1" si="13"/>
        <v>216.57430900621117</v>
      </c>
      <c r="G118" s="278">
        <f>'Monthly Data'!BF118</f>
        <v>2.5625000000000036</v>
      </c>
      <c r="H118" s="278">
        <f>'Monthly Data'!BK118</f>
        <v>231.3</v>
      </c>
      <c r="I118" s="278">
        <f ca="1">F118*'Monthly Data'!CH118</f>
        <v>54.143577251552792</v>
      </c>
      <c r="J118" s="18">
        <f>'Monthly Data'!DG118</f>
        <v>42.824999999999996</v>
      </c>
      <c r="K118" s="1">
        <f>'Monthly Data'!CC118</f>
        <v>117</v>
      </c>
      <c r="M118" s="18"/>
      <c r="N118" s="18">
        <f ca="1">(E118-G118)*'Res Predicted Monthly'!$T$10</f>
        <v>281190.20620661206</v>
      </c>
      <c r="O118" s="18">
        <f ca="1">(F118-H118)*'Res Predicted Monthly'!$T$11</f>
        <v>-862787.41041608714</v>
      </c>
      <c r="P118" s="18">
        <f ca="1">(I118-J118)*'Res Predicted Monthly'!$T$12</f>
        <v>171576.77186728059</v>
      </c>
      <c r="Q118" s="18"/>
      <c r="R118" s="268">
        <f t="shared" ca="1" si="12"/>
        <v>46742885.29707928</v>
      </c>
    </row>
    <row r="119" spans="1:18" x14ac:dyDescent="0.25">
      <c r="A119" s="3">
        <v>45566</v>
      </c>
      <c r="B119" s="1">
        <f t="shared" si="14"/>
        <v>2024</v>
      </c>
      <c r="C119" s="1">
        <f t="shared" si="15"/>
        <v>10</v>
      </c>
      <c r="D119" s="268">
        <f>'Monthly Data'!F119</f>
        <v>39896304.318703704</v>
      </c>
      <c r="E119" s="278">
        <f t="shared" ca="1" si="13"/>
        <v>130.19639492753623</v>
      </c>
      <c r="F119" s="278">
        <f t="shared" ca="1" si="13"/>
        <v>62.266666666666673</v>
      </c>
      <c r="G119" s="278">
        <f>'Monthly Data'!BF119</f>
        <v>122.06250000000001</v>
      </c>
      <c r="H119" s="278">
        <f>'Monthly Data'!BK119</f>
        <v>60.087500000000006</v>
      </c>
      <c r="I119" s="278">
        <f ca="1">F119*'Monthly Data'!CH119</f>
        <v>15.566666666666668</v>
      </c>
      <c r="J119" s="18">
        <f>'Monthly Data'!DG119</f>
        <v>7.7760416666666696</v>
      </c>
      <c r="K119" s="1">
        <f>'Monthly Data'!CC119</f>
        <v>118</v>
      </c>
      <c r="M119" s="18"/>
      <c r="N119" s="18">
        <f ca="1">(E119-G119)*'Res Predicted Monthly'!$T$10</f>
        <v>291327.16738410032</v>
      </c>
      <c r="O119" s="18">
        <f ca="1">(F119-H119)*'Res Predicted Monthly'!$T$11</f>
        <v>127678.73276652503</v>
      </c>
      <c r="P119" s="18">
        <f ca="1">(I119-J119)*'Res Predicted Monthly'!$T$12</f>
        <v>118097.02391218403</v>
      </c>
      <c r="Q119" s="18"/>
      <c r="R119" s="268">
        <f t="shared" ca="1" si="12"/>
        <v>40315310.21885433</v>
      </c>
    </row>
    <row r="120" spans="1:18" x14ac:dyDescent="0.25">
      <c r="A120" s="3">
        <v>45597</v>
      </c>
      <c r="B120" s="1">
        <f t="shared" si="14"/>
        <v>2024</v>
      </c>
      <c r="C120" s="1">
        <f t="shared" si="15"/>
        <v>11</v>
      </c>
      <c r="D120" s="268">
        <f>'Monthly Data'!F120</f>
        <v>40946320.13611865</v>
      </c>
      <c r="E120" s="278">
        <f t="shared" ca="1" si="13"/>
        <v>307.43824722379077</v>
      </c>
      <c r="F120" s="278">
        <f t="shared" ca="1" si="13"/>
        <v>5.6391666666666662</v>
      </c>
      <c r="G120" s="278">
        <f>'Monthly Data'!BF120</f>
        <v>251.79583333333335</v>
      </c>
      <c r="H120" s="278">
        <f>'Monthly Data'!BK120</f>
        <v>15.029166666666661</v>
      </c>
      <c r="I120" s="278">
        <f ca="1">F120*'Monthly Data'!CH120</f>
        <v>1.4097916666666666</v>
      </c>
      <c r="J120" s="18">
        <f>'Monthly Data'!DG120</f>
        <v>2.3760416666666657</v>
      </c>
      <c r="K120" s="1">
        <f>'Monthly Data'!CC120</f>
        <v>119</v>
      </c>
      <c r="M120" s="18"/>
      <c r="N120" s="18">
        <f ca="1">(E120-G120)*'Res Predicted Monthly'!$T$10</f>
        <v>1992913.2315495475</v>
      </c>
      <c r="O120" s="18">
        <f ca="1">(F120-H120)*'Res Predicted Monthly'!$T$11</f>
        <v>-550165.9505977832</v>
      </c>
      <c r="P120" s="18">
        <f ca="1">(I120-J120)*'Res Predicted Monthly'!$T$12</f>
        <v>-14647.252223685229</v>
      </c>
      <c r="Q120" s="18"/>
      <c r="R120" s="268">
        <f t="shared" ca="1" si="12"/>
        <v>42389067.417070411</v>
      </c>
    </row>
    <row r="121" spans="1:18" x14ac:dyDescent="0.25">
      <c r="A121" s="3">
        <v>45627</v>
      </c>
      <c r="B121" s="1">
        <f t="shared" si="14"/>
        <v>2024</v>
      </c>
      <c r="C121" s="1">
        <f t="shared" si="15"/>
        <v>12</v>
      </c>
      <c r="D121" s="268">
        <f>'Monthly Data'!F121</f>
        <v>47984220.953533597</v>
      </c>
      <c r="E121" s="278">
        <f t="shared" ca="1" si="13"/>
        <v>453.92800724637681</v>
      </c>
      <c r="F121" s="278">
        <f t="shared" ca="1" si="13"/>
        <v>0.12791666666666668</v>
      </c>
      <c r="G121" s="278">
        <f>'Monthly Data'!BF121</f>
        <v>474.57499999999999</v>
      </c>
      <c r="H121" s="278">
        <f>'Monthly Data'!BK121</f>
        <v>0</v>
      </c>
      <c r="I121" s="278">
        <f ca="1">F121*'Monthly Data'!CH121</f>
        <v>3.197916666666667E-2</v>
      </c>
      <c r="J121" s="18">
        <f>'Monthly Data'!DG121</f>
        <v>0</v>
      </c>
      <c r="K121" s="1">
        <f>'Monthly Data'!CC121</f>
        <v>120</v>
      </c>
      <c r="M121" s="18"/>
      <c r="N121" s="18">
        <f ca="1">(E121-G121)*'Res Predicted Monthly'!$T$10</f>
        <v>-739501.79680216964</v>
      </c>
      <c r="O121" s="18">
        <f ca="1">(F121-H121)*'Res Predicted Monthly'!$T$11</f>
        <v>7494.7172006354076</v>
      </c>
      <c r="P121" s="18">
        <f ca="1">(I121-J121)*'Res Predicted Monthly'!$T$12</f>
        <v>484.76783448376125</v>
      </c>
      <c r="Q121" s="18"/>
      <c r="R121" s="268">
        <f t="shared" ca="1" si="12"/>
        <v>47252213.873932064</v>
      </c>
    </row>
    <row r="122" spans="1:18" x14ac:dyDescent="0.25">
      <c r="A122" s="3">
        <v>45658</v>
      </c>
      <c r="B122" s="1">
        <f t="shared" si="14"/>
        <v>2025</v>
      </c>
      <c r="C122" s="1">
        <f t="shared" si="15"/>
        <v>1</v>
      </c>
      <c r="E122" s="289">
        <f t="shared" ref="E122:F130" ca="1" si="16">E110</f>
        <v>573.33418478260865</v>
      </c>
      <c r="F122" s="289">
        <f t="shared" ca="1" si="16"/>
        <v>0</v>
      </c>
      <c r="G122" s="278"/>
      <c r="H122" s="278"/>
      <c r="I122" s="278">
        <f ca="1">F122*0.25</f>
        <v>0</v>
      </c>
      <c r="K122" s="289">
        <f>K121+1</f>
        <v>121</v>
      </c>
      <c r="M122" s="18">
        <f>'Res Predicted Monthly'!$T$9</f>
        <v>24255450.877923299</v>
      </c>
      <c r="N122" s="18">
        <f ca="1">E122*'Res Predicted Monthly'!$T$10</f>
        <v>20534789.975186337</v>
      </c>
      <c r="O122" s="18">
        <f ca="1">F122*'Res Predicted Monthly'!$T$11</f>
        <v>0</v>
      </c>
      <c r="P122" s="18">
        <f ca="1">I122*'Res Predicted Monthly'!$T$12</f>
        <v>0</v>
      </c>
      <c r="Q122" s="18">
        <f>K122*'Res Predicted Monthly'!$T$13</f>
        <v>7725062.3563286792</v>
      </c>
      <c r="R122" s="268">
        <f t="shared" ref="R122:R145" ca="1" si="17">SUM(M122:Q122)</f>
        <v>52515303.209438317</v>
      </c>
    </row>
    <row r="123" spans="1:18" x14ac:dyDescent="0.25">
      <c r="A123" s="3">
        <v>45689</v>
      </c>
      <c r="B123" s="1">
        <f t="shared" si="14"/>
        <v>2025</v>
      </c>
      <c r="C123" s="1">
        <f t="shared" si="15"/>
        <v>2</v>
      </c>
      <c r="E123" s="289">
        <f t="shared" ca="1" si="16"/>
        <v>511.05501811594206</v>
      </c>
      <c r="F123" s="289">
        <f t="shared" ca="1" si="16"/>
        <v>0</v>
      </c>
      <c r="G123" s="278"/>
      <c r="H123" s="278"/>
      <c r="I123" s="278">
        <f t="shared" ref="I123:I145" ca="1" si="18">F123*0.25</f>
        <v>0</v>
      </c>
      <c r="K123" s="289">
        <f t="shared" ref="K123:K145" si="19">K122+1</f>
        <v>122</v>
      </c>
      <c r="M123" s="18">
        <f>'Res Predicted Monthly'!$T$9</f>
        <v>24255450.877923299</v>
      </c>
      <c r="N123" s="18">
        <f ca="1">E123*'Res Predicted Monthly'!$T$10</f>
        <v>18304171.879712854</v>
      </c>
      <c r="O123" s="18">
        <f ca="1">F123*'Res Predicted Monthly'!$T$11</f>
        <v>0</v>
      </c>
      <c r="P123" s="18">
        <f ca="1">I123*'Res Predicted Monthly'!$T$12</f>
        <v>0</v>
      </c>
      <c r="Q123" s="18">
        <f>K123*'Res Predicted Monthly'!$T$13</f>
        <v>7788905.8468768494</v>
      </c>
      <c r="R123" s="268">
        <f t="shared" ca="1" si="17"/>
        <v>50348528.604513004</v>
      </c>
    </row>
    <row r="124" spans="1:18" x14ac:dyDescent="0.25">
      <c r="A124" s="3">
        <v>45717</v>
      </c>
      <c r="B124" s="1">
        <f t="shared" si="14"/>
        <v>2025</v>
      </c>
      <c r="C124" s="1">
        <f t="shared" si="15"/>
        <v>3</v>
      </c>
      <c r="E124" s="289">
        <f t="shared" ca="1" si="16"/>
        <v>422.13298913043479</v>
      </c>
      <c r="F124" s="289">
        <f t="shared" ca="1" si="16"/>
        <v>0.51874999999999927</v>
      </c>
      <c r="G124" s="278"/>
      <c r="H124" s="278"/>
      <c r="I124" s="278">
        <f t="shared" ca="1" si="18"/>
        <v>0.12968749999999982</v>
      </c>
      <c r="K124" s="289">
        <f t="shared" si="19"/>
        <v>123</v>
      </c>
      <c r="M124" s="18">
        <f>'Res Predicted Monthly'!$T$9</f>
        <v>24255450.877923299</v>
      </c>
      <c r="N124" s="18">
        <f ca="1">E124*'Res Predicted Monthly'!$T$10</f>
        <v>15119301.279197056</v>
      </c>
      <c r="O124" s="18">
        <f ca="1">F124*'Res Predicted Monthly'!$T$11</f>
        <v>30393.885715931818</v>
      </c>
      <c r="P124" s="18">
        <f ca="1">I124*'Res Predicted Monthly'!$T$12</f>
        <v>1965.9151593885404</v>
      </c>
      <c r="Q124" s="18">
        <f>K124*'Res Predicted Monthly'!$T$13</f>
        <v>7852749.3374250205</v>
      </c>
      <c r="R124" s="268">
        <f t="shared" ca="1" si="17"/>
        <v>47259861.295420699</v>
      </c>
    </row>
    <row r="125" spans="1:18" x14ac:dyDescent="0.25">
      <c r="A125" s="3">
        <v>45748</v>
      </c>
      <c r="B125" s="1">
        <f t="shared" si="14"/>
        <v>2025</v>
      </c>
      <c r="C125" s="1">
        <f t="shared" si="15"/>
        <v>4</v>
      </c>
      <c r="E125" s="289">
        <f t="shared" ca="1" si="16"/>
        <v>234.57024621212122</v>
      </c>
      <c r="F125" s="289">
        <f t="shared" ca="1" si="16"/>
        <v>12.79125</v>
      </c>
      <c r="G125" s="278"/>
      <c r="H125" s="278"/>
      <c r="I125" s="278">
        <f t="shared" ca="1" si="18"/>
        <v>3.1978124999999999</v>
      </c>
      <c r="K125" s="289">
        <f t="shared" si="19"/>
        <v>124</v>
      </c>
      <c r="M125" s="18">
        <f>'Res Predicted Monthly'!$T$9</f>
        <v>24255450.877923299</v>
      </c>
      <c r="N125" s="18">
        <f ca="1">E125*'Res Predicted Monthly'!$T$10</f>
        <v>8401471.372616766</v>
      </c>
      <c r="O125" s="18">
        <f ca="1">F125*'Res Predicted Monthly'!$T$11</f>
        <v>749447.30730392947</v>
      </c>
      <c r="P125" s="18">
        <f ca="1">I125*'Res Predicted Monthly'!$T$12</f>
        <v>48475.204400055329</v>
      </c>
      <c r="Q125" s="18">
        <f>K125*'Res Predicted Monthly'!$T$13</f>
        <v>7916592.8279731916</v>
      </c>
      <c r="R125" s="268">
        <f t="shared" ca="1" si="17"/>
        <v>41371437.59021724</v>
      </c>
    </row>
    <row r="126" spans="1:18" x14ac:dyDescent="0.25">
      <c r="A126" s="3">
        <v>45778</v>
      </c>
      <c r="B126" s="1">
        <f t="shared" si="14"/>
        <v>2025</v>
      </c>
      <c r="C126" s="1">
        <f t="shared" si="15"/>
        <v>5</v>
      </c>
      <c r="E126" s="289">
        <f t="shared" ca="1" si="16"/>
        <v>64.294809115179262</v>
      </c>
      <c r="F126" s="289">
        <f t="shared" ca="1" si="16"/>
        <v>130.22445928308915</v>
      </c>
      <c r="G126" s="278"/>
      <c r="H126" s="278"/>
      <c r="I126" s="278">
        <f t="shared" ca="1" si="18"/>
        <v>32.556114820772287</v>
      </c>
      <c r="K126" s="289">
        <f t="shared" si="19"/>
        <v>125</v>
      </c>
      <c r="M126" s="18">
        <f>'Res Predicted Monthly'!$T$9</f>
        <v>24255450.877923299</v>
      </c>
      <c r="N126" s="18">
        <f ca="1">E126*'Res Predicted Monthly'!$T$10</f>
        <v>2302811.2342115333</v>
      </c>
      <c r="O126" s="18">
        <f ca="1">F126*'Res Predicted Monthly'!$T$11</f>
        <v>7629932.2079406912</v>
      </c>
      <c r="P126" s="18">
        <f ca="1">I126*'Res Predicted Monthly'!$T$12</f>
        <v>493513.71301744779</v>
      </c>
      <c r="Q126" s="18">
        <f>K126*'Res Predicted Monthly'!$T$13</f>
        <v>7980436.3185213627</v>
      </c>
      <c r="R126" s="268">
        <f t="shared" ca="1" si="17"/>
        <v>42662144.351614341</v>
      </c>
    </row>
    <row r="127" spans="1:18" x14ac:dyDescent="0.25">
      <c r="A127" s="3">
        <v>45809</v>
      </c>
      <c r="B127" s="1">
        <f t="shared" si="14"/>
        <v>2025</v>
      </c>
      <c r="C127" s="1">
        <f t="shared" si="15"/>
        <v>6</v>
      </c>
      <c r="E127" s="289">
        <f t="shared" ca="1" si="16"/>
        <v>3.2341666666666669</v>
      </c>
      <c r="F127" s="289">
        <f t="shared" ca="1" si="16"/>
        <v>254.51826754405016</v>
      </c>
      <c r="G127" s="278"/>
      <c r="H127" s="278"/>
      <c r="I127" s="278">
        <f t="shared" ca="1" si="18"/>
        <v>63.62956688601254</v>
      </c>
      <c r="K127" s="289">
        <f t="shared" si="19"/>
        <v>126</v>
      </c>
      <c r="M127" s="18">
        <f>'Res Predicted Monthly'!$T$9</f>
        <v>24255450.877923299</v>
      </c>
      <c r="N127" s="18">
        <f ca="1">E127*'Res Predicted Monthly'!$T$10</f>
        <v>115836.33944647886</v>
      </c>
      <c r="O127" s="18">
        <f ca="1">F127*'Res Predicted Monthly'!$T$11</f>
        <v>14912383.877302805</v>
      </c>
      <c r="P127" s="18">
        <f ca="1">I127*'Res Predicted Monthly'!$T$12</f>
        <v>964551.94314439944</v>
      </c>
      <c r="Q127" s="18">
        <f>K127*'Res Predicted Monthly'!$T$13</f>
        <v>8044279.8090695329</v>
      </c>
      <c r="R127" s="268">
        <f t="shared" ca="1" si="17"/>
        <v>48292502.846886516</v>
      </c>
    </row>
    <row r="128" spans="1:18" x14ac:dyDescent="0.25">
      <c r="A128" s="3">
        <v>45839</v>
      </c>
      <c r="B128" s="1">
        <f t="shared" si="14"/>
        <v>2025</v>
      </c>
      <c r="C128" s="1">
        <f t="shared" si="15"/>
        <v>7</v>
      </c>
      <c r="E128" s="289">
        <f t="shared" ca="1" si="16"/>
        <v>0</v>
      </c>
      <c r="F128" s="289">
        <f t="shared" ca="1" si="16"/>
        <v>359.94737858727854</v>
      </c>
      <c r="G128" s="278"/>
      <c r="H128" s="278"/>
      <c r="I128" s="278">
        <f t="shared" ca="1" si="18"/>
        <v>89.986844646819634</v>
      </c>
      <c r="K128" s="289">
        <f t="shared" si="19"/>
        <v>127</v>
      </c>
      <c r="M128" s="18">
        <f>'Res Predicted Monthly'!$T$9</f>
        <v>24255450.877923299</v>
      </c>
      <c r="N128" s="18">
        <f ca="1">E128*'Res Predicted Monthly'!$T$10</f>
        <v>0</v>
      </c>
      <c r="O128" s="18">
        <f ca="1">F128*'Res Predicted Monthly'!$T$11</f>
        <v>21089541.182710368</v>
      </c>
      <c r="P128" s="18">
        <f ca="1">I128*'Res Predicted Monthly'!$T$12</f>
        <v>1364098.3289578755</v>
      </c>
      <c r="Q128" s="18">
        <f>K128*'Res Predicted Monthly'!$T$13</f>
        <v>8108123.299617704</v>
      </c>
      <c r="R128" s="268">
        <f t="shared" ca="1" si="17"/>
        <v>54817213.689209253</v>
      </c>
    </row>
    <row r="129" spans="1:18" x14ac:dyDescent="0.25">
      <c r="A129" s="3">
        <v>45870</v>
      </c>
      <c r="B129" s="1">
        <f t="shared" si="14"/>
        <v>2025</v>
      </c>
      <c r="C129" s="1">
        <f t="shared" si="15"/>
        <v>8</v>
      </c>
      <c r="E129" s="289">
        <f t="shared" ca="1" si="16"/>
        <v>0</v>
      </c>
      <c r="F129" s="289">
        <f t="shared" ca="1" si="16"/>
        <v>334.96558794466404</v>
      </c>
      <c r="G129" s="278"/>
      <c r="H129" s="278"/>
      <c r="I129" s="278">
        <f t="shared" ca="1" si="18"/>
        <v>83.741396986166009</v>
      </c>
      <c r="K129" s="289">
        <f t="shared" si="19"/>
        <v>128</v>
      </c>
      <c r="M129" s="18">
        <f>'Res Predicted Monthly'!$T$9</f>
        <v>24255450.877923299</v>
      </c>
      <c r="N129" s="18">
        <f ca="1">E129*'Res Predicted Monthly'!$T$10</f>
        <v>0</v>
      </c>
      <c r="O129" s="18">
        <f ca="1">F129*'Res Predicted Monthly'!$T$11</f>
        <v>19625842.503633816</v>
      </c>
      <c r="P129" s="18">
        <f ca="1">I129*'Res Predicted Monthly'!$T$12</f>
        <v>1269424.4380027205</v>
      </c>
      <c r="Q129" s="18">
        <f>K129*'Res Predicted Monthly'!$T$13</f>
        <v>8171966.7901658751</v>
      </c>
      <c r="R129" s="268">
        <f t="shared" ca="1" si="17"/>
        <v>53322684.609725714</v>
      </c>
    </row>
    <row r="130" spans="1:18" x14ac:dyDescent="0.25">
      <c r="A130" s="3">
        <v>45901</v>
      </c>
      <c r="B130" s="1">
        <f t="shared" si="14"/>
        <v>2025</v>
      </c>
      <c r="C130" s="1">
        <f t="shared" si="15"/>
        <v>9</v>
      </c>
      <c r="E130" s="289">
        <f t="shared" ca="1" si="16"/>
        <v>10.413369565217392</v>
      </c>
      <c r="F130" s="289">
        <f t="shared" ca="1" si="16"/>
        <v>216.57430900621117</v>
      </c>
      <c r="G130" s="278"/>
      <c r="H130" s="278"/>
      <c r="I130" s="278">
        <f t="shared" ca="1" si="18"/>
        <v>54.143577251552792</v>
      </c>
      <c r="K130" s="289">
        <f t="shared" si="19"/>
        <v>129</v>
      </c>
      <c r="M130" s="18">
        <f>'Res Predicted Monthly'!$T$9</f>
        <v>24255450.877923299</v>
      </c>
      <c r="N130" s="18">
        <f ca="1">E130*'Res Predicted Monthly'!$T$10</f>
        <v>372969.83614681382</v>
      </c>
      <c r="O130" s="18">
        <f ca="1">F130*'Res Predicted Monthly'!$T$11</f>
        <v>12689223.704947844</v>
      </c>
      <c r="P130" s="18">
        <f ca="1">I130*'Res Predicted Monthly'!$T$12</f>
        <v>820755.11751211411</v>
      </c>
      <c r="Q130" s="18">
        <f>K130*'Res Predicted Monthly'!$T$13</f>
        <v>8235810.2807140462</v>
      </c>
      <c r="R130" s="268">
        <f t="shared" ca="1" si="17"/>
        <v>46374209.817244112</v>
      </c>
    </row>
    <row r="131" spans="1:18" x14ac:dyDescent="0.25">
      <c r="A131" s="3">
        <v>45931</v>
      </c>
      <c r="B131" s="1">
        <f t="shared" si="14"/>
        <v>2025</v>
      </c>
      <c r="C131" s="1">
        <f t="shared" si="15"/>
        <v>10</v>
      </c>
      <c r="E131" s="289">
        <f t="shared" ref="E131:F145" ca="1" si="20">E119</f>
        <v>130.19639492753623</v>
      </c>
      <c r="F131" s="289">
        <f t="shared" ca="1" si="20"/>
        <v>62.266666666666673</v>
      </c>
      <c r="G131" s="278"/>
      <c r="H131" s="278"/>
      <c r="I131" s="278">
        <f t="shared" ca="1" si="18"/>
        <v>15.566666666666668</v>
      </c>
      <c r="K131" s="289">
        <f t="shared" si="19"/>
        <v>130</v>
      </c>
      <c r="M131" s="18">
        <f>'Res Predicted Monthly'!$T$9</f>
        <v>24255450.877923299</v>
      </c>
      <c r="N131" s="18">
        <f ca="1">E131*'Res Predicted Monthly'!$T$10</f>
        <v>4663171.4911210211</v>
      </c>
      <c r="O131" s="18">
        <f ca="1">F131*'Res Predicted Monthly'!$T$11</f>
        <v>3648242.796296271</v>
      </c>
      <c r="P131" s="18">
        <f ca="1">I131*'Res Predicted Monthly'!$T$12</f>
        <v>235972.98105945694</v>
      </c>
      <c r="Q131" s="18">
        <f>K131*'Res Predicted Monthly'!$T$13</f>
        <v>8299653.7712622173</v>
      </c>
      <c r="R131" s="268">
        <f t="shared" ca="1" si="17"/>
        <v>41102491.917662263</v>
      </c>
    </row>
    <row r="132" spans="1:18" x14ac:dyDescent="0.25">
      <c r="A132" s="3">
        <v>45962</v>
      </c>
      <c r="B132" s="1">
        <f t="shared" si="14"/>
        <v>2025</v>
      </c>
      <c r="C132" s="1">
        <f t="shared" si="15"/>
        <v>11</v>
      </c>
      <c r="E132" s="289">
        <f t="shared" ca="1" si="20"/>
        <v>307.43824722379077</v>
      </c>
      <c r="F132" s="289">
        <f t="shared" ca="1" si="20"/>
        <v>5.6391666666666662</v>
      </c>
      <c r="G132" s="278"/>
      <c r="H132" s="278"/>
      <c r="I132" s="278">
        <f t="shared" ca="1" si="18"/>
        <v>1.4097916666666666</v>
      </c>
      <c r="K132" s="289">
        <f t="shared" si="19"/>
        <v>131</v>
      </c>
      <c r="M132" s="18">
        <f>'Res Predicted Monthly'!$T$9</f>
        <v>24255450.877923299</v>
      </c>
      <c r="N132" s="18">
        <f ca="1">E132*'Res Predicted Monthly'!$T$10</f>
        <v>11011343.828161456</v>
      </c>
      <c r="O132" s="18">
        <f ca="1">F132*'Res Predicted Monthly'!$T$11</f>
        <v>330402.28857784881</v>
      </c>
      <c r="P132" s="18">
        <f ca="1">I132*'Res Predicted Monthly'!$T$12</f>
        <v>21370.839973626134</v>
      </c>
      <c r="Q132" s="18">
        <f>K132*'Res Predicted Monthly'!$T$13</f>
        <v>8363497.2618103875</v>
      </c>
      <c r="R132" s="268">
        <f t="shared" ca="1" si="17"/>
        <v>43982065.096446618</v>
      </c>
    </row>
    <row r="133" spans="1:18" x14ac:dyDescent="0.25">
      <c r="A133" s="3">
        <v>45992</v>
      </c>
      <c r="B133" s="1">
        <f t="shared" si="14"/>
        <v>2025</v>
      </c>
      <c r="C133" s="1">
        <f t="shared" si="15"/>
        <v>12</v>
      </c>
      <c r="E133" s="289">
        <f t="shared" ca="1" si="20"/>
        <v>453.92800724637681</v>
      </c>
      <c r="F133" s="289">
        <f t="shared" ca="1" si="20"/>
        <v>0.12791666666666668</v>
      </c>
      <c r="G133" s="278"/>
      <c r="H133" s="278"/>
      <c r="I133" s="278">
        <f t="shared" ca="1" si="18"/>
        <v>3.197916666666667E-2</v>
      </c>
      <c r="K133" s="289">
        <f t="shared" si="19"/>
        <v>132</v>
      </c>
      <c r="M133" s="18">
        <f>'Res Predicted Monthly'!$T$9</f>
        <v>24255450.877923299</v>
      </c>
      <c r="N133" s="18">
        <f ca="1">E133*'Res Predicted Monthly'!$T$10</f>
        <v>16258085.668123169</v>
      </c>
      <c r="O133" s="18">
        <f ca="1">F133*'Res Predicted Monthly'!$T$11</f>
        <v>7494.7172006354076</v>
      </c>
      <c r="P133" s="18">
        <f ca="1">I133*'Res Predicted Monthly'!$T$12</f>
        <v>484.76783448376125</v>
      </c>
      <c r="Q133" s="18">
        <f>K133*'Res Predicted Monthly'!$T$13</f>
        <v>8427340.7523585595</v>
      </c>
      <c r="R133" s="268">
        <f t="shared" ca="1" si="17"/>
        <v>48948856.783440143</v>
      </c>
    </row>
    <row r="134" spans="1:18" x14ac:dyDescent="0.25">
      <c r="A134" s="3">
        <v>46023</v>
      </c>
      <c r="B134" s="1">
        <f t="shared" ref="B134:B145" si="21">YEAR(A134)</f>
        <v>2026</v>
      </c>
      <c r="C134" s="1">
        <f t="shared" ref="C134:C145" si="22">MONTH(A134)</f>
        <v>1</v>
      </c>
      <c r="E134" s="289">
        <f t="shared" ca="1" si="20"/>
        <v>573.33418478260865</v>
      </c>
      <c r="F134" s="289">
        <f t="shared" ca="1" si="20"/>
        <v>0</v>
      </c>
      <c r="G134" s="278"/>
      <c r="H134" s="278"/>
      <c r="I134" s="278">
        <f t="shared" ca="1" si="18"/>
        <v>0</v>
      </c>
      <c r="K134" s="289">
        <f t="shared" si="19"/>
        <v>133</v>
      </c>
      <c r="M134" s="18">
        <f>'Res Predicted Monthly'!$T$9</f>
        <v>24255450.877923299</v>
      </c>
      <c r="N134" s="18">
        <f ca="1">E134*'Res Predicted Monthly'!$T$10</f>
        <v>20534789.975186337</v>
      </c>
      <c r="O134" s="18">
        <f ca="1">F134*'Res Predicted Monthly'!$T$11</f>
        <v>0</v>
      </c>
      <c r="P134" s="18">
        <f ca="1">I134*'Res Predicted Monthly'!$T$12</f>
        <v>0</v>
      </c>
      <c r="Q134" s="18">
        <f>K134*'Res Predicted Monthly'!$T$13</f>
        <v>8491184.2429067288</v>
      </c>
      <c r="R134" s="268">
        <f t="shared" ca="1" si="17"/>
        <v>53281425.096016362</v>
      </c>
    </row>
    <row r="135" spans="1:18" x14ac:dyDescent="0.25">
      <c r="A135" s="3">
        <v>46054</v>
      </c>
      <c r="B135" s="1">
        <f t="shared" si="21"/>
        <v>2026</v>
      </c>
      <c r="C135" s="1">
        <f t="shared" si="22"/>
        <v>2</v>
      </c>
      <c r="E135" s="289">
        <f t="shared" ca="1" si="20"/>
        <v>511.05501811594206</v>
      </c>
      <c r="F135" s="289">
        <f t="shared" ca="1" si="20"/>
        <v>0</v>
      </c>
      <c r="G135" s="278"/>
      <c r="H135" s="278"/>
      <c r="I135" s="278">
        <f t="shared" ca="1" si="18"/>
        <v>0</v>
      </c>
      <c r="K135" s="289">
        <f t="shared" si="19"/>
        <v>134</v>
      </c>
      <c r="M135" s="18">
        <f>'Res Predicted Monthly'!$T$9</f>
        <v>24255450.877923299</v>
      </c>
      <c r="N135" s="18">
        <f ca="1">E135*'Res Predicted Monthly'!$T$10</f>
        <v>18304171.879712854</v>
      </c>
      <c r="O135" s="18">
        <f ca="1">F135*'Res Predicted Monthly'!$T$11</f>
        <v>0</v>
      </c>
      <c r="P135" s="18">
        <f ca="1">I135*'Res Predicted Monthly'!$T$12</f>
        <v>0</v>
      </c>
      <c r="Q135" s="18">
        <f>K135*'Res Predicted Monthly'!$T$13</f>
        <v>8555027.7334548999</v>
      </c>
      <c r="R135" s="268">
        <f t="shared" ca="1" si="17"/>
        <v>51114650.49109105</v>
      </c>
    </row>
    <row r="136" spans="1:18" x14ac:dyDescent="0.25">
      <c r="A136" s="3">
        <v>46082</v>
      </c>
      <c r="B136" s="1">
        <f t="shared" si="21"/>
        <v>2026</v>
      </c>
      <c r="C136" s="1">
        <f t="shared" si="22"/>
        <v>3</v>
      </c>
      <c r="E136" s="289">
        <f t="shared" ca="1" si="20"/>
        <v>422.13298913043479</v>
      </c>
      <c r="F136" s="289">
        <f t="shared" ca="1" si="20"/>
        <v>0.51874999999999927</v>
      </c>
      <c r="G136" s="278"/>
      <c r="H136" s="278"/>
      <c r="I136" s="278">
        <f t="shared" ca="1" si="18"/>
        <v>0.12968749999999982</v>
      </c>
      <c r="K136" s="289">
        <f t="shared" si="19"/>
        <v>135</v>
      </c>
      <c r="M136" s="18">
        <f>'Res Predicted Monthly'!$T$9</f>
        <v>24255450.877923299</v>
      </c>
      <c r="N136" s="18">
        <f ca="1">E136*'Res Predicted Monthly'!$T$10</f>
        <v>15119301.279197056</v>
      </c>
      <c r="O136" s="18">
        <f ca="1">F136*'Res Predicted Monthly'!$T$11</f>
        <v>30393.885715931818</v>
      </c>
      <c r="P136" s="18">
        <f ca="1">I136*'Res Predicted Monthly'!$T$12</f>
        <v>1965.9151593885404</v>
      </c>
      <c r="Q136" s="18">
        <f>K136*'Res Predicted Monthly'!$T$13</f>
        <v>8618871.224003071</v>
      </c>
      <c r="R136" s="268">
        <f t="shared" ca="1" si="17"/>
        <v>48025983.181998745</v>
      </c>
    </row>
    <row r="137" spans="1:18" x14ac:dyDescent="0.25">
      <c r="A137" s="3">
        <v>46113</v>
      </c>
      <c r="B137" s="1">
        <f t="shared" si="21"/>
        <v>2026</v>
      </c>
      <c r="C137" s="1">
        <f t="shared" si="22"/>
        <v>4</v>
      </c>
      <c r="E137" s="289">
        <f t="shared" ca="1" si="20"/>
        <v>234.57024621212122</v>
      </c>
      <c r="F137" s="289">
        <f t="shared" ca="1" si="20"/>
        <v>12.79125</v>
      </c>
      <c r="G137" s="278"/>
      <c r="H137" s="278"/>
      <c r="I137" s="278">
        <f t="shared" ca="1" si="18"/>
        <v>3.1978124999999999</v>
      </c>
      <c r="K137" s="289">
        <f t="shared" si="19"/>
        <v>136</v>
      </c>
      <c r="M137" s="18">
        <f>'Res Predicted Monthly'!$T$9</f>
        <v>24255450.877923299</v>
      </c>
      <c r="N137" s="18">
        <f ca="1">E137*'Res Predicted Monthly'!$T$10</f>
        <v>8401471.372616766</v>
      </c>
      <c r="O137" s="18">
        <f ca="1">F137*'Res Predicted Monthly'!$T$11</f>
        <v>749447.30730392947</v>
      </c>
      <c r="P137" s="18">
        <f ca="1">I137*'Res Predicted Monthly'!$T$12</f>
        <v>48475.204400055329</v>
      </c>
      <c r="Q137" s="18">
        <f>K137*'Res Predicted Monthly'!$T$13</f>
        <v>8682714.7145512421</v>
      </c>
      <c r="R137" s="268">
        <f t="shared" ca="1" si="17"/>
        <v>42137559.476795286</v>
      </c>
    </row>
    <row r="138" spans="1:18" x14ac:dyDescent="0.25">
      <c r="A138" s="3">
        <v>46143</v>
      </c>
      <c r="B138" s="1">
        <f t="shared" si="21"/>
        <v>2026</v>
      </c>
      <c r="C138" s="1">
        <f t="shared" si="22"/>
        <v>5</v>
      </c>
      <c r="E138" s="289">
        <f t="shared" ca="1" si="20"/>
        <v>64.294809115179262</v>
      </c>
      <c r="F138" s="289">
        <f t="shared" ca="1" si="20"/>
        <v>130.22445928308915</v>
      </c>
      <c r="G138" s="278"/>
      <c r="H138" s="278"/>
      <c r="I138" s="278">
        <f t="shared" ca="1" si="18"/>
        <v>32.556114820772287</v>
      </c>
      <c r="K138" s="289">
        <f t="shared" si="19"/>
        <v>137</v>
      </c>
      <c r="M138" s="18">
        <f>'Res Predicted Monthly'!$T$9</f>
        <v>24255450.877923299</v>
      </c>
      <c r="N138" s="18">
        <f ca="1">E138*'Res Predicted Monthly'!$T$10</f>
        <v>2302811.2342115333</v>
      </c>
      <c r="O138" s="18">
        <f ca="1">F138*'Res Predicted Monthly'!$T$11</f>
        <v>7629932.2079406912</v>
      </c>
      <c r="P138" s="18">
        <f ca="1">I138*'Res Predicted Monthly'!$T$12</f>
        <v>493513.71301744779</v>
      </c>
      <c r="Q138" s="18">
        <f>K138*'Res Predicted Monthly'!$T$13</f>
        <v>8746558.2050994132</v>
      </c>
      <c r="R138" s="268">
        <f t="shared" ca="1" si="17"/>
        <v>43428266.238192387</v>
      </c>
    </row>
    <row r="139" spans="1:18" x14ac:dyDescent="0.25">
      <c r="A139" s="3">
        <v>46174</v>
      </c>
      <c r="B139" s="1">
        <f t="shared" si="21"/>
        <v>2026</v>
      </c>
      <c r="C139" s="1">
        <f t="shared" si="22"/>
        <v>6</v>
      </c>
      <c r="E139" s="289">
        <f t="shared" ca="1" si="20"/>
        <v>3.2341666666666669</v>
      </c>
      <c r="F139" s="289">
        <f t="shared" ca="1" si="20"/>
        <v>254.51826754405016</v>
      </c>
      <c r="G139" s="278"/>
      <c r="H139" s="278"/>
      <c r="I139" s="278">
        <f t="shared" ca="1" si="18"/>
        <v>63.62956688601254</v>
      </c>
      <c r="K139" s="289">
        <f t="shared" si="19"/>
        <v>138</v>
      </c>
      <c r="M139" s="18">
        <f>'Res Predicted Monthly'!$T$9</f>
        <v>24255450.877923299</v>
      </c>
      <c r="N139" s="18">
        <f ca="1">E139*'Res Predicted Monthly'!$T$10</f>
        <v>115836.33944647886</v>
      </c>
      <c r="O139" s="18">
        <f ca="1">F139*'Res Predicted Monthly'!$T$11</f>
        <v>14912383.877302805</v>
      </c>
      <c r="P139" s="18">
        <f ca="1">I139*'Res Predicted Monthly'!$T$12</f>
        <v>964551.94314439944</v>
      </c>
      <c r="Q139" s="18">
        <f>K139*'Res Predicted Monthly'!$T$13</f>
        <v>8810401.6956475843</v>
      </c>
      <c r="R139" s="268">
        <f t="shared" ca="1" si="17"/>
        <v>49058624.733464561</v>
      </c>
    </row>
    <row r="140" spans="1:18" x14ac:dyDescent="0.25">
      <c r="A140" s="3">
        <v>46204</v>
      </c>
      <c r="B140" s="1">
        <f t="shared" si="21"/>
        <v>2026</v>
      </c>
      <c r="C140" s="1">
        <f t="shared" si="22"/>
        <v>7</v>
      </c>
      <c r="E140" s="289">
        <f t="shared" ca="1" si="20"/>
        <v>0</v>
      </c>
      <c r="F140" s="289">
        <f t="shared" ca="1" si="20"/>
        <v>359.94737858727854</v>
      </c>
      <c r="G140" s="278"/>
      <c r="H140" s="278"/>
      <c r="I140" s="278">
        <f t="shared" ca="1" si="18"/>
        <v>89.986844646819634</v>
      </c>
      <c r="K140" s="289">
        <f t="shared" si="19"/>
        <v>139</v>
      </c>
      <c r="M140" s="18">
        <f>'Res Predicted Monthly'!$T$9</f>
        <v>24255450.877923299</v>
      </c>
      <c r="N140" s="18">
        <f ca="1">E140*'Res Predicted Monthly'!$T$10</f>
        <v>0</v>
      </c>
      <c r="O140" s="18">
        <f ca="1">F140*'Res Predicted Monthly'!$T$11</f>
        <v>21089541.182710368</v>
      </c>
      <c r="P140" s="18">
        <f ca="1">I140*'Res Predicted Monthly'!$T$12</f>
        <v>1364098.3289578755</v>
      </c>
      <c r="Q140" s="18">
        <f>K140*'Res Predicted Monthly'!$T$13</f>
        <v>8874245.1861957554</v>
      </c>
      <c r="R140" s="268">
        <f t="shared" ca="1" si="17"/>
        <v>55583335.575787298</v>
      </c>
    </row>
    <row r="141" spans="1:18" x14ac:dyDescent="0.25">
      <c r="A141" s="3">
        <v>46235</v>
      </c>
      <c r="B141" s="1">
        <f t="shared" si="21"/>
        <v>2026</v>
      </c>
      <c r="C141" s="1">
        <f t="shared" si="22"/>
        <v>8</v>
      </c>
      <c r="E141" s="289">
        <f t="shared" ca="1" si="20"/>
        <v>0</v>
      </c>
      <c r="F141" s="289">
        <f t="shared" ca="1" si="20"/>
        <v>334.96558794466404</v>
      </c>
      <c r="G141" s="278"/>
      <c r="H141" s="278"/>
      <c r="I141" s="278">
        <f t="shared" ca="1" si="18"/>
        <v>83.741396986166009</v>
      </c>
      <c r="K141" s="289">
        <f t="shared" si="19"/>
        <v>140</v>
      </c>
      <c r="M141" s="18">
        <f>'Res Predicted Monthly'!$T$9</f>
        <v>24255450.877923299</v>
      </c>
      <c r="N141" s="18">
        <f ca="1">E141*'Res Predicted Monthly'!$T$10</f>
        <v>0</v>
      </c>
      <c r="O141" s="18">
        <f ca="1">F141*'Res Predicted Monthly'!$T$11</f>
        <v>19625842.503633816</v>
      </c>
      <c r="P141" s="18">
        <f ca="1">I141*'Res Predicted Monthly'!$T$12</f>
        <v>1269424.4380027205</v>
      </c>
      <c r="Q141" s="18">
        <f>K141*'Res Predicted Monthly'!$T$13</f>
        <v>8938088.6767439265</v>
      </c>
      <c r="R141" s="268">
        <f t="shared" ca="1" si="17"/>
        <v>54088806.49630376</v>
      </c>
    </row>
    <row r="142" spans="1:18" x14ac:dyDescent="0.25">
      <c r="A142" s="3">
        <v>46266</v>
      </c>
      <c r="B142" s="1">
        <f t="shared" si="21"/>
        <v>2026</v>
      </c>
      <c r="C142" s="1">
        <f t="shared" si="22"/>
        <v>9</v>
      </c>
      <c r="E142" s="289">
        <f t="shared" ca="1" si="20"/>
        <v>10.413369565217392</v>
      </c>
      <c r="F142" s="289">
        <f t="shared" ca="1" si="20"/>
        <v>216.57430900621117</v>
      </c>
      <c r="G142" s="278"/>
      <c r="H142" s="278"/>
      <c r="I142" s="278">
        <f t="shared" ca="1" si="18"/>
        <v>54.143577251552792</v>
      </c>
      <c r="K142" s="289">
        <f t="shared" si="19"/>
        <v>141</v>
      </c>
      <c r="M142" s="18">
        <f>'Res Predicted Monthly'!$T$9</f>
        <v>24255450.877923299</v>
      </c>
      <c r="N142" s="18">
        <f ca="1">E142*'Res Predicted Monthly'!$T$10</f>
        <v>372969.83614681382</v>
      </c>
      <c r="O142" s="18">
        <f ca="1">F142*'Res Predicted Monthly'!$T$11</f>
        <v>12689223.704947844</v>
      </c>
      <c r="P142" s="18">
        <f ca="1">I142*'Res Predicted Monthly'!$T$12</f>
        <v>820755.11751211411</v>
      </c>
      <c r="Q142" s="18">
        <f>K142*'Res Predicted Monthly'!$T$13</f>
        <v>9001932.1672920976</v>
      </c>
      <c r="R142" s="268">
        <f t="shared" ca="1" si="17"/>
        <v>47140331.703822166</v>
      </c>
    </row>
    <row r="143" spans="1:18" x14ac:dyDescent="0.25">
      <c r="A143" s="3">
        <v>46296</v>
      </c>
      <c r="B143" s="1">
        <f t="shared" si="21"/>
        <v>2026</v>
      </c>
      <c r="C143" s="1">
        <f t="shared" si="22"/>
        <v>10</v>
      </c>
      <c r="E143" s="289">
        <f t="shared" ca="1" si="20"/>
        <v>130.19639492753623</v>
      </c>
      <c r="F143" s="289">
        <f t="shared" ca="1" si="20"/>
        <v>62.266666666666673</v>
      </c>
      <c r="G143" s="278"/>
      <c r="H143" s="278"/>
      <c r="I143" s="278">
        <f t="shared" ca="1" si="18"/>
        <v>15.566666666666668</v>
      </c>
      <c r="K143" s="289">
        <f t="shared" si="19"/>
        <v>142</v>
      </c>
      <c r="M143" s="18">
        <f>'Res Predicted Monthly'!$T$9</f>
        <v>24255450.877923299</v>
      </c>
      <c r="N143" s="18">
        <f ca="1">E143*'Res Predicted Monthly'!$T$10</f>
        <v>4663171.4911210211</v>
      </c>
      <c r="O143" s="18">
        <f ca="1">F143*'Res Predicted Monthly'!$T$11</f>
        <v>3648242.796296271</v>
      </c>
      <c r="P143" s="18">
        <f ca="1">I143*'Res Predicted Monthly'!$T$12</f>
        <v>235972.98105945694</v>
      </c>
      <c r="Q143" s="18">
        <f>K143*'Res Predicted Monthly'!$T$13</f>
        <v>9065775.6578402668</v>
      </c>
      <c r="R143" s="268">
        <f t="shared" ca="1" si="17"/>
        <v>41868613.804240316</v>
      </c>
    </row>
    <row r="144" spans="1:18" x14ac:dyDescent="0.25">
      <c r="A144" s="3">
        <v>46327</v>
      </c>
      <c r="B144" s="1">
        <f t="shared" si="21"/>
        <v>2026</v>
      </c>
      <c r="C144" s="1">
        <f t="shared" si="22"/>
        <v>11</v>
      </c>
      <c r="E144" s="289">
        <f t="shared" ca="1" si="20"/>
        <v>307.43824722379077</v>
      </c>
      <c r="F144" s="289">
        <f t="shared" ca="1" si="20"/>
        <v>5.6391666666666662</v>
      </c>
      <c r="G144" s="278"/>
      <c r="H144" s="278"/>
      <c r="I144" s="278">
        <f t="shared" ca="1" si="18"/>
        <v>1.4097916666666666</v>
      </c>
      <c r="K144" s="289">
        <f t="shared" si="19"/>
        <v>143</v>
      </c>
      <c r="M144" s="18">
        <f>'Res Predicted Monthly'!$T$9</f>
        <v>24255450.877923299</v>
      </c>
      <c r="N144" s="18">
        <f ca="1">E144*'Res Predicted Monthly'!$T$10</f>
        <v>11011343.828161456</v>
      </c>
      <c r="O144" s="18">
        <f ca="1">F144*'Res Predicted Monthly'!$T$11</f>
        <v>330402.28857784881</v>
      </c>
      <c r="P144" s="18">
        <f ca="1">I144*'Res Predicted Monthly'!$T$12</f>
        <v>21370.839973626134</v>
      </c>
      <c r="Q144" s="18">
        <f>K144*'Res Predicted Monthly'!$T$13</f>
        <v>9129619.1483884379</v>
      </c>
      <c r="R144" s="268">
        <f t="shared" ca="1" si="17"/>
        <v>44748186.983024672</v>
      </c>
    </row>
    <row r="145" spans="1:18" x14ac:dyDescent="0.25">
      <c r="A145" s="3">
        <v>46357</v>
      </c>
      <c r="B145" s="1">
        <f t="shared" si="21"/>
        <v>2026</v>
      </c>
      <c r="C145" s="1">
        <f t="shared" si="22"/>
        <v>12</v>
      </c>
      <c r="E145" s="289">
        <f t="shared" ca="1" si="20"/>
        <v>453.92800724637681</v>
      </c>
      <c r="F145" s="289">
        <f t="shared" ca="1" si="20"/>
        <v>0.12791666666666668</v>
      </c>
      <c r="G145" s="278"/>
      <c r="H145" s="278"/>
      <c r="I145" s="278">
        <f t="shared" ca="1" si="18"/>
        <v>3.197916666666667E-2</v>
      </c>
      <c r="K145" s="289">
        <f t="shared" si="19"/>
        <v>144</v>
      </c>
      <c r="M145" s="18">
        <f>'Res Predicted Monthly'!$T$9</f>
        <v>24255450.877923299</v>
      </c>
      <c r="N145" s="18">
        <f ca="1">E145*'Res Predicted Monthly'!$T$10</f>
        <v>16258085.668123169</v>
      </c>
      <c r="O145" s="18">
        <f ca="1">F145*'Res Predicted Monthly'!$T$11</f>
        <v>7494.7172006354076</v>
      </c>
      <c r="P145" s="18">
        <f ca="1">I145*'Res Predicted Monthly'!$T$12</f>
        <v>484.76783448376125</v>
      </c>
      <c r="Q145" s="18">
        <f>K145*'Res Predicted Monthly'!$T$13</f>
        <v>9193462.638936609</v>
      </c>
      <c r="R145" s="268">
        <f t="shared" ca="1" si="17"/>
        <v>49714978.670018196</v>
      </c>
    </row>
    <row r="194" spans="1:18" x14ac:dyDescent="0.25">
      <c r="A194" s="3"/>
      <c r="E194" s="278"/>
      <c r="F194" s="278"/>
      <c r="G194" s="278"/>
      <c r="H194" s="278"/>
      <c r="I194" s="278"/>
      <c r="J194" s="18"/>
      <c r="P194" s="283"/>
      <c r="R194" s="268"/>
    </row>
    <row r="196" spans="1:18" x14ac:dyDescent="0.25">
      <c r="J196" s="18"/>
      <c r="N196" s="18"/>
      <c r="O196" s="18"/>
      <c r="P196" s="18"/>
      <c r="Q196" s="18"/>
      <c r="R196" s="18"/>
    </row>
    <row r="197" spans="1:18" x14ac:dyDescent="0.25">
      <c r="J197" s="18"/>
      <c r="N197" s="18"/>
      <c r="O197" s="18"/>
      <c r="P197" s="18"/>
      <c r="Q197" s="18"/>
      <c r="R197" s="18"/>
    </row>
    <row r="198" spans="1:18" x14ac:dyDescent="0.25">
      <c r="J198" s="18"/>
      <c r="N198" s="18"/>
      <c r="O198" s="18"/>
      <c r="P198" s="18"/>
      <c r="Q198" s="18"/>
      <c r="R198" s="18"/>
    </row>
    <row r="199" spans="1:18" x14ac:dyDescent="0.25">
      <c r="J199" s="18"/>
      <c r="N199" s="18"/>
      <c r="O199" s="18"/>
      <c r="P199" s="18"/>
      <c r="Q199" s="18"/>
      <c r="R199" s="18"/>
    </row>
    <row r="200" spans="1:18" x14ac:dyDescent="0.25">
      <c r="J200" s="18"/>
      <c r="N200" s="18"/>
      <c r="O200" s="18"/>
      <c r="P200" s="18"/>
      <c r="Q200" s="18"/>
      <c r="R200" s="18"/>
    </row>
    <row r="201" spans="1:18" x14ac:dyDescent="0.25">
      <c r="J201" s="18"/>
      <c r="N201" s="18"/>
      <c r="O201" s="18"/>
      <c r="P201" s="18"/>
      <c r="Q201" s="18"/>
      <c r="R201" s="18"/>
    </row>
    <row r="202" spans="1:18" x14ac:dyDescent="0.25">
      <c r="J202" s="18"/>
      <c r="N202" s="18"/>
      <c r="O202" s="18"/>
      <c r="P202" s="18"/>
      <c r="Q202" s="18"/>
      <c r="R202" s="18"/>
    </row>
    <row r="203" spans="1:18" x14ac:dyDescent="0.25">
      <c r="J203" s="18"/>
      <c r="N203" s="18"/>
      <c r="O203" s="18"/>
      <c r="P203" s="18"/>
      <c r="Q203" s="18"/>
      <c r="R203" s="18"/>
    </row>
    <row r="205" spans="1:18" x14ac:dyDescent="0.25">
      <c r="M205" s="24"/>
      <c r="N205" s="24"/>
      <c r="O205" s="24"/>
      <c r="P205" s="24"/>
      <c r="Q205" s="24"/>
      <c r="R205" s="24"/>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1">
    <tabColor theme="4" tint="0.79998168889431442"/>
  </sheetPr>
  <dimension ref="A1:W204"/>
  <sheetViews>
    <sheetView workbookViewId="0">
      <selection activeCell="M31" sqref="M31"/>
    </sheetView>
  </sheetViews>
  <sheetFormatPr defaultColWidth="9.33203125" defaultRowHeight="13.2" x14ac:dyDescent="0.25"/>
  <cols>
    <col min="1" max="1" width="11.33203125" style="1" customWidth="1"/>
    <col min="2" max="3" width="9.33203125" style="1"/>
    <col min="4" max="4" width="17.44140625" style="1" customWidth="1"/>
    <col min="5" max="8" width="9.33203125" style="1"/>
    <col min="9" max="9" width="9.33203125" style="18"/>
    <col min="10" max="10" width="10.6640625" style="1" customWidth="1"/>
    <col min="11" max="12" width="9.33203125" style="1"/>
    <col min="13" max="13" width="14.6640625" style="1" bestFit="1" customWidth="1"/>
    <col min="14" max="15" width="12.77734375" style="1" bestFit="1" customWidth="1"/>
    <col min="16" max="16" width="12.44140625" style="1" customWidth="1"/>
    <col min="17" max="17" width="15.44140625" style="1" customWidth="1"/>
    <col min="18" max="18" width="16.109375" style="1" customWidth="1"/>
    <col min="19" max="19" width="14.109375" style="1" bestFit="1" customWidth="1"/>
    <col min="20" max="20" width="9.33203125" style="1"/>
    <col min="21" max="21" width="13.77734375" style="1" bestFit="1" customWidth="1"/>
    <col min="22" max="22" width="14.77734375" style="1" bestFit="1" customWidth="1"/>
    <col min="23" max="16384" width="9.33203125" style="1"/>
  </cols>
  <sheetData>
    <row r="1" spans="1:19" x14ac:dyDescent="0.25">
      <c r="A1" s="273" t="str">
        <f>'Monthly Data'!A1</f>
        <v>Date</v>
      </c>
      <c r="B1" s="274" t="s">
        <v>1</v>
      </c>
      <c r="C1" s="274" t="s">
        <v>2</v>
      </c>
      <c r="D1" s="275" t="str">
        <f>'Monthly Data'!J1</f>
        <v>GS_lt_50_NoCDM</v>
      </c>
      <c r="E1" s="276" t="str">
        <f>G1&amp;"Norm"</f>
        <v>HDD16Norm</v>
      </c>
      <c r="F1" s="276" t="str">
        <f>H1&amp;"Norm"</f>
        <v>CDD14Norm</v>
      </c>
      <c r="G1" s="276" t="str">
        <f>'Monthly Data'!BD1</f>
        <v>HDD16</v>
      </c>
      <c r="H1" s="276" t="str">
        <f>'Monthly Data'!BG1</f>
        <v>CDD14</v>
      </c>
      <c r="I1" s="277" t="str">
        <f>'Monthly Data'!CG1</f>
        <v>COVID_AM</v>
      </c>
      <c r="J1" s="276" t="str">
        <f>'Monthly Data'!CD1</f>
        <v>Month Days</v>
      </c>
      <c r="K1" s="275" t="str">
        <f>'Monthly Data'!K1</f>
        <v>GS_lt_50_Customers</v>
      </c>
      <c r="M1" s="276" t="s">
        <v>152</v>
      </c>
      <c r="N1" s="276" t="str">
        <f>E1</f>
        <v>HDD16Norm</v>
      </c>
      <c r="O1" s="276" t="str">
        <f>F1</f>
        <v>CDD14Norm</v>
      </c>
      <c r="P1" s="276" t="str">
        <f>I1</f>
        <v>COVID_AM</v>
      </c>
      <c r="Q1" s="276" t="str">
        <f>J1</f>
        <v>Month Days</v>
      </c>
      <c r="R1" s="276" t="str">
        <f>K1</f>
        <v>GS_lt_50_Customers</v>
      </c>
      <c r="S1" s="274" t="s">
        <v>425</v>
      </c>
    </row>
    <row r="2" spans="1:19" x14ac:dyDescent="0.25">
      <c r="A2" s="3">
        <f>'Monthly Data'!A2</f>
        <v>42005</v>
      </c>
      <c r="B2" s="1">
        <f t="shared" ref="B2:B55" si="0">YEAR(A2)</f>
        <v>2015</v>
      </c>
      <c r="C2" s="1">
        <f t="shared" ref="C2:C55" si="1">MONTH(A2)</f>
        <v>1</v>
      </c>
      <c r="D2" s="268">
        <f>'Monthly Data'!J2</f>
        <v>13822388.796796555</v>
      </c>
      <c r="E2" s="278">
        <f ca="1">Weather!BD34</f>
        <v>635.33418478260876</v>
      </c>
      <c r="F2" s="278">
        <f ca="1">Weather!BS34</f>
        <v>0</v>
      </c>
      <c r="G2" s="278">
        <f>'Monthly Data'!BD2</f>
        <v>735.89184782608675</v>
      </c>
      <c r="H2" s="278">
        <f>'Monthly Data'!BG2</f>
        <v>0</v>
      </c>
      <c r="I2" s="18">
        <f>'Monthly Data'!CG2</f>
        <v>0</v>
      </c>
      <c r="J2" s="4">
        <f>'Monthly Data'!CD2</f>
        <v>31</v>
      </c>
      <c r="K2" s="24">
        <f>'Monthly Data'!K2</f>
        <v>3993</v>
      </c>
      <c r="M2" s="18"/>
      <c r="N2" s="18">
        <f ca="1">(E2-G2)*'GS&lt;50 Predicted Monthly'!$V$9</f>
        <v>-543098.5255886938</v>
      </c>
      <c r="O2" s="18">
        <f ca="1">(F2-H2)*'GS&lt;50 Predicted Monthly'!$V$10</f>
        <v>0</v>
      </c>
      <c r="P2" s="18"/>
      <c r="Q2" s="18"/>
      <c r="R2" s="18"/>
      <c r="S2" s="280">
        <f t="shared" ref="S2:S33" ca="1" si="2">D2+N2+O2</f>
        <v>13279290.271207862</v>
      </c>
    </row>
    <row r="3" spans="1:19" x14ac:dyDescent="0.25">
      <c r="A3" s="3">
        <f>'Monthly Data'!A3</f>
        <v>42036</v>
      </c>
      <c r="B3" s="1">
        <f t="shared" si="0"/>
        <v>2015</v>
      </c>
      <c r="C3" s="1">
        <f t="shared" si="1"/>
        <v>2</v>
      </c>
      <c r="D3" s="268">
        <f>'Monthly Data'!J3</f>
        <v>12768909.645815352</v>
      </c>
      <c r="E3" s="278">
        <f ca="1">Weather!BD35</f>
        <v>567.65501811594208</v>
      </c>
      <c r="F3" s="278">
        <f ca="1">Weather!BS35</f>
        <v>0</v>
      </c>
      <c r="G3" s="278">
        <f>'Monthly Data'!BD3</f>
        <v>809.85434782608706</v>
      </c>
      <c r="H3" s="278">
        <f>'Monthly Data'!BG3</f>
        <v>0</v>
      </c>
      <c r="I3" s="18">
        <f>'Monthly Data'!CG3</f>
        <v>0</v>
      </c>
      <c r="J3" s="4">
        <f>'Monthly Data'!CD3</f>
        <v>28</v>
      </c>
      <c r="K3" s="24">
        <f>'Monthly Data'!K3</f>
        <v>3993</v>
      </c>
      <c r="M3" s="18"/>
      <c r="N3" s="18">
        <f ca="1">(E3-G3)*'GS&lt;50 Predicted Monthly'!$V$9</f>
        <v>-1308086.2749095184</v>
      </c>
      <c r="O3" s="18">
        <f ca="1">(F3-H3)*'GS&lt;50 Predicted Monthly'!$V$10</f>
        <v>0</v>
      </c>
      <c r="P3" s="18"/>
      <c r="Q3" s="18"/>
      <c r="R3" s="18"/>
      <c r="S3" s="280">
        <f t="shared" ca="1" si="2"/>
        <v>11460823.370905833</v>
      </c>
    </row>
    <row r="4" spans="1:19" x14ac:dyDescent="0.25">
      <c r="A4" s="3">
        <f>'Monthly Data'!A4</f>
        <v>42064</v>
      </c>
      <c r="B4" s="1">
        <f t="shared" si="0"/>
        <v>2015</v>
      </c>
      <c r="C4" s="1">
        <f t="shared" si="1"/>
        <v>3</v>
      </c>
      <c r="D4" s="268">
        <f>'Monthly Data'!J4</f>
        <v>12329126.124219459</v>
      </c>
      <c r="E4" s="278">
        <f ca="1">Weather!BD36</f>
        <v>484.13298913043479</v>
      </c>
      <c r="F4" s="278">
        <f ca="1">Weather!BS36</f>
        <v>0</v>
      </c>
      <c r="G4" s="278">
        <f>'Monthly Data'!BD4</f>
        <v>575.79999999999995</v>
      </c>
      <c r="H4" s="278">
        <f>'Monthly Data'!BG4</f>
        <v>0</v>
      </c>
      <c r="I4" s="18">
        <f>'Monthly Data'!CG4</f>
        <v>0</v>
      </c>
      <c r="J4" s="4">
        <f>'Monthly Data'!CD4</f>
        <v>31</v>
      </c>
      <c r="K4" s="24">
        <f>'Monthly Data'!K4</f>
        <v>3986</v>
      </c>
      <c r="M4" s="18"/>
      <c r="N4" s="18">
        <f ca="1">(E4-G4)*'GS&lt;50 Predicted Monthly'!$V$9</f>
        <v>-495081.29904389754</v>
      </c>
      <c r="O4" s="18">
        <f ca="1">(F4-H4)*'GS&lt;50 Predicted Monthly'!$V$10</f>
        <v>0</v>
      </c>
      <c r="P4" s="18"/>
      <c r="Q4" s="18"/>
      <c r="R4" s="18"/>
      <c r="S4" s="280">
        <f t="shared" ca="1" si="2"/>
        <v>11834044.825175561</v>
      </c>
    </row>
    <row r="5" spans="1:19" x14ac:dyDescent="0.25">
      <c r="A5" s="3">
        <f>'Monthly Data'!A5</f>
        <v>42095</v>
      </c>
      <c r="B5" s="1">
        <f t="shared" si="0"/>
        <v>2015</v>
      </c>
      <c r="C5" s="1">
        <f t="shared" si="1"/>
        <v>4</v>
      </c>
      <c r="D5" s="268">
        <f>'Monthly Data'!J5</f>
        <v>10623916.171153571</v>
      </c>
      <c r="E5" s="278">
        <f ca="1">Weather!BD37</f>
        <v>292.81107954545462</v>
      </c>
      <c r="F5" s="278">
        <f ca="1">Weather!BS37</f>
        <v>2.1908333333333347</v>
      </c>
      <c r="G5" s="278">
        <f>'Monthly Data'!BD5</f>
        <v>286.75037878787873</v>
      </c>
      <c r="H5" s="278">
        <f>'Monthly Data'!BG5</f>
        <v>0</v>
      </c>
      <c r="I5" s="18">
        <f>'Monthly Data'!CG5</f>
        <v>0</v>
      </c>
      <c r="J5" s="4">
        <f>'Monthly Data'!CD5</f>
        <v>30</v>
      </c>
      <c r="K5" s="24">
        <f>'Monthly Data'!K5</f>
        <v>3993</v>
      </c>
      <c r="M5" s="18"/>
      <c r="N5" s="18">
        <f ca="1">(E5-G5)*'GS&lt;50 Predicted Monthly'!$V$9</f>
        <v>32733.036407683594</v>
      </c>
      <c r="O5" s="18">
        <f ca="1">(F5-H5)*'GS&lt;50 Predicted Monthly'!$V$10</f>
        <v>27644.860978399032</v>
      </c>
      <c r="P5" s="18"/>
      <c r="Q5" s="18"/>
      <c r="R5" s="18"/>
      <c r="S5" s="280">
        <f t="shared" ca="1" si="2"/>
        <v>10684294.068539653</v>
      </c>
    </row>
    <row r="6" spans="1:19" x14ac:dyDescent="0.25">
      <c r="A6" s="3">
        <f>'Monthly Data'!A6</f>
        <v>42125</v>
      </c>
      <c r="B6" s="1">
        <f t="shared" si="0"/>
        <v>2015</v>
      </c>
      <c r="C6" s="1">
        <f t="shared" si="1"/>
        <v>5</v>
      </c>
      <c r="D6" s="268">
        <f>'Monthly Data'!J6</f>
        <v>10188832.832931003</v>
      </c>
      <c r="E6" s="278">
        <f ca="1">Weather!BD38</f>
        <v>103.25939244851259</v>
      </c>
      <c r="F6" s="278">
        <f ca="1">Weather!BS38</f>
        <v>52.487435064935063</v>
      </c>
      <c r="G6" s="278">
        <f>'Monthly Data'!BD6</f>
        <v>67.211775362318832</v>
      </c>
      <c r="H6" s="278">
        <f>'Monthly Data'!BG6</f>
        <v>62.881547619047637</v>
      </c>
      <c r="I6" s="18">
        <f>'Monthly Data'!CG6</f>
        <v>0</v>
      </c>
      <c r="J6" s="4">
        <f>'Monthly Data'!CD6</f>
        <v>31</v>
      </c>
      <c r="K6" s="24">
        <f>'Monthly Data'!K6</f>
        <v>3998</v>
      </c>
      <c r="M6" s="18"/>
      <c r="N6" s="18">
        <f ca="1">(E6-G6)*'GS&lt;50 Predicted Monthly'!$V$9</f>
        <v>194688.37180546822</v>
      </c>
      <c r="O6" s="18">
        <f ca="1">(F6-H6)*'GS&lt;50 Predicted Monthly'!$V$10</f>
        <v>-131157.30538711633</v>
      </c>
      <c r="P6" s="18"/>
      <c r="Q6" s="18"/>
      <c r="R6" s="18"/>
      <c r="S6" s="280">
        <f t="shared" ca="1" si="2"/>
        <v>10252363.899349354</v>
      </c>
    </row>
    <row r="7" spans="1:19" x14ac:dyDescent="0.25">
      <c r="A7" s="3">
        <f>'Monthly Data'!A7</f>
        <v>42156</v>
      </c>
      <c r="B7" s="1">
        <f t="shared" si="0"/>
        <v>2015</v>
      </c>
      <c r="C7" s="1">
        <f t="shared" si="1"/>
        <v>6</v>
      </c>
      <c r="D7" s="268">
        <f>'Monthly Data'!J7</f>
        <v>10184617.708334386</v>
      </c>
      <c r="E7" s="278">
        <f ca="1">Weather!BD39</f>
        <v>11.89069871794872</v>
      </c>
      <c r="F7" s="278">
        <f ca="1">Weather!BS39</f>
        <v>137.65451754405018</v>
      </c>
      <c r="G7" s="278">
        <f>'Monthly Data'!BD7</f>
        <v>17.725000000000009</v>
      </c>
      <c r="H7" s="278">
        <f>'Monthly Data'!BG7</f>
        <v>95.599999999999966</v>
      </c>
      <c r="I7" s="18">
        <f>'Monthly Data'!CG7</f>
        <v>0</v>
      </c>
      <c r="J7" s="4">
        <f>'Monthly Data'!CD7</f>
        <v>30</v>
      </c>
      <c r="K7" s="24">
        <f>'Monthly Data'!K7</f>
        <v>4011</v>
      </c>
      <c r="M7" s="18"/>
      <c r="N7" s="18">
        <f ca="1">(E7-G7)*'GS&lt;50 Predicted Monthly'!$V$9</f>
        <v>-31510.283037825546</v>
      </c>
      <c r="O7" s="18">
        <f ca="1">(F7-H7)*'GS&lt;50 Predicted Monthly'!$V$10</f>
        <v>530661.67714822839</v>
      </c>
      <c r="P7" s="18"/>
      <c r="Q7" s="18"/>
      <c r="R7" s="18"/>
      <c r="S7" s="280">
        <f t="shared" ca="1" si="2"/>
        <v>10683769.102444788</v>
      </c>
    </row>
    <row r="8" spans="1:19" x14ac:dyDescent="0.25">
      <c r="A8" s="3">
        <f>'Monthly Data'!A8</f>
        <v>42186</v>
      </c>
      <c r="B8" s="1">
        <f t="shared" si="0"/>
        <v>2015</v>
      </c>
      <c r="C8" s="1">
        <f t="shared" si="1"/>
        <v>7</v>
      </c>
      <c r="D8" s="268">
        <f>'Monthly Data'!J8</f>
        <v>11315953.589151742</v>
      </c>
      <c r="E8" s="278">
        <f ca="1">Weather!BD40</f>
        <v>7.4583333333333002E-2</v>
      </c>
      <c r="F8" s="278">
        <f ca="1">Weather!BS40</f>
        <v>235.94737858727848</v>
      </c>
      <c r="G8" s="278">
        <f>'Monthly Data'!BD8</f>
        <v>0</v>
      </c>
      <c r="H8" s="278">
        <f>'Monthly Data'!BG8</f>
        <v>205.53749999999997</v>
      </c>
      <c r="I8" s="18">
        <f>'Monthly Data'!CG8</f>
        <v>0</v>
      </c>
      <c r="J8" s="4">
        <f>'Monthly Data'!CD8</f>
        <v>31</v>
      </c>
      <c r="K8" s="24">
        <f>'Monthly Data'!K8</f>
        <v>4021</v>
      </c>
      <c r="M8" s="18"/>
      <c r="N8" s="18">
        <f ca="1">(E8-G8)*'GS&lt;50 Predicted Monthly'!$V$9</f>
        <v>402.81463531336908</v>
      </c>
      <c r="O8" s="18">
        <f ca="1">(F8-H8)*'GS&lt;50 Predicted Monthly'!$V$10</f>
        <v>383724.70106442337</v>
      </c>
      <c r="P8" s="18"/>
      <c r="Q8" s="18"/>
      <c r="R8" s="18"/>
      <c r="S8" s="280">
        <f t="shared" ca="1" si="2"/>
        <v>11700081.104851479</v>
      </c>
    </row>
    <row r="9" spans="1:19" x14ac:dyDescent="0.25">
      <c r="A9" s="3">
        <f>'Monthly Data'!A9</f>
        <v>42217</v>
      </c>
      <c r="B9" s="1">
        <f t="shared" si="0"/>
        <v>2015</v>
      </c>
      <c r="C9" s="1">
        <f t="shared" si="1"/>
        <v>8</v>
      </c>
      <c r="D9" s="268">
        <f>'Monthly Data'!J9</f>
        <v>11031577.87167096</v>
      </c>
      <c r="E9" s="278">
        <f ca="1">Weather!BD41</f>
        <v>0.75041666666666718</v>
      </c>
      <c r="F9" s="278">
        <f ca="1">Weather!BS41</f>
        <v>210.96558794466404</v>
      </c>
      <c r="G9" s="278">
        <f>'Monthly Data'!BD9</f>
        <v>0.49166666666666714</v>
      </c>
      <c r="H9" s="278">
        <f>'Monthly Data'!BG9</f>
        <v>167.94166666666666</v>
      </c>
      <c r="I9" s="18">
        <f>'Monthly Data'!CG9</f>
        <v>0</v>
      </c>
      <c r="J9" s="4">
        <f>'Monthly Data'!CD9</f>
        <v>31</v>
      </c>
      <c r="K9" s="24">
        <f>'Monthly Data'!K9</f>
        <v>4021</v>
      </c>
      <c r="M9" s="18"/>
      <c r="N9" s="18">
        <f ca="1">(E9-G9)*'GS&lt;50 Predicted Monthly'!$V$9</f>
        <v>1397.4742375955493</v>
      </c>
      <c r="O9" s="18">
        <f ca="1">(F9-H9)*'GS&lt;50 Predicted Monthly'!$V$10</f>
        <v>542894.02319170209</v>
      </c>
      <c r="P9" s="18"/>
      <c r="Q9" s="18"/>
      <c r="R9" s="18"/>
      <c r="S9" s="280">
        <f t="shared" ca="1" si="2"/>
        <v>11575869.369100256</v>
      </c>
    </row>
    <row r="10" spans="1:19" x14ac:dyDescent="0.25">
      <c r="A10" s="3">
        <f>'Monthly Data'!A10</f>
        <v>42248</v>
      </c>
      <c r="B10" s="1">
        <f t="shared" si="0"/>
        <v>2015</v>
      </c>
      <c r="C10" s="1">
        <f t="shared" si="1"/>
        <v>9</v>
      </c>
      <c r="D10" s="268">
        <f>'Monthly Data'!J10</f>
        <v>10798348.741574915</v>
      </c>
      <c r="E10" s="278">
        <f ca="1">Weather!BD42</f>
        <v>26.342536231884061</v>
      </c>
      <c r="F10" s="278">
        <f ca="1">Weather!BS42</f>
        <v>106.4160119047619</v>
      </c>
      <c r="G10" s="278">
        <f>'Monthly Data'!BD10</f>
        <v>18.695833333333333</v>
      </c>
      <c r="H10" s="278">
        <f>'Monthly Data'!BG10</f>
        <v>134.9267857142857</v>
      </c>
      <c r="I10" s="18">
        <f>'Monthly Data'!CG10</f>
        <v>0</v>
      </c>
      <c r="J10" s="4">
        <f>'Monthly Data'!CD10</f>
        <v>30</v>
      </c>
      <c r="K10" s="24">
        <f>'Monthly Data'!K10</f>
        <v>4033</v>
      </c>
      <c r="M10" s="18"/>
      <c r="N10" s="18">
        <f ca="1">(E10-G10)*'GS&lt;50 Predicted Monthly'!$V$9</f>
        <v>41298.822428103784</v>
      </c>
      <c r="O10" s="18">
        <f ca="1">(F10-H10)*'GS&lt;50 Predicted Monthly'!$V$10</f>
        <v>-359760.99430241081</v>
      </c>
      <c r="P10" s="18"/>
      <c r="Q10" s="18"/>
      <c r="R10" s="18"/>
      <c r="S10" s="280">
        <f t="shared" ca="1" si="2"/>
        <v>10479886.569700608</v>
      </c>
    </row>
    <row r="11" spans="1:19" x14ac:dyDescent="0.25">
      <c r="A11" s="3">
        <f>'Monthly Data'!A11</f>
        <v>42278</v>
      </c>
      <c r="B11" s="1">
        <f t="shared" si="0"/>
        <v>2015</v>
      </c>
      <c r="C11" s="1">
        <f t="shared" si="1"/>
        <v>10</v>
      </c>
      <c r="D11" s="268">
        <f>'Monthly Data'!J11</f>
        <v>10006451.417295149</v>
      </c>
      <c r="E11" s="278">
        <f ca="1">Weather!BD43</f>
        <v>181.36347826086953</v>
      </c>
      <c r="F11" s="278">
        <f ca="1">Weather!BS43</f>
        <v>17.987083333333334</v>
      </c>
      <c r="G11" s="278">
        <f>'Monthly Data'!BD11</f>
        <v>215.98749999999998</v>
      </c>
      <c r="H11" s="278">
        <f>'Monthly Data'!BG11</f>
        <v>4.3583333333333325</v>
      </c>
      <c r="I11" s="18">
        <f>'Monthly Data'!CG11</f>
        <v>0</v>
      </c>
      <c r="J11" s="4">
        <f>'Monthly Data'!CD11</f>
        <v>31</v>
      </c>
      <c r="K11" s="24">
        <f>'Monthly Data'!K11</f>
        <v>4052</v>
      </c>
      <c r="M11" s="18"/>
      <c r="N11" s="18">
        <f ca="1">(E11-G11)*'GS&lt;50 Predicted Monthly'!$V$9</f>
        <v>-186999.72321693934</v>
      </c>
      <c r="O11" s="18">
        <f ca="1">(F11-H11)*'GS&lt;50 Predicted Monthly'!$V$10</f>
        <v>171973.32783234186</v>
      </c>
      <c r="P11" s="18"/>
      <c r="Q11" s="18"/>
      <c r="R11" s="18"/>
      <c r="S11" s="280">
        <f t="shared" ca="1" si="2"/>
        <v>9991425.0219105501</v>
      </c>
    </row>
    <row r="12" spans="1:19" x14ac:dyDescent="0.25">
      <c r="A12" s="3">
        <f>'Monthly Data'!A12</f>
        <v>42309</v>
      </c>
      <c r="B12" s="1">
        <f t="shared" si="0"/>
        <v>2015</v>
      </c>
      <c r="C12" s="1">
        <f t="shared" si="1"/>
        <v>11</v>
      </c>
      <c r="D12" s="268">
        <f>'Monthly Data'!J12</f>
        <v>10647674.270384375</v>
      </c>
      <c r="E12" s="278">
        <f ca="1">Weather!BD44</f>
        <v>366.78033055712399</v>
      </c>
      <c r="F12" s="278">
        <f ca="1">Weather!BS44</f>
        <v>0.8083333333333329</v>
      </c>
      <c r="G12" s="278">
        <f>'Monthly Data'!BD12</f>
        <v>311.77083333333331</v>
      </c>
      <c r="H12" s="278">
        <f>'Monthly Data'!BG12</f>
        <v>0.27083333333333393</v>
      </c>
      <c r="I12" s="18">
        <f>'Monthly Data'!CG12</f>
        <v>0</v>
      </c>
      <c r="J12" s="4">
        <f>'Monthly Data'!CD12</f>
        <v>30</v>
      </c>
      <c r="K12" s="24">
        <f>'Monthly Data'!K12</f>
        <v>4065</v>
      </c>
      <c r="M12" s="18"/>
      <c r="N12" s="18">
        <f ca="1">(E12-G12)*'GS&lt;50 Predicted Monthly'!$V$9</f>
        <v>297098.95726891345</v>
      </c>
      <c r="O12" s="18">
        <f ca="1">(F12-H12)*'GS&lt;50 Predicted Monthly'!$V$10</f>
        <v>6782.4021799419288</v>
      </c>
      <c r="P12" s="18"/>
      <c r="Q12" s="18"/>
      <c r="R12" s="18"/>
      <c r="S12" s="280">
        <f t="shared" ca="1" si="2"/>
        <v>10951555.629833231</v>
      </c>
    </row>
    <row r="13" spans="1:19" x14ac:dyDescent="0.25">
      <c r="A13" s="3">
        <f>'Monthly Data'!A13</f>
        <v>42339</v>
      </c>
      <c r="B13" s="1">
        <f t="shared" si="0"/>
        <v>2015</v>
      </c>
      <c r="C13" s="1">
        <f t="shared" si="1"/>
        <v>12</v>
      </c>
      <c r="D13" s="268">
        <f>'Monthly Data'!J13</f>
        <v>11180504.450672537</v>
      </c>
      <c r="E13" s="278">
        <f ca="1">Weather!BD45</f>
        <v>515.92800724637686</v>
      </c>
      <c r="F13" s="278">
        <f ca="1">Weather!BS45</f>
        <v>0</v>
      </c>
      <c r="G13" s="278">
        <f>'Monthly Data'!BD13</f>
        <v>375.6259057971015</v>
      </c>
      <c r="H13" s="278">
        <f>'Monthly Data'!BG13</f>
        <v>0</v>
      </c>
      <c r="I13" s="18">
        <f>'Monthly Data'!CG13</f>
        <v>0</v>
      </c>
      <c r="J13" s="4">
        <f>'Monthly Data'!CD13</f>
        <v>31</v>
      </c>
      <c r="K13" s="24">
        <f>'Monthly Data'!K13</f>
        <v>4074</v>
      </c>
      <c r="M13" s="18"/>
      <c r="N13" s="18">
        <f ca="1">(E13-G13)*'GS&lt;50 Predicted Monthly'!$V$9</f>
        <v>757752.9362546067</v>
      </c>
      <c r="O13" s="18">
        <f ca="1">(F13-H13)*'GS&lt;50 Predicted Monthly'!$V$10</f>
        <v>0</v>
      </c>
      <c r="P13" s="18"/>
      <c r="Q13" s="18"/>
      <c r="R13" s="18"/>
      <c r="S13" s="280">
        <f t="shared" ca="1" si="2"/>
        <v>11938257.386927145</v>
      </c>
    </row>
    <row r="14" spans="1:19" x14ac:dyDescent="0.25">
      <c r="A14" s="3">
        <f>'Monthly Data'!A14</f>
        <v>42370</v>
      </c>
      <c r="B14" s="1">
        <f t="shared" si="0"/>
        <v>2016</v>
      </c>
      <c r="C14" s="1">
        <f t="shared" si="1"/>
        <v>1</v>
      </c>
      <c r="D14" s="268">
        <f>'Monthly Data'!J14</f>
        <v>12581251.383190688</v>
      </c>
      <c r="E14" s="278">
        <f t="shared" ref="E14:F25" ca="1" si="3">E2</f>
        <v>635.33418478260876</v>
      </c>
      <c r="F14" s="278">
        <f t="shared" ca="1" si="3"/>
        <v>0</v>
      </c>
      <c r="G14" s="278">
        <f>'Monthly Data'!BD14</f>
        <v>613.87916666666683</v>
      </c>
      <c r="H14" s="278">
        <f>'Monthly Data'!BG14</f>
        <v>0</v>
      </c>
      <c r="I14" s="18">
        <f>'Monthly Data'!CG14</f>
        <v>0</v>
      </c>
      <c r="J14" s="4">
        <f>'Monthly Data'!CD14</f>
        <v>31</v>
      </c>
      <c r="K14" s="24">
        <f>'Monthly Data'!K14</f>
        <v>4082</v>
      </c>
      <c r="M14" s="18"/>
      <c r="N14" s="18">
        <f ca="1">(E14-G14)*'GS&lt;50 Predicted Monthly'!$V$9</f>
        <v>115875.69114656864</v>
      </c>
      <c r="O14" s="18">
        <f ca="1">(F14-H14)*'GS&lt;50 Predicted Monthly'!$V$10</f>
        <v>0</v>
      </c>
      <c r="P14" s="18"/>
      <c r="Q14" s="18"/>
      <c r="R14" s="18"/>
      <c r="S14" s="280">
        <f t="shared" ca="1" si="2"/>
        <v>12697127.074337257</v>
      </c>
    </row>
    <row r="15" spans="1:19" x14ac:dyDescent="0.25">
      <c r="A15" s="3">
        <f>'Monthly Data'!A15</f>
        <v>42401</v>
      </c>
      <c r="B15" s="1">
        <f t="shared" si="0"/>
        <v>2016</v>
      </c>
      <c r="C15" s="1">
        <f t="shared" si="1"/>
        <v>2</v>
      </c>
      <c r="D15" s="268">
        <f>'Monthly Data'!J15</f>
        <v>11589929.271759877</v>
      </c>
      <c r="E15" s="278">
        <f t="shared" ca="1" si="3"/>
        <v>567.65501811594208</v>
      </c>
      <c r="F15" s="278">
        <f t="shared" ca="1" si="3"/>
        <v>0</v>
      </c>
      <c r="G15" s="278">
        <f>'Monthly Data'!BD15</f>
        <v>545.70833333333337</v>
      </c>
      <c r="H15" s="278">
        <f>'Monthly Data'!BG15</f>
        <v>0</v>
      </c>
      <c r="I15" s="18">
        <f>'Monthly Data'!CG15</f>
        <v>0</v>
      </c>
      <c r="J15" s="4">
        <f>'Monthly Data'!CD15</f>
        <v>29</v>
      </c>
      <c r="K15" s="24">
        <f>'Monthly Data'!K15</f>
        <v>4129</v>
      </c>
      <c r="M15" s="18"/>
      <c r="N15" s="18">
        <f ca="1">(E15-G15)*'GS&lt;50 Predicted Monthly'!$V$9</f>
        <v>118531.11723410996</v>
      </c>
      <c r="O15" s="18">
        <f ca="1">(F15-H15)*'GS&lt;50 Predicted Monthly'!$V$10</f>
        <v>0</v>
      </c>
      <c r="P15" s="18"/>
      <c r="Q15" s="18"/>
      <c r="R15" s="18"/>
      <c r="S15" s="280">
        <f t="shared" ca="1" si="2"/>
        <v>11708460.388993988</v>
      </c>
    </row>
    <row r="16" spans="1:19" x14ac:dyDescent="0.25">
      <c r="A16" s="3">
        <f>'Monthly Data'!A16</f>
        <v>42430</v>
      </c>
      <c r="B16" s="1">
        <f t="shared" si="0"/>
        <v>2016</v>
      </c>
      <c r="C16" s="1">
        <f t="shared" si="1"/>
        <v>3</v>
      </c>
      <c r="D16" s="268">
        <f>'Monthly Data'!J16</f>
        <v>11679242.54237907</v>
      </c>
      <c r="E16" s="278">
        <f t="shared" ca="1" si="3"/>
        <v>484.13298913043479</v>
      </c>
      <c r="F16" s="278">
        <f t="shared" ca="1" si="3"/>
        <v>0</v>
      </c>
      <c r="G16" s="278">
        <f>'Monthly Data'!BD16</f>
        <v>453.07934782608692</v>
      </c>
      <c r="H16" s="278">
        <f>'Monthly Data'!BG16</f>
        <v>0</v>
      </c>
      <c r="I16" s="18">
        <f>'Monthly Data'!CG16</f>
        <v>0</v>
      </c>
      <c r="J16" s="4">
        <f>'Monthly Data'!CD16</f>
        <v>31</v>
      </c>
      <c r="K16" s="24">
        <f>'Monthly Data'!K16</f>
        <v>4147</v>
      </c>
      <c r="M16" s="18"/>
      <c r="N16" s="18">
        <f ca="1">(E16-G16)*'GS&lt;50 Predicted Monthly'!$V$9</f>
        <v>167716.57471056696</v>
      </c>
      <c r="O16" s="18">
        <f ca="1">(F16-H16)*'GS&lt;50 Predicted Monthly'!$V$10</f>
        <v>0</v>
      </c>
      <c r="P16" s="18"/>
      <c r="Q16" s="18"/>
      <c r="R16" s="18"/>
      <c r="S16" s="280">
        <f t="shared" ca="1" si="2"/>
        <v>11846959.117089637</v>
      </c>
    </row>
    <row r="17" spans="1:19" x14ac:dyDescent="0.25">
      <c r="A17" s="3">
        <f>'Monthly Data'!A17</f>
        <v>42461</v>
      </c>
      <c r="B17" s="1">
        <f t="shared" si="0"/>
        <v>2016</v>
      </c>
      <c r="C17" s="1">
        <f t="shared" si="1"/>
        <v>4</v>
      </c>
      <c r="D17" s="268">
        <f>'Monthly Data'!J17</f>
        <v>10411421.117584607</v>
      </c>
      <c r="E17" s="278">
        <f t="shared" ca="1" si="3"/>
        <v>292.81107954545462</v>
      </c>
      <c r="F17" s="278">
        <f t="shared" ca="1" si="3"/>
        <v>2.1908333333333347</v>
      </c>
      <c r="G17" s="278">
        <f>'Monthly Data'!BD17</f>
        <v>345.98333333333335</v>
      </c>
      <c r="H17" s="278">
        <f>'Monthly Data'!BG17</f>
        <v>0.83333333333333393</v>
      </c>
      <c r="I17" s="18">
        <f>'Monthly Data'!CG17</f>
        <v>0</v>
      </c>
      <c r="J17" s="4">
        <f>'Monthly Data'!CD17</f>
        <v>30</v>
      </c>
      <c r="K17" s="24">
        <f>'Monthly Data'!K17</f>
        <v>4159</v>
      </c>
      <c r="M17" s="18"/>
      <c r="N17" s="18">
        <f ca="1">(E17-G17)*'GS&lt;50 Predicted Monthly'!$V$9</f>
        <v>-287176.25052542175</v>
      </c>
      <c r="O17" s="18">
        <f ca="1">(F17-H17)*'GS&lt;50 Predicted Monthly'!$V$10</f>
        <v>17129.508761434776</v>
      </c>
      <c r="P17" s="18"/>
      <c r="Q17" s="18"/>
      <c r="R17" s="18"/>
      <c r="S17" s="280">
        <f t="shared" ca="1" si="2"/>
        <v>10141374.375820618</v>
      </c>
    </row>
    <row r="18" spans="1:19" x14ac:dyDescent="0.25">
      <c r="A18" s="3">
        <f>'Monthly Data'!A18</f>
        <v>42491</v>
      </c>
      <c r="B18" s="1">
        <f t="shared" si="0"/>
        <v>2016</v>
      </c>
      <c r="C18" s="1">
        <f t="shared" si="1"/>
        <v>5</v>
      </c>
      <c r="D18" s="268">
        <f>'Monthly Data'!J18</f>
        <v>10228476.858936716</v>
      </c>
      <c r="E18" s="278">
        <f t="shared" ca="1" si="3"/>
        <v>103.25939244851259</v>
      </c>
      <c r="F18" s="278">
        <f t="shared" ca="1" si="3"/>
        <v>52.487435064935063</v>
      </c>
      <c r="G18" s="278">
        <f>'Monthly Data'!BD18</f>
        <v>111.69444444444443</v>
      </c>
      <c r="H18" s="278">
        <f>'Monthly Data'!BG18</f>
        <v>66.604166666666671</v>
      </c>
      <c r="I18" s="18">
        <f>'Monthly Data'!CG18</f>
        <v>0</v>
      </c>
      <c r="J18" s="4">
        <f>'Monthly Data'!CD18</f>
        <v>31</v>
      </c>
      <c r="K18" s="24">
        <f>'Monthly Data'!K18</f>
        <v>4156</v>
      </c>
      <c r="M18" s="18"/>
      <c r="N18" s="18">
        <f ca="1">(E18-G18)*'GS&lt;50 Predicted Monthly'!$V$9</f>
        <v>-45556.59075205282</v>
      </c>
      <c r="O18" s="18">
        <f ca="1">(F18-H18)*'GS&lt;50 Predicted Monthly'!$V$10</f>
        <v>-178130.88593346931</v>
      </c>
      <c r="P18" s="18"/>
      <c r="Q18" s="18"/>
      <c r="R18" s="18"/>
      <c r="S18" s="280">
        <f t="shared" ca="1" si="2"/>
        <v>10004789.382251194</v>
      </c>
    </row>
    <row r="19" spans="1:19" x14ac:dyDescent="0.25">
      <c r="A19" s="3">
        <f>'Monthly Data'!A19</f>
        <v>42522</v>
      </c>
      <c r="B19" s="1">
        <f t="shared" si="0"/>
        <v>2016</v>
      </c>
      <c r="C19" s="1">
        <f t="shared" si="1"/>
        <v>6</v>
      </c>
      <c r="D19" s="268">
        <f>'Monthly Data'!J19</f>
        <v>10465207.773663962</v>
      </c>
      <c r="E19" s="278">
        <f t="shared" ca="1" si="3"/>
        <v>11.89069871794872</v>
      </c>
      <c r="F19" s="278">
        <f t="shared" ca="1" si="3"/>
        <v>137.65451754405018</v>
      </c>
      <c r="G19" s="278">
        <f>'Monthly Data'!BD19</f>
        <v>14.133333333333335</v>
      </c>
      <c r="H19" s="278">
        <f>'Monthly Data'!BG19</f>
        <v>147.17916666666667</v>
      </c>
      <c r="I19" s="18">
        <f>'Monthly Data'!CG19</f>
        <v>0</v>
      </c>
      <c r="J19" s="4">
        <f>'Monthly Data'!CD19</f>
        <v>30</v>
      </c>
      <c r="K19" s="24">
        <f>'Monthly Data'!K19</f>
        <v>4153</v>
      </c>
      <c r="M19" s="18"/>
      <c r="N19" s="18">
        <f ca="1">(E19-G19)*'GS&lt;50 Predicted Monthly'!$V$9</f>
        <v>-12112.170432231893</v>
      </c>
      <c r="O19" s="18">
        <f ca="1">(F19-H19)*'GS&lt;50 Predicted Monthly'!$V$10</f>
        <v>-120186.04832077435</v>
      </c>
      <c r="P19" s="18"/>
      <c r="Q19" s="18"/>
      <c r="R19" s="18"/>
      <c r="S19" s="280">
        <f t="shared" ca="1" si="2"/>
        <v>10332909.554910956</v>
      </c>
    </row>
    <row r="20" spans="1:19" x14ac:dyDescent="0.25">
      <c r="A20" s="3">
        <f>'Monthly Data'!A20</f>
        <v>42552</v>
      </c>
      <c r="B20" s="1">
        <f t="shared" si="0"/>
        <v>2016</v>
      </c>
      <c r="C20" s="1">
        <f t="shared" si="1"/>
        <v>7</v>
      </c>
      <c r="D20" s="268">
        <f>'Monthly Data'!J20</f>
        <v>11859424.861319741</v>
      </c>
      <c r="E20" s="278">
        <f t="shared" ca="1" si="3"/>
        <v>7.4583333333333002E-2</v>
      </c>
      <c r="F20" s="278">
        <f t="shared" ca="1" si="3"/>
        <v>235.94737858727848</v>
      </c>
      <c r="G20" s="278">
        <f>'Monthly Data'!BD20</f>
        <v>0</v>
      </c>
      <c r="H20" s="278">
        <f>'Monthly Data'!BG20</f>
        <v>251.2291666666666</v>
      </c>
      <c r="I20" s="18">
        <f>'Monthly Data'!CG20</f>
        <v>0</v>
      </c>
      <c r="J20" s="4">
        <f>'Monthly Data'!CD20</f>
        <v>31</v>
      </c>
      <c r="K20" s="24">
        <f>'Monthly Data'!K20</f>
        <v>4177</v>
      </c>
      <c r="M20" s="18"/>
      <c r="N20" s="18">
        <f ca="1">(E20-G20)*'GS&lt;50 Predicted Monthly'!$V$9</f>
        <v>402.81463531336908</v>
      </c>
      <c r="O20" s="18">
        <f ca="1">(F20-H20)*'GS&lt;50 Predicted Monthly'!$V$10</f>
        <v>-192832.06099172609</v>
      </c>
      <c r="P20" s="18"/>
      <c r="Q20" s="18"/>
      <c r="R20" s="18"/>
      <c r="S20" s="280">
        <f t="shared" ca="1" si="2"/>
        <v>11666995.614963328</v>
      </c>
    </row>
    <row r="21" spans="1:19" x14ac:dyDescent="0.25">
      <c r="A21" s="3">
        <f>'Monthly Data'!A21</f>
        <v>42583</v>
      </c>
      <c r="B21" s="1">
        <f t="shared" si="0"/>
        <v>2016</v>
      </c>
      <c r="C21" s="1">
        <f t="shared" si="1"/>
        <v>8</v>
      </c>
      <c r="D21" s="268">
        <f>'Monthly Data'!J21</f>
        <v>12306932.672611248</v>
      </c>
      <c r="E21" s="278">
        <f t="shared" ca="1" si="3"/>
        <v>0.75041666666666718</v>
      </c>
      <c r="F21" s="278">
        <f t="shared" ca="1" si="3"/>
        <v>210.96558794466404</v>
      </c>
      <c r="G21" s="278">
        <f>'Monthly Data'!BD21</f>
        <v>0</v>
      </c>
      <c r="H21" s="278">
        <f>'Monthly Data'!BG21</f>
        <v>266.02500000000003</v>
      </c>
      <c r="I21" s="18">
        <f>'Monthly Data'!CG21</f>
        <v>0</v>
      </c>
      <c r="J21" s="4">
        <f>'Monthly Data'!CD21</f>
        <v>31</v>
      </c>
      <c r="K21" s="24">
        <f>'Monthly Data'!K21</f>
        <v>4165</v>
      </c>
      <c r="M21" s="18"/>
      <c r="N21" s="18">
        <f ca="1">(E21-G21)*'GS&lt;50 Predicted Monthly'!$V$9</f>
        <v>4052.9003251362087</v>
      </c>
      <c r="O21" s="18">
        <f ca="1">(F21-H21)*'GS&lt;50 Predicted Monthly'!$V$10</f>
        <v>-694762.93274499069</v>
      </c>
      <c r="P21" s="18"/>
      <c r="Q21" s="18"/>
      <c r="R21" s="18"/>
      <c r="S21" s="280">
        <f t="shared" ca="1" si="2"/>
        <v>11616222.640191393</v>
      </c>
    </row>
    <row r="22" spans="1:19" x14ac:dyDescent="0.25">
      <c r="A22" s="3">
        <f>'Monthly Data'!A22</f>
        <v>42614</v>
      </c>
      <c r="B22" s="1">
        <f t="shared" si="0"/>
        <v>2016</v>
      </c>
      <c r="C22" s="1">
        <f t="shared" si="1"/>
        <v>9</v>
      </c>
      <c r="D22" s="268">
        <f>'Monthly Data'!J22</f>
        <v>10662137.575885922</v>
      </c>
      <c r="E22" s="278">
        <f t="shared" ca="1" si="3"/>
        <v>26.342536231884061</v>
      </c>
      <c r="F22" s="278">
        <f t="shared" ca="1" si="3"/>
        <v>106.4160119047619</v>
      </c>
      <c r="G22" s="278">
        <f>'Monthly Data'!BD22</f>
        <v>15.7875</v>
      </c>
      <c r="H22" s="278">
        <f>'Monthly Data'!BG22</f>
        <v>120.65416666666664</v>
      </c>
      <c r="I22" s="18">
        <f>'Monthly Data'!CG22</f>
        <v>0</v>
      </c>
      <c r="J22" s="4">
        <f>'Monthly Data'!CD22</f>
        <v>30</v>
      </c>
      <c r="K22" s="24">
        <f>'Monthly Data'!K22</f>
        <v>4177</v>
      </c>
      <c r="M22" s="18"/>
      <c r="N22" s="18">
        <f ca="1">(E22-G22)*'GS&lt;50 Predicted Monthly'!$V$9</f>
        <v>57006.34284423411</v>
      </c>
      <c r="O22" s="18">
        <f ca="1">(F22-H22)*'GS&lt;50 Predicted Monthly'!$V$10</f>
        <v>-179663.05468929012</v>
      </c>
      <c r="P22" s="18"/>
      <c r="Q22" s="18"/>
      <c r="R22" s="18"/>
      <c r="S22" s="280">
        <f t="shared" ca="1" si="2"/>
        <v>10539480.864040866</v>
      </c>
    </row>
    <row r="23" spans="1:19" x14ac:dyDescent="0.25">
      <c r="A23" s="3">
        <f>'Monthly Data'!A23</f>
        <v>42644</v>
      </c>
      <c r="B23" s="1">
        <f t="shared" si="0"/>
        <v>2016</v>
      </c>
      <c r="C23" s="1">
        <f t="shared" si="1"/>
        <v>10</v>
      </c>
      <c r="D23" s="268">
        <f>'Monthly Data'!J23</f>
        <v>10050178.546894442</v>
      </c>
      <c r="E23" s="278">
        <f t="shared" ca="1" si="3"/>
        <v>181.36347826086953</v>
      </c>
      <c r="F23" s="278">
        <f t="shared" ca="1" si="3"/>
        <v>17.987083333333334</v>
      </c>
      <c r="G23" s="278">
        <f>'Monthly Data'!BD23</f>
        <v>166.45</v>
      </c>
      <c r="H23" s="278">
        <f>'Monthly Data'!BG23</f>
        <v>24.770833333333336</v>
      </c>
      <c r="I23" s="18">
        <f>'Monthly Data'!CG23</f>
        <v>0</v>
      </c>
      <c r="J23" s="4">
        <f>'Monthly Data'!CD23</f>
        <v>31</v>
      </c>
      <c r="K23" s="24">
        <f>'Monthly Data'!K23</f>
        <v>4154</v>
      </c>
      <c r="M23" s="18"/>
      <c r="N23" s="18">
        <f ca="1">(E23-G23)*'GS&lt;50 Predicted Monthly'!$V$9</f>
        <v>80545.706908237509</v>
      </c>
      <c r="O23" s="18">
        <f ca="1">(F23-H23)*'GS&lt;50 Predicted Monthly'!$V$10</f>
        <v>-85600.224722197498</v>
      </c>
      <c r="P23" s="18"/>
      <c r="Q23" s="18"/>
      <c r="R23" s="18"/>
      <c r="S23" s="280">
        <f t="shared" ca="1" si="2"/>
        <v>10045124.029080482</v>
      </c>
    </row>
    <row r="24" spans="1:19" x14ac:dyDescent="0.25">
      <c r="A24" s="3">
        <f>'Monthly Data'!A24</f>
        <v>42675</v>
      </c>
      <c r="B24" s="1">
        <f t="shared" si="0"/>
        <v>2016</v>
      </c>
      <c r="C24" s="1">
        <f t="shared" si="1"/>
        <v>11</v>
      </c>
      <c r="D24" s="268">
        <f>'Monthly Data'!J24</f>
        <v>10467644.593618168</v>
      </c>
      <c r="E24" s="278">
        <f t="shared" ca="1" si="3"/>
        <v>366.78033055712399</v>
      </c>
      <c r="F24" s="278">
        <f t="shared" ca="1" si="3"/>
        <v>0.8083333333333329</v>
      </c>
      <c r="G24" s="278">
        <f>'Monthly Data'!BD24</f>
        <v>317.335119047619</v>
      </c>
      <c r="H24" s="278">
        <f>'Monthly Data'!BG24</f>
        <v>0</v>
      </c>
      <c r="I24" s="18">
        <f>'Monthly Data'!CG24</f>
        <v>0</v>
      </c>
      <c r="J24" s="4">
        <f>'Monthly Data'!CD24</f>
        <v>30</v>
      </c>
      <c r="K24" s="24">
        <f>'Monthly Data'!K24</f>
        <v>4148</v>
      </c>
      <c r="M24" s="18"/>
      <c r="N24" s="18">
        <f ca="1">(E24-G24)*'GS&lt;50 Predicted Monthly'!$V$9</f>
        <v>267046.9922975697</v>
      </c>
      <c r="O24" s="18">
        <f ca="1">(F24-H24)*'GS&lt;50 Predicted Monthly'!$V$10</f>
        <v>10199.891650455318</v>
      </c>
      <c r="P24" s="18"/>
      <c r="Q24" s="18"/>
      <c r="R24" s="18"/>
      <c r="S24" s="280">
        <f t="shared" ca="1" si="2"/>
        <v>10744891.477566192</v>
      </c>
    </row>
    <row r="25" spans="1:19" x14ac:dyDescent="0.25">
      <c r="A25" s="3">
        <f>'Monthly Data'!A25</f>
        <v>42705</v>
      </c>
      <c r="B25" s="1">
        <f t="shared" si="0"/>
        <v>2016</v>
      </c>
      <c r="C25" s="1">
        <f t="shared" si="1"/>
        <v>12</v>
      </c>
      <c r="D25" s="268">
        <f>'Monthly Data'!J25</f>
        <v>11890572.967155561</v>
      </c>
      <c r="E25" s="278">
        <f t="shared" ca="1" si="3"/>
        <v>515.92800724637686</v>
      </c>
      <c r="F25" s="278">
        <f t="shared" ca="1" si="3"/>
        <v>0</v>
      </c>
      <c r="G25" s="278">
        <f>'Monthly Data'!BD25</f>
        <v>554.67083333333346</v>
      </c>
      <c r="H25" s="278">
        <f>'Monthly Data'!BG25</f>
        <v>0</v>
      </c>
      <c r="I25" s="18">
        <f>'Monthly Data'!CG25</f>
        <v>0</v>
      </c>
      <c r="J25" s="4">
        <f>'Monthly Data'!CD25</f>
        <v>31</v>
      </c>
      <c r="K25" s="24">
        <f>'Monthly Data'!K25</f>
        <v>4150</v>
      </c>
      <c r="M25" s="18"/>
      <c r="N25" s="18">
        <f ca="1">(E25-G25)*'GS&lt;50 Predicted Monthly'!$V$9</f>
        <v>-209244.83612818018</v>
      </c>
      <c r="O25" s="18">
        <f ca="1">(F25-H25)*'GS&lt;50 Predicted Monthly'!$V$10</f>
        <v>0</v>
      </c>
      <c r="P25" s="18"/>
      <c r="Q25" s="18"/>
      <c r="R25" s="18"/>
      <c r="S25" s="280">
        <f t="shared" ca="1" si="2"/>
        <v>11681328.13102738</v>
      </c>
    </row>
    <row r="26" spans="1:19" x14ac:dyDescent="0.25">
      <c r="A26" s="3">
        <f>'Monthly Data'!A26</f>
        <v>42736</v>
      </c>
      <c r="B26" s="1">
        <f t="shared" si="0"/>
        <v>2017</v>
      </c>
      <c r="C26" s="1">
        <f t="shared" si="1"/>
        <v>1</v>
      </c>
      <c r="D26" s="268">
        <f>'Monthly Data'!J26</f>
        <v>12355535.106722897</v>
      </c>
      <c r="E26" s="278">
        <f t="shared" ref="E26:F33" ca="1" si="4">E14</f>
        <v>635.33418478260876</v>
      </c>
      <c r="F26" s="278">
        <f t="shared" ca="1" si="4"/>
        <v>0</v>
      </c>
      <c r="G26" s="278">
        <f>'Monthly Data'!BD26</f>
        <v>558.21666666666658</v>
      </c>
      <c r="H26" s="278">
        <f>'Monthly Data'!BG26</f>
        <v>0</v>
      </c>
      <c r="I26" s="18">
        <f>'Monthly Data'!CG26</f>
        <v>0</v>
      </c>
      <c r="J26" s="4">
        <f>'Monthly Data'!CD26</f>
        <v>31</v>
      </c>
      <c r="K26" s="24">
        <f>'Monthly Data'!K26</f>
        <v>4150</v>
      </c>
      <c r="M26" s="18"/>
      <c r="N26" s="18">
        <f ca="1">(E26-G26)*'GS&lt;50 Predicted Monthly'!$V$9</f>
        <v>416501.4293114483</v>
      </c>
      <c r="O26" s="18">
        <f ca="1">(F26-H26)*'GS&lt;50 Predicted Monthly'!$V$10</f>
        <v>0</v>
      </c>
      <c r="P26" s="18"/>
      <c r="Q26" s="18"/>
      <c r="R26" s="18"/>
      <c r="S26" s="280">
        <f t="shared" ca="1" si="2"/>
        <v>12772036.536034346</v>
      </c>
    </row>
    <row r="27" spans="1:19" x14ac:dyDescent="0.25">
      <c r="A27" s="3">
        <f>'Monthly Data'!A27</f>
        <v>42767</v>
      </c>
      <c r="B27" s="1">
        <f t="shared" si="0"/>
        <v>2017</v>
      </c>
      <c r="C27" s="1">
        <f t="shared" si="1"/>
        <v>2</v>
      </c>
      <c r="D27" s="268">
        <f>'Monthly Data'!J27</f>
        <v>11059039.500129096</v>
      </c>
      <c r="E27" s="278">
        <f t="shared" ca="1" si="4"/>
        <v>567.65501811594208</v>
      </c>
      <c r="F27" s="278">
        <f t="shared" ca="1" si="4"/>
        <v>0</v>
      </c>
      <c r="G27" s="278">
        <f>'Monthly Data'!BD27</f>
        <v>474.08333333333337</v>
      </c>
      <c r="H27" s="278">
        <f>'Monthly Data'!BG27</f>
        <v>0</v>
      </c>
      <c r="I27" s="18">
        <f>'Monthly Data'!CG27</f>
        <v>0</v>
      </c>
      <c r="J27" s="4">
        <f>'Monthly Data'!CD27</f>
        <v>28</v>
      </c>
      <c r="K27" s="24">
        <f>'Monthly Data'!K27</f>
        <v>4144</v>
      </c>
      <c r="M27" s="18"/>
      <c r="N27" s="18">
        <f ca="1">(E27-G27)*'GS&lt;50 Predicted Monthly'!$V$9</f>
        <v>505368.18880041415</v>
      </c>
      <c r="O27" s="18">
        <f ca="1">(F27-H27)*'GS&lt;50 Predicted Monthly'!$V$10</f>
        <v>0</v>
      </c>
      <c r="P27" s="18"/>
      <c r="Q27" s="18"/>
      <c r="R27" s="18"/>
      <c r="S27" s="280">
        <f t="shared" ca="1" si="2"/>
        <v>11564407.688929511</v>
      </c>
    </row>
    <row r="28" spans="1:19" x14ac:dyDescent="0.25">
      <c r="A28" s="3">
        <f>'Monthly Data'!A28</f>
        <v>42795</v>
      </c>
      <c r="B28" s="1">
        <f t="shared" si="0"/>
        <v>2017</v>
      </c>
      <c r="C28" s="1">
        <f t="shared" si="1"/>
        <v>3</v>
      </c>
      <c r="D28" s="268">
        <f>'Monthly Data'!J28</f>
        <v>12183406.064573791</v>
      </c>
      <c r="E28" s="278">
        <f t="shared" ca="1" si="4"/>
        <v>484.13298913043479</v>
      </c>
      <c r="F28" s="278">
        <f t="shared" ca="1" si="4"/>
        <v>0</v>
      </c>
      <c r="G28" s="278">
        <f>'Monthly Data'!BD28</f>
        <v>537.67916666666656</v>
      </c>
      <c r="H28" s="278">
        <f>'Monthly Data'!BG28</f>
        <v>0</v>
      </c>
      <c r="I28" s="18">
        <f>'Monthly Data'!CG28</f>
        <v>0</v>
      </c>
      <c r="J28" s="4">
        <f>'Monthly Data'!CD28</f>
        <v>31</v>
      </c>
      <c r="K28" s="24">
        <f>'Monthly Data'!K28</f>
        <v>4150</v>
      </c>
      <c r="M28" s="18"/>
      <c r="N28" s="18">
        <f ca="1">(E28-G28)*'GS&lt;50 Predicted Monthly'!$V$9</f>
        <v>-289195.76281585085</v>
      </c>
      <c r="O28" s="18">
        <f ca="1">(F28-H28)*'GS&lt;50 Predicted Monthly'!$V$10</f>
        <v>0</v>
      </c>
      <c r="P28" s="18"/>
      <c r="Q28" s="18"/>
      <c r="R28" s="18"/>
      <c r="S28" s="280">
        <f t="shared" ca="1" si="2"/>
        <v>11894210.301757939</v>
      </c>
    </row>
    <row r="29" spans="1:19" x14ac:dyDescent="0.25">
      <c r="A29" s="3">
        <f>'Monthly Data'!A29</f>
        <v>42826</v>
      </c>
      <c r="B29" s="1">
        <f t="shared" si="0"/>
        <v>2017</v>
      </c>
      <c r="C29" s="1">
        <f t="shared" si="1"/>
        <v>4</v>
      </c>
      <c r="D29" s="268">
        <f>'Monthly Data'!J29</f>
        <v>10307837.783077231</v>
      </c>
      <c r="E29" s="278">
        <f t="shared" ca="1" si="4"/>
        <v>292.81107954545462</v>
      </c>
      <c r="F29" s="278">
        <f t="shared" ca="1" si="4"/>
        <v>2.1908333333333347</v>
      </c>
      <c r="G29" s="278">
        <f>'Monthly Data'!BD29</f>
        <v>230.73333333333338</v>
      </c>
      <c r="H29" s="278">
        <f>'Monthly Data'!BG29</f>
        <v>5.6500000000000057</v>
      </c>
      <c r="I29" s="18">
        <f>'Monthly Data'!CG29</f>
        <v>0</v>
      </c>
      <c r="J29" s="4">
        <f>'Monthly Data'!CD29</f>
        <v>30</v>
      </c>
      <c r="K29" s="24">
        <f>'Monthly Data'!K29</f>
        <v>4151</v>
      </c>
      <c r="M29" s="18"/>
      <c r="N29" s="18">
        <f ca="1">(E29-G29)*'GS&lt;50 Predicted Monthly'!$V$9</f>
        <v>335273.62728283717</v>
      </c>
      <c r="O29" s="18">
        <f ca="1">(F29-H29)*'GS&lt;50 Predicted Monthly'!$V$10</f>
        <v>-43649.227052618655</v>
      </c>
      <c r="P29" s="18"/>
      <c r="Q29" s="18"/>
      <c r="R29" s="18"/>
      <c r="S29" s="280">
        <f t="shared" ca="1" si="2"/>
        <v>10599462.18330745</v>
      </c>
    </row>
    <row r="30" spans="1:19" x14ac:dyDescent="0.25">
      <c r="A30" s="3">
        <f>'Monthly Data'!A30</f>
        <v>42856</v>
      </c>
      <c r="B30" s="1">
        <f t="shared" si="0"/>
        <v>2017</v>
      </c>
      <c r="C30" s="1">
        <f t="shared" si="1"/>
        <v>5</v>
      </c>
      <c r="D30" s="268">
        <f>'Monthly Data'!J30</f>
        <v>10255191.139574682</v>
      </c>
      <c r="E30" s="278">
        <f t="shared" ca="1" si="4"/>
        <v>103.25939244851259</v>
      </c>
      <c r="F30" s="278">
        <f t="shared" ca="1" si="4"/>
        <v>52.487435064935063</v>
      </c>
      <c r="G30" s="278">
        <f>'Monthly Data'!BD30</f>
        <v>134.83333333333331</v>
      </c>
      <c r="H30" s="278">
        <f>'Monthly Data'!BG30</f>
        <v>28.370833333333344</v>
      </c>
      <c r="I30" s="18">
        <f>'Monthly Data'!CG30</f>
        <v>0</v>
      </c>
      <c r="J30" s="4">
        <f>'Monthly Data'!CD30</f>
        <v>31</v>
      </c>
      <c r="K30" s="24">
        <f>'Monthly Data'!K30</f>
        <v>4160</v>
      </c>
      <c r="M30" s="18"/>
      <c r="N30" s="18">
        <f ca="1">(E30-G30)*'GS&lt;50 Predicted Monthly'!$V$9</f>
        <v>-170526.64334648033</v>
      </c>
      <c r="O30" s="18">
        <f ca="1">(F30-H30)*'GS&lt;50 Predicted Monthly'!$V$10</f>
        <v>304313.47378085041</v>
      </c>
      <c r="P30" s="18"/>
      <c r="Q30" s="18"/>
      <c r="R30" s="18"/>
      <c r="S30" s="280">
        <f t="shared" ca="1" si="2"/>
        <v>10388977.970009051</v>
      </c>
    </row>
    <row r="31" spans="1:19" x14ac:dyDescent="0.25">
      <c r="A31" s="3">
        <f>'Monthly Data'!A31</f>
        <v>42887</v>
      </c>
      <c r="B31" s="1">
        <f t="shared" si="0"/>
        <v>2017</v>
      </c>
      <c r="C31" s="1">
        <f t="shared" si="1"/>
        <v>6</v>
      </c>
      <c r="D31" s="268">
        <f>'Monthly Data'!J31</f>
        <v>10271714.846599523</v>
      </c>
      <c r="E31" s="278">
        <f t="shared" ca="1" si="4"/>
        <v>11.89069871794872</v>
      </c>
      <c r="F31" s="278">
        <f t="shared" ca="1" si="4"/>
        <v>137.65451754405018</v>
      </c>
      <c r="G31" s="278">
        <f>'Monthly Data'!BD31</f>
        <v>20.287499999999987</v>
      </c>
      <c r="H31" s="278">
        <f>'Monthly Data'!BG31</f>
        <v>112.71333333333334</v>
      </c>
      <c r="I31" s="18">
        <f>'Monthly Data'!CG31</f>
        <v>0</v>
      </c>
      <c r="J31" s="4">
        <f>'Monthly Data'!CD31</f>
        <v>30</v>
      </c>
      <c r="K31" s="24">
        <f>'Monthly Data'!K31</f>
        <v>4154</v>
      </c>
      <c r="M31" s="18"/>
      <c r="N31" s="18">
        <f ca="1">(E31-G31)*'GS&lt;50 Predicted Monthly'!$V$9</f>
        <v>-45350.003748312753</v>
      </c>
      <c r="O31" s="18">
        <f ca="1">(F31-H31)*'GS&lt;50 Predicted Monthly'!$V$10</f>
        <v>314718.40402065014</v>
      </c>
      <c r="P31" s="18"/>
      <c r="Q31" s="18"/>
      <c r="R31" s="18"/>
      <c r="S31" s="280">
        <f t="shared" ca="1" si="2"/>
        <v>10541083.246871861</v>
      </c>
    </row>
    <row r="32" spans="1:19" x14ac:dyDescent="0.25">
      <c r="A32" s="3">
        <f>'Monthly Data'!A32</f>
        <v>42917</v>
      </c>
      <c r="B32" s="1">
        <f t="shared" si="0"/>
        <v>2017</v>
      </c>
      <c r="C32" s="1">
        <f t="shared" si="1"/>
        <v>7</v>
      </c>
      <c r="D32" s="268">
        <f>'Monthly Data'!J32</f>
        <v>11368071.321868924</v>
      </c>
      <c r="E32" s="278">
        <f t="shared" ca="1" si="4"/>
        <v>7.4583333333333002E-2</v>
      </c>
      <c r="F32" s="278">
        <f t="shared" ca="1" si="4"/>
        <v>235.94737858727848</v>
      </c>
      <c r="G32" s="278">
        <f>'Monthly Data'!BD32</f>
        <v>0</v>
      </c>
      <c r="H32" s="278">
        <f>'Monthly Data'!BG32</f>
        <v>198.16666666666666</v>
      </c>
      <c r="I32" s="18">
        <f>'Monthly Data'!CG32</f>
        <v>0</v>
      </c>
      <c r="J32" s="4">
        <f>'Monthly Data'!CD32</f>
        <v>31</v>
      </c>
      <c r="K32" s="24">
        <f>'Monthly Data'!K32</f>
        <v>4158</v>
      </c>
      <c r="M32" s="18"/>
      <c r="N32" s="18">
        <f ca="1">(E32-G32)*'GS&lt;50 Predicted Monthly'!$V$9</f>
        <v>402.81463531336908</v>
      </c>
      <c r="O32" s="18">
        <f ca="1">(F32-H32)*'GS&lt;50 Predicted Monthly'!$V$10</f>
        <v>476732.99142347183</v>
      </c>
      <c r="P32" s="18"/>
      <c r="Q32" s="18"/>
      <c r="R32" s="18"/>
      <c r="S32" s="280">
        <f t="shared" ca="1" si="2"/>
        <v>11845207.127927709</v>
      </c>
    </row>
    <row r="33" spans="1:19" x14ac:dyDescent="0.25">
      <c r="A33" s="3">
        <f>'Monthly Data'!A33</f>
        <v>42948</v>
      </c>
      <c r="B33" s="1">
        <f t="shared" si="0"/>
        <v>2017</v>
      </c>
      <c r="C33" s="1">
        <f t="shared" si="1"/>
        <v>8</v>
      </c>
      <c r="D33" s="268">
        <f>'Monthly Data'!J33</f>
        <v>11009225.659270091</v>
      </c>
      <c r="E33" s="278">
        <f t="shared" ca="1" si="4"/>
        <v>0.75041666666666718</v>
      </c>
      <c r="F33" s="278">
        <f t="shared" ca="1" si="4"/>
        <v>210.96558794466404</v>
      </c>
      <c r="G33" s="278">
        <f>'Monthly Data'!BD33</f>
        <v>3.6416666666666693</v>
      </c>
      <c r="H33" s="278">
        <f>'Monthly Data'!BG33</f>
        <v>155.42409420289857</v>
      </c>
      <c r="I33" s="18">
        <f>'Monthly Data'!CG33</f>
        <v>0</v>
      </c>
      <c r="J33" s="4">
        <f>'Monthly Data'!CD33</f>
        <v>31</v>
      </c>
      <c r="K33" s="24">
        <f>'Monthly Data'!K33</f>
        <v>4157</v>
      </c>
      <c r="M33" s="18"/>
      <c r="N33" s="18">
        <f ca="1">(E33-G33)*'GS&lt;50 Predicted Monthly'!$V$9</f>
        <v>-15615.255611393755</v>
      </c>
      <c r="O33" s="18">
        <f ca="1">(F33-H33)*'GS&lt;50 Predicted Monthly'!$V$10</f>
        <v>700846.04322117544</v>
      </c>
      <c r="P33" s="18"/>
      <c r="Q33" s="18"/>
      <c r="R33" s="18"/>
      <c r="S33" s="280">
        <f t="shared" ca="1" si="2"/>
        <v>11694456.446879873</v>
      </c>
    </row>
    <row r="34" spans="1:19" x14ac:dyDescent="0.25">
      <c r="A34" s="3">
        <f>'Monthly Data'!A34</f>
        <v>42979</v>
      </c>
      <c r="B34" s="1">
        <f t="shared" si="0"/>
        <v>2017</v>
      </c>
      <c r="C34" s="1">
        <f t="shared" si="1"/>
        <v>9</v>
      </c>
      <c r="D34" s="268">
        <f>'Monthly Data'!J34</f>
        <v>10614412.668142477</v>
      </c>
      <c r="E34" s="278">
        <f t="shared" ref="E34:F49" ca="1" si="5">E22</f>
        <v>26.342536231884061</v>
      </c>
      <c r="F34" s="278">
        <f t="shared" ca="1" si="5"/>
        <v>106.4160119047619</v>
      </c>
      <c r="G34" s="278">
        <f>'Monthly Data'!BD34</f>
        <v>37.391666666666666</v>
      </c>
      <c r="H34" s="278">
        <f>'Monthly Data'!BG34</f>
        <v>112.67916666666666</v>
      </c>
      <c r="I34" s="18">
        <f>'Monthly Data'!CG34</f>
        <v>0</v>
      </c>
      <c r="J34" s="4">
        <f>'Monthly Data'!CD34</f>
        <v>30</v>
      </c>
      <c r="K34" s="24">
        <f>'Monthly Data'!K34</f>
        <v>4169</v>
      </c>
      <c r="M34" s="18"/>
      <c r="N34" s="18">
        <f ca="1">(E34-G34)*'GS&lt;50 Predicted Monthly'!$V$9</f>
        <v>-59674.879731175257</v>
      </c>
      <c r="O34" s="18">
        <f ca="1">(F34-H34)*'GS&lt;50 Predicted Monthly'!$V$10</f>
        <v>-79031.13397294248</v>
      </c>
      <c r="P34" s="18"/>
      <c r="Q34" s="18"/>
      <c r="R34" s="18"/>
      <c r="S34" s="280">
        <f t="shared" ref="S34:S65" ca="1" si="6">D34+N34+O34</f>
        <v>10475706.65443836</v>
      </c>
    </row>
    <row r="35" spans="1:19" x14ac:dyDescent="0.25">
      <c r="A35" s="3">
        <f>'Monthly Data'!A35</f>
        <v>43009</v>
      </c>
      <c r="B35" s="1">
        <f t="shared" si="0"/>
        <v>2017</v>
      </c>
      <c r="C35" s="1">
        <f t="shared" si="1"/>
        <v>10</v>
      </c>
      <c r="D35" s="268">
        <f>'Monthly Data'!J35</f>
        <v>10086644.014943147</v>
      </c>
      <c r="E35" s="278">
        <f t="shared" ca="1" si="5"/>
        <v>181.36347826086953</v>
      </c>
      <c r="F35" s="278">
        <f t="shared" ca="1" si="5"/>
        <v>17.987083333333334</v>
      </c>
      <c r="G35" s="278">
        <f>'Monthly Data'!BD35</f>
        <v>124.7625</v>
      </c>
      <c r="H35" s="278">
        <f>'Monthly Data'!BG35</f>
        <v>29.654166666666669</v>
      </c>
      <c r="I35" s="18">
        <f>'Monthly Data'!CG35</f>
        <v>0</v>
      </c>
      <c r="J35" s="4">
        <f>'Monthly Data'!CD35</f>
        <v>31</v>
      </c>
      <c r="K35" s="24">
        <f>'Monthly Data'!K35</f>
        <v>4175</v>
      </c>
      <c r="M35" s="18"/>
      <c r="N35" s="18">
        <f ca="1">(E35-G35)*'GS&lt;50 Predicted Monthly'!$V$9</f>
        <v>305694.33407640923</v>
      </c>
      <c r="O35" s="18">
        <f ca="1">(F35-H35)*'GS&lt;50 Predicted Monthly'!$V$10</f>
        <v>-147220.18871360799</v>
      </c>
      <c r="P35" s="18"/>
      <c r="Q35" s="18"/>
      <c r="R35" s="18"/>
      <c r="S35" s="280">
        <f t="shared" ca="1" si="6"/>
        <v>10245118.160305949</v>
      </c>
    </row>
    <row r="36" spans="1:19" x14ac:dyDescent="0.25">
      <c r="A36" s="3">
        <f>'Monthly Data'!A36</f>
        <v>43040</v>
      </c>
      <c r="B36" s="1">
        <f t="shared" si="0"/>
        <v>2017</v>
      </c>
      <c r="C36" s="1">
        <f t="shared" si="1"/>
        <v>11</v>
      </c>
      <c r="D36" s="268">
        <f>'Monthly Data'!J36</f>
        <v>11102990.29685051</v>
      </c>
      <c r="E36" s="278">
        <f t="shared" ca="1" si="5"/>
        <v>366.78033055712399</v>
      </c>
      <c r="F36" s="278">
        <f t="shared" ca="1" si="5"/>
        <v>0.8083333333333329</v>
      </c>
      <c r="G36" s="278">
        <f>'Monthly Data'!BD36</f>
        <v>382.61174242424244</v>
      </c>
      <c r="H36" s="278">
        <f>'Monthly Data'!BG36</f>
        <v>0</v>
      </c>
      <c r="I36" s="18">
        <f>'Monthly Data'!CG36</f>
        <v>0</v>
      </c>
      <c r="J36" s="4">
        <f>'Monthly Data'!CD36</f>
        <v>30</v>
      </c>
      <c r="K36" s="24">
        <f>'Monthly Data'!K36</f>
        <v>4189</v>
      </c>
      <c r="M36" s="18"/>
      <c r="N36" s="18">
        <f ca="1">(E36-G36)*'GS&lt;50 Predicted Monthly'!$V$9</f>
        <v>-85503.34388043471</v>
      </c>
      <c r="O36" s="18">
        <f ca="1">(F36-H36)*'GS&lt;50 Predicted Monthly'!$V$10</f>
        <v>10199.891650455318</v>
      </c>
      <c r="P36" s="18"/>
      <c r="Q36" s="18"/>
      <c r="R36" s="18"/>
      <c r="S36" s="280">
        <f t="shared" ca="1" si="6"/>
        <v>11027686.84462053</v>
      </c>
    </row>
    <row r="37" spans="1:19" x14ac:dyDescent="0.25">
      <c r="A37" s="3">
        <f>'Monthly Data'!A37</f>
        <v>43070</v>
      </c>
      <c r="B37" s="1">
        <f t="shared" si="0"/>
        <v>2017</v>
      </c>
      <c r="C37" s="1">
        <f t="shared" si="1"/>
        <v>12</v>
      </c>
      <c r="D37" s="268">
        <f>'Monthly Data'!J37</f>
        <v>12738018.510544082</v>
      </c>
      <c r="E37" s="278">
        <f t="shared" ca="1" si="5"/>
        <v>515.92800724637686</v>
      </c>
      <c r="F37" s="278">
        <f t="shared" ca="1" si="5"/>
        <v>0</v>
      </c>
      <c r="G37" s="278">
        <f>'Monthly Data'!BD37</f>
        <v>674.31250000000011</v>
      </c>
      <c r="H37" s="278">
        <f>'Monthly Data'!BG37</f>
        <v>0</v>
      </c>
      <c r="I37" s="18">
        <f>'Monthly Data'!CG37</f>
        <v>0</v>
      </c>
      <c r="J37" s="4">
        <f>'Monthly Data'!CD37</f>
        <v>31</v>
      </c>
      <c r="K37" s="24">
        <f>'Monthly Data'!K37</f>
        <v>4186</v>
      </c>
      <c r="M37" s="18"/>
      <c r="N37" s="18">
        <f ca="1">(E37-G37)*'GS&lt;50 Predicted Monthly'!$V$9</f>
        <v>-855413.51983701426</v>
      </c>
      <c r="O37" s="18">
        <f ca="1">(F37-H37)*'GS&lt;50 Predicted Monthly'!$V$10</f>
        <v>0</v>
      </c>
      <c r="P37" s="18"/>
      <c r="Q37" s="18"/>
      <c r="R37" s="18"/>
      <c r="S37" s="280">
        <f t="shared" ca="1" si="6"/>
        <v>11882604.990707068</v>
      </c>
    </row>
    <row r="38" spans="1:19" x14ac:dyDescent="0.25">
      <c r="A38" s="3">
        <f>'Monthly Data'!A38</f>
        <v>43101</v>
      </c>
      <c r="B38" s="1">
        <f t="shared" si="0"/>
        <v>2018</v>
      </c>
      <c r="C38" s="1">
        <f t="shared" si="1"/>
        <v>1</v>
      </c>
      <c r="D38" s="268">
        <f>'Monthly Data'!J38</f>
        <v>13743847.236236988</v>
      </c>
      <c r="E38" s="278">
        <f t="shared" ca="1" si="5"/>
        <v>635.33418478260876</v>
      </c>
      <c r="F38" s="278">
        <f t="shared" ca="1" si="5"/>
        <v>0</v>
      </c>
      <c r="G38" s="278">
        <f>'Monthly Data'!BD38</f>
        <v>688.53749999999991</v>
      </c>
      <c r="H38" s="278">
        <f>'Monthly Data'!BG38</f>
        <v>0</v>
      </c>
      <c r="I38" s="18">
        <f>'Monthly Data'!CG38</f>
        <v>0</v>
      </c>
      <c r="J38" s="4">
        <f>'Monthly Data'!CD38</f>
        <v>31</v>
      </c>
      <c r="K38" s="24">
        <f>'Monthly Data'!K38</f>
        <v>4200</v>
      </c>
      <c r="M38" s="18"/>
      <c r="N38" s="18">
        <f ca="1">(E38-G38)*'GS&lt;50 Predicted Monthly'!$V$9</f>
        <v>-287344.00916320534</v>
      </c>
      <c r="O38" s="18">
        <f ca="1">(F38-H38)*'GS&lt;50 Predicted Monthly'!$V$10</f>
        <v>0</v>
      </c>
      <c r="P38" s="18"/>
      <c r="Q38" s="18"/>
      <c r="R38" s="18"/>
      <c r="S38" s="280">
        <f t="shared" ca="1" si="6"/>
        <v>13456503.227073783</v>
      </c>
    </row>
    <row r="39" spans="1:19" x14ac:dyDescent="0.25">
      <c r="A39" s="3">
        <f>'Monthly Data'!A39</f>
        <v>43132</v>
      </c>
      <c r="B39" s="1">
        <f t="shared" si="0"/>
        <v>2018</v>
      </c>
      <c r="C39" s="1">
        <f t="shared" si="1"/>
        <v>2</v>
      </c>
      <c r="D39" s="268">
        <f>'Monthly Data'!J39</f>
        <v>11791318.027232353</v>
      </c>
      <c r="E39" s="278">
        <f t="shared" ca="1" si="5"/>
        <v>567.65501811594208</v>
      </c>
      <c r="F39" s="278">
        <f t="shared" ca="1" si="5"/>
        <v>0</v>
      </c>
      <c r="G39" s="278">
        <f>'Monthly Data'!BD39</f>
        <v>520.49583333333328</v>
      </c>
      <c r="H39" s="278">
        <f>'Monthly Data'!BG39</f>
        <v>0</v>
      </c>
      <c r="I39" s="18">
        <f>'Monthly Data'!CG39</f>
        <v>0</v>
      </c>
      <c r="J39" s="4">
        <f>'Monthly Data'!CD39</f>
        <v>28</v>
      </c>
      <c r="K39" s="24">
        <f>'Monthly Data'!K39</f>
        <v>4210</v>
      </c>
      <c r="M39" s="18"/>
      <c r="N39" s="18">
        <f ca="1">(E39-G39)*'GS&lt;50 Predicted Monthly'!$V$9</f>
        <v>254700.46685875888</v>
      </c>
      <c r="O39" s="18">
        <f ca="1">(F39-H39)*'GS&lt;50 Predicted Monthly'!$V$10</f>
        <v>0</v>
      </c>
      <c r="P39" s="18"/>
      <c r="Q39" s="18"/>
      <c r="R39" s="18"/>
      <c r="S39" s="280">
        <f t="shared" ca="1" si="6"/>
        <v>12046018.494091112</v>
      </c>
    </row>
    <row r="40" spans="1:19" x14ac:dyDescent="0.25">
      <c r="A40" s="3">
        <f>'Monthly Data'!A40</f>
        <v>43160</v>
      </c>
      <c r="B40" s="1">
        <f t="shared" si="0"/>
        <v>2018</v>
      </c>
      <c r="C40" s="1">
        <f t="shared" si="1"/>
        <v>3</v>
      </c>
      <c r="D40" s="268">
        <f>'Monthly Data'!J40</f>
        <v>12122391.504287651</v>
      </c>
      <c r="E40" s="278">
        <f t="shared" ca="1" si="5"/>
        <v>484.13298913043479</v>
      </c>
      <c r="F40" s="278">
        <f t="shared" ca="1" si="5"/>
        <v>0</v>
      </c>
      <c r="G40" s="278">
        <f>'Monthly Data'!BD40</f>
        <v>505.2791666666667</v>
      </c>
      <c r="H40" s="278">
        <f>'Monthly Data'!BG40</f>
        <v>0</v>
      </c>
      <c r="I40" s="18">
        <f>'Monthly Data'!CG40</f>
        <v>0</v>
      </c>
      <c r="J40" s="4">
        <f>'Monthly Data'!CD40</f>
        <v>31</v>
      </c>
      <c r="K40" s="24">
        <f>'Monthly Data'!K40</f>
        <v>4215</v>
      </c>
      <c r="M40" s="18"/>
      <c r="N40" s="18">
        <f ca="1">(E40-G40)*'GS&lt;50 Predicted Monthly'!$V$9</f>
        <v>-114207.68436910457</v>
      </c>
      <c r="O40" s="18">
        <f ca="1">(F40-H40)*'GS&lt;50 Predicted Monthly'!$V$10</f>
        <v>0</v>
      </c>
      <c r="P40" s="18"/>
      <c r="Q40" s="18"/>
      <c r="R40" s="18"/>
      <c r="S40" s="280">
        <f t="shared" ca="1" si="6"/>
        <v>12008183.819918547</v>
      </c>
    </row>
    <row r="41" spans="1:19" x14ac:dyDescent="0.25">
      <c r="A41" s="3">
        <f>'Monthly Data'!A41</f>
        <v>43191</v>
      </c>
      <c r="B41" s="1">
        <f t="shared" si="0"/>
        <v>2018</v>
      </c>
      <c r="C41" s="1">
        <f t="shared" si="1"/>
        <v>4</v>
      </c>
      <c r="D41" s="268">
        <f>'Monthly Data'!J41</f>
        <v>11217887.058367977</v>
      </c>
      <c r="E41" s="278">
        <f t="shared" ca="1" si="5"/>
        <v>292.81107954545462</v>
      </c>
      <c r="F41" s="278">
        <f t="shared" ca="1" si="5"/>
        <v>2.1908333333333347</v>
      </c>
      <c r="G41" s="278">
        <f>'Monthly Data'!BD41</f>
        <v>392.51666666666677</v>
      </c>
      <c r="H41" s="278">
        <f>'Monthly Data'!BG41</f>
        <v>0</v>
      </c>
      <c r="I41" s="18">
        <f>'Monthly Data'!CG41</f>
        <v>0</v>
      </c>
      <c r="J41" s="4">
        <f>'Monthly Data'!CD41</f>
        <v>30</v>
      </c>
      <c r="K41" s="24">
        <f>'Monthly Data'!K41</f>
        <v>4218</v>
      </c>
      <c r="M41" s="18"/>
      <c r="N41" s="18">
        <f ca="1">(E41-G41)*'GS&lt;50 Predicted Monthly'!$V$9</f>
        <v>-538496.57718350738</v>
      </c>
      <c r="O41" s="18">
        <f ca="1">(F41-H41)*'GS&lt;50 Predicted Monthly'!$V$10</f>
        <v>27644.860978399032</v>
      </c>
      <c r="P41" s="18"/>
      <c r="Q41" s="18"/>
      <c r="R41" s="18"/>
      <c r="S41" s="280">
        <f t="shared" ca="1" si="6"/>
        <v>10707035.342162868</v>
      </c>
    </row>
    <row r="42" spans="1:19" x14ac:dyDescent="0.25">
      <c r="A42" s="3">
        <f>'Monthly Data'!A42</f>
        <v>43221</v>
      </c>
      <c r="B42" s="1">
        <f t="shared" si="0"/>
        <v>2018</v>
      </c>
      <c r="C42" s="1">
        <f t="shared" si="1"/>
        <v>5</v>
      </c>
      <c r="D42" s="268">
        <f>'Monthly Data'!J42</f>
        <v>10536315.185701128</v>
      </c>
      <c r="E42" s="278">
        <f t="shared" ca="1" si="5"/>
        <v>103.25939244851259</v>
      </c>
      <c r="F42" s="278">
        <f t="shared" ca="1" si="5"/>
        <v>52.487435064935063</v>
      </c>
      <c r="G42" s="278">
        <f>'Monthly Data'!BD42</f>
        <v>53.462500000000013</v>
      </c>
      <c r="H42" s="278">
        <f>'Monthly Data'!BG42</f>
        <v>80.600541125541127</v>
      </c>
      <c r="I42" s="18">
        <f>'Monthly Data'!CG42</f>
        <v>0</v>
      </c>
      <c r="J42" s="4">
        <f>'Monthly Data'!CD42</f>
        <v>31</v>
      </c>
      <c r="K42" s="24">
        <f>'Monthly Data'!K42</f>
        <v>4162</v>
      </c>
      <c r="M42" s="18"/>
      <c r="N42" s="18">
        <f ca="1">(E42-G42)*'GS&lt;50 Predicted Monthly'!$V$9</f>
        <v>268946.37414149824</v>
      </c>
      <c r="O42" s="18">
        <f ca="1">(F42-H42)*'GS&lt;50 Predicted Monthly'!$V$10</f>
        <v>-354743.05456817412</v>
      </c>
      <c r="P42" s="18"/>
      <c r="Q42" s="18"/>
      <c r="R42" s="18"/>
      <c r="S42" s="280">
        <f t="shared" ca="1" si="6"/>
        <v>10450518.505274452</v>
      </c>
    </row>
    <row r="43" spans="1:19" x14ac:dyDescent="0.25">
      <c r="A43" s="3">
        <f>'Monthly Data'!A43</f>
        <v>43252</v>
      </c>
      <c r="B43" s="1">
        <f t="shared" si="0"/>
        <v>2018</v>
      </c>
      <c r="C43" s="1">
        <f t="shared" si="1"/>
        <v>6</v>
      </c>
      <c r="D43" s="268">
        <f>'Monthly Data'!J43</f>
        <v>10734643.372216791</v>
      </c>
      <c r="E43" s="278">
        <f t="shared" ca="1" si="5"/>
        <v>11.89069871794872</v>
      </c>
      <c r="F43" s="278">
        <f t="shared" ca="1" si="5"/>
        <v>137.65451754405018</v>
      </c>
      <c r="G43" s="278">
        <f>'Monthly Data'!BD43</f>
        <v>7.645833333333325</v>
      </c>
      <c r="H43" s="278">
        <f>'Monthly Data'!BG43</f>
        <v>141.51477272727271</v>
      </c>
      <c r="I43" s="18">
        <f>'Monthly Data'!CG43</f>
        <v>0</v>
      </c>
      <c r="J43" s="4">
        <f>'Monthly Data'!CD43</f>
        <v>30</v>
      </c>
      <c r="K43" s="24">
        <f>'Monthly Data'!K43</f>
        <v>4160</v>
      </c>
      <c r="M43" s="18"/>
      <c r="N43" s="18">
        <f ca="1">(E43-G43)*'GS&lt;50 Predicted Monthly'!$V$9</f>
        <v>22925.951756758011</v>
      </c>
      <c r="O43" s="18">
        <f ca="1">(F43-H43)*'GS&lt;50 Predicted Monthly'!$V$10</f>
        <v>-48710.331478736181</v>
      </c>
      <c r="P43" s="18"/>
      <c r="Q43" s="18"/>
      <c r="R43" s="18"/>
      <c r="S43" s="280">
        <f t="shared" ca="1" si="6"/>
        <v>10708858.992494814</v>
      </c>
    </row>
    <row r="44" spans="1:19" x14ac:dyDescent="0.25">
      <c r="A44" s="3">
        <f>'Monthly Data'!A44</f>
        <v>43282</v>
      </c>
      <c r="B44" s="1">
        <f t="shared" si="0"/>
        <v>2018</v>
      </c>
      <c r="C44" s="1">
        <f t="shared" si="1"/>
        <v>7</v>
      </c>
      <c r="D44" s="268">
        <f>'Monthly Data'!J44</f>
        <v>12267261.026286196</v>
      </c>
      <c r="E44" s="278">
        <f t="shared" ca="1" si="5"/>
        <v>7.4583333333333002E-2</v>
      </c>
      <c r="F44" s="278">
        <f t="shared" ca="1" si="5"/>
        <v>235.94737858727848</v>
      </c>
      <c r="G44" s="278">
        <f>'Monthly Data'!BD44</f>
        <v>0</v>
      </c>
      <c r="H44" s="278">
        <f>'Monthly Data'!BG44</f>
        <v>256.39861424807077</v>
      </c>
      <c r="I44" s="18">
        <f>'Monthly Data'!CG44</f>
        <v>0</v>
      </c>
      <c r="J44" s="4">
        <f>'Monthly Data'!CD44</f>
        <v>31</v>
      </c>
      <c r="K44" s="24">
        <f>'Monthly Data'!K44</f>
        <v>4168</v>
      </c>
      <c r="M44" s="18"/>
      <c r="N44" s="18">
        <f ca="1">(E44-G44)*'GS&lt;50 Predicted Monthly'!$V$9</f>
        <v>402.81463531336908</v>
      </c>
      <c r="O44" s="18">
        <f ca="1">(F44-H44)*'GS&lt;50 Predicted Monthly'!$V$10</f>
        <v>-258062.33549444468</v>
      </c>
      <c r="P44" s="18"/>
      <c r="Q44" s="18"/>
      <c r="R44" s="18"/>
      <c r="S44" s="280">
        <f t="shared" ca="1" si="6"/>
        <v>12009601.505427066</v>
      </c>
    </row>
    <row r="45" spans="1:19" x14ac:dyDescent="0.25">
      <c r="A45" s="3">
        <f>'Monthly Data'!A45</f>
        <v>43313</v>
      </c>
      <c r="B45" s="1">
        <f t="shared" si="0"/>
        <v>2018</v>
      </c>
      <c r="C45" s="1">
        <f t="shared" si="1"/>
        <v>8</v>
      </c>
      <c r="D45" s="268">
        <f>'Monthly Data'!J45</f>
        <v>12704659.584958429</v>
      </c>
      <c r="E45" s="278">
        <f t="shared" ca="1" si="5"/>
        <v>0.75041666666666718</v>
      </c>
      <c r="F45" s="278">
        <f t="shared" ca="1" si="5"/>
        <v>210.96558794466404</v>
      </c>
      <c r="G45" s="278">
        <f>'Monthly Data'!BD45</f>
        <v>0</v>
      </c>
      <c r="H45" s="278">
        <f>'Monthly Data'!BG45</f>
        <v>252.24583333333339</v>
      </c>
      <c r="I45" s="18">
        <f>'Monthly Data'!CG45</f>
        <v>0</v>
      </c>
      <c r="J45" s="4">
        <f>'Monthly Data'!CD45</f>
        <v>31</v>
      </c>
      <c r="K45" s="24">
        <f>'Monthly Data'!K45</f>
        <v>4184</v>
      </c>
      <c r="M45" s="18"/>
      <c r="N45" s="18">
        <f ca="1">(E45-G45)*'GS&lt;50 Predicted Monthly'!$V$9</f>
        <v>4052.9003251362087</v>
      </c>
      <c r="O45" s="18">
        <f ca="1">(F45-H45)*'GS&lt;50 Predicted Monthly'!$V$10</f>
        <v>-520891.58383748709</v>
      </c>
      <c r="P45" s="18"/>
      <c r="Q45" s="18"/>
      <c r="R45" s="18"/>
      <c r="S45" s="280">
        <f t="shared" ca="1" si="6"/>
        <v>12187820.901446078</v>
      </c>
    </row>
    <row r="46" spans="1:19" x14ac:dyDescent="0.25">
      <c r="A46" s="3">
        <f>'Monthly Data'!A46</f>
        <v>43344</v>
      </c>
      <c r="B46" s="1">
        <f t="shared" si="0"/>
        <v>2018</v>
      </c>
      <c r="C46" s="1">
        <f t="shared" si="1"/>
        <v>9</v>
      </c>
      <c r="D46" s="268">
        <f>'Monthly Data'!J46</f>
        <v>11179301.159690389</v>
      </c>
      <c r="E46" s="278">
        <f t="shared" ca="1" si="5"/>
        <v>26.342536231884061</v>
      </c>
      <c r="F46" s="278">
        <f t="shared" ca="1" si="5"/>
        <v>106.4160119047619</v>
      </c>
      <c r="G46" s="278">
        <f>'Monthly Data'!BD46</f>
        <v>33.279166666666669</v>
      </c>
      <c r="H46" s="278">
        <f>'Monthly Data'!BG46</f>
        <v>135.06250000000003</v>
      </c>
      <c r="I46" s="18">
        <f>'Monthly Data'!CG46</f>
        <v>0</v>
      </c>
      <c r="J46" s="4">
        <f>'Monthly Data'!CD46</f>
        <v>30</v>
      </c>
      <c r="K46" s="24">
        <f>'Monthly Data'!K46</f>
        <v>4221</v>
      </c>
      <c r="M46" s="18"/>
      <c r="N46" s="18">
        <f ca="1">(E46-G46)*'GS&lt;50 Predicted Monthly'!$V$9</f>
        <v>-37463.815761661477</v>
      </c>
      <c r="O46" s="18">
        <f ca="1">(F46-H46)*'GS&lt;50 Predicted Monthly'!$V$10</f>
        <v>-361473.49452060269</v>
      </c>
      <c r="P46" s="18"/>
      <c r="Q46" s="18"/>
      <c r="R46" s="18"/>
      <c r="S46" s="280">
        <f t="shared" ca="1" si="6"/>
        <v>10780363.849408126</v>
      </c>
    </row>
    <row r="47" spans="1:19" x14ac:dyDescent="0.25">
      <c r="A47" s="3">
        <f>'Monthly Data'!A47</f>
        <v>43374</v>
      </c>
      <c r="B47" s="1">
        <f t="shared" si="0"/>
        <v>2018</v>
      </c>
      <c r="C47" s="1">
        <f t="shared" si="1"/>
        <v>10</v>
      </c>
      <c r="D47" s="268">
        <f>'Monthly Data'!J47</f>
        <v>11018001.264524272</v>
      </c>
      <c r="E47" s="278">
        <f t="shared" ca="1" si="5"/>
        <v>181.36347826086953</v>
      </c>
      <c r="F47" s="278">
        <f t="shared" ca="1" si="5"/>
        <v>17.987083333333334</v>
      </c>
      <c r="G47" s="278">
        <f>'Monthly Data'!BD47</f>
        <v>248.88749999999993</v>
      </c>
      <c r="H47" s="278">
        <f>'Monthly Data'!BG47</f>
        <v>15.387500000000001</v>
      </c>
      <c r="I47" s="18">
        <f>'Monthly Data'!CG47</f>
        <v>0</v>
      </c>
      <c r="J47" s="4">
        <f>'Monthly Data'!CD47</f>
        <v>31</v>
      </c>
      <c r="K47" s="24">
        <f>'Monthly Data'!K47</f>
        <v>4238</v>
      </c>
      <c r="M47" s="18"/>
      <c r="N47" s="18">
        <f ca="1">(E47-G47)*'GS&lt;50 Predicted Monthly'!$V$9</f>
        <v>-364688.23497304943</v>
      </c>
      <c r="O47" s="18">
        <f ca="1">(F47-H47)*'GS&lt;50 Predicted Monthly'!$V$10</f>
        <v>32802.641240819983</v>
      </c>
      <c r="P47" s="18"/>
      <c r="Q47" s="18"/>
      <c r="R47" s="18"/>
      <c r="S47" s="280">
        <f t="shared" ca="1" si="6"/>
        <v>10686115.670792043</v>
      </c>
    </row>
    <row r="48" spans="1:19" x14ac:dyDescent="0.25">
      <c r="A48" s="3">
        <f>'Monthly Data'!A48</f>
        <v>43405</v>
      </c>
      <c r="B48" s="1">
        <f t="shared" si="0"/>
        <v>2018</v>
      </c>
      <c r="C48" s="1">
        <f t="shared" si="1"/>
        <v>11</v>
      </c>
      <c r="D48" s="268">
        <f>'Monthly Data'!J48</f>
        <v>11411106.129039779</v>
      </c>
      <c r="E48" s="278">
        <f t="shared" ca="1" si="5"/>
        <v>366.78033055712399</v>
      </c>
      <c r="F48" s="278">
        <f t="shared" ca="1" si="5"/>
        <v>0.8083333333333329</v>
      </c>
      <c r="G48" s="278">
        <f>'Monthly Data'!BD48</f>
        <v>443.52500000000003</v>
      </c>
      <c r="H48" s="278">
        <f>'Monthly Data'!BG48</f>
        <v>0</v>
      </c>
      <c r="I48" s="18">
        <f>'Monthly Data'!CG48</f>
        <v>0</v>
      </c>
      <c r="J48" s="4">
        <f>'Monthly Data'!CD48</f>
        <v>30</v>
      </c>
      <c r="K48" s="24">
        <f>'Monthly Data'!K48</f>
        <v>4206</v>
      </c>
      <c r="M48" s="18"/>
      <c r="N48" s="18">
        <f ca="1">(E48-G48)*'GS&lt;50 Predicted Monthly'!$V$9</f>
        <v>-414487.72335924883</v>
      </c>
      <c r="O48" s="18">
        <f ca="1">(F48-H48)*'GS&lt;50 Predicted Monthly'!$V$10</f>
        <v>10199.891650455318</v>
      </c>
      <c r="P48" s="18"/>
      <c r="Q48" s="18"/>
      <c r="R48" s="18"/>
      <c r="S48" s="280">
        <f t="shared" ca="1" si="6"/>
        <v>11006818.297330985</v>
      </c>
    </row>
    <row r="49" spans="1:19" x14ac:dyDescent="0.25">
      <c r="A49" s="3">
        <f>'Monthly Data'!A49</f>
        <v>43435</v>
      </c>
      <c r="B49" s="1">
        <f t="shared" si="0"/>
        <v>2018</v>
      </c>
      <c r="C49" s="1">
        <f t="shared" si="1"/>
        <v>12</v>
      </c>
      <c r="D49" s="268">
        <f>'Monthly Data'!J49</f>
        <v>11879583.682943571</v>
      </c>
      <c r="E49" s="278">
        <f t="shared" ca="1" si="5"/>
        <v>515.92800724637686</v>
      </c>
      <c r="F49" s="278">
        <f t="shared" ca="1" si="5"/>
        <v>0</v>
      </c>
      <c r="G49" s="278">
        <f>'Monthly Data'!BD49</f>
        <v>522.91666666666663</v>
      </c>
      <c r="H49" s="278">
        <f>'Monthly Data'!BG49</f>
        <v>0</v>
      </c>
      <c r="I49" s="18">
        <f>'Monthly Data'!CG49</f>
        <v>0</v>
      </c>
      <c r="J49" s="4">
        <f>'Monthly Data'!CD49</f>
        <v>31</v>
      </c>
      <c r="K49" s="24">
        <f>'Monthly Data'!K49</f>
        <v>4210</v>
      </c>
      <c r="M49" s="18"/>
      <c r="N49" s="18">
        <f ca="1">(E49-G49)*'GS&lt;50 Predicted Monthly'!$V$9</f>
        <v>-37744.817372693295</v>
      </c>
      <c r="O49" s="18">
        <f ca="1">(F49-H49)*'GS&lt;50 Predicted Monthly'!$V$10</f>
        <v>0</v>
      </c>
      <c r="P49" s="18"/>
      <c r="Q49" s="18"/>
      <c r="R49" s="18"/>
      <c r="S49" s="280">
        <f t="shared" ca="1" si="6"/>
        <v>11841838.865570879</v>
      </c>
    </row>
    <row r="50" spans="1:19" x14ac:dyDescent="0.25">
      <c r="A50" s="3">
        <f>'Monthly Data'!A50</f>
        <v>43466</v>
      </c>
      <c r="B50" s="1">
        <f t="shared" si="0"/>
        <v>2019</v>
      </c>
      <c r="C50" s="1">
        <f t="shared" si="1"/>
        <v>1</v>
      </c>
      <c r="D50" s="268">
        <f>'Monthly Data'!J50</f>
        <v>12427019.357755447</v>
      </c>
      <c r="E50" s="278">
        <f t="shared" ref="E50:F65" ca="1" si="7">E38</f>
        <v>635.33418478260876</v>
      </c>
      <c r="F50" s="278">
        <f t="shared" ca="1" si="7"/>
        <v>0</v>
      </c>
      <c r="G50" s="278">
        <f>'Monthly Data'!BD50</f>
        <v>717.93333333333339</v>
      </c>
      <c r="H50" s="278">
        <f>'Monthly Data'!BG50</f>
        <v>0</v>
      </c>
      <c r="I50" s="18">
        <f>'Monthly Data'!CG50</f>
        <v>0</v>
      </c>
      <c r="J50" s="4">
        <f>'Monthly Data'!CD50</f>
        <v>31</v>
      </c>
      <c r="K50" s="24">
        <f>'Monthly Data'!K50</f>
        <v>4216</v>
      </c>
      <c r="M50" s="18"/>
      <c r="N50" s="18">
        <f ca="1">(E50-G50)*'GS&lt;50 Predicted Monthly'!$V$9</f>
        <v>-446106.9841428615</v>
      </c>
      <c r="O50" s="18">
        <f ca="1">(F50-H50)*'GS&lt;50 Predicted Monthly'!$V$10</f>
        <v>0</v>
      </c>
      <c r="P50" s="18"/>
      <c r="Q50" s="18"/>
      <c r="R50" s="18"/>
      <c r="S50" s="280">
        <f t="shared" ca="1" si="6"/>
        <v>11980912.373612585</v>
      </c>
    </row>
    <row r="51" spans="1:19" x14ac:dyDescent="0.25">
      <c r="A51" s="3">
        <f>'Monthly Data'!A51</f>
        <v>43497</v>
      </c>
      <c r="B51" s="1">
        <f t="shared" si="0"/>
        <v>2019</v>
      </c>
      <c r="C51" s="1">
        <f t="shared" si="1"/>
        <v>2</v>
      </c>
      <c r="D51" s="268">
        <f>'Monthly Data'!J51</f>
        <v>10817934.01399897</v>
      </c>
      <c r="E51" s="278">
        <f t="shared" ca="1" si="7"/>
        <v>567.65501811594208</v>
      </c>
      <c r="F51" s="278">
        <f t="shared" ca="1" si="7"/>
        <v>0</v>
      </c>
      <c r="G51" s="278">
        <f>'Monthly Data'!BD51</f>
        <v>583.30416666666656</v>
      </c>
      <c r="H51" s="278">
        <f>'Monthly Data'!BG51</f>
        <v>0</v>
      </c>
      <c r="I51" s="18">
        <f>'Monthly Data'!CG51</f>
        <v>0</v>
      </c>
      <c r="J51" s="4">
        <f>'Monthly Data'!CD51</f>
        <v>28</v>
      </c>
      <c r="K51" s="24">
        <f>'Monthly Data'!K51</f>
        <v>4209</v>
      </c>
      <c r="M51" s="18"/>
      <c r="N51" s="18">
        <f ca="1">(E51-G51)*'GS&lt;50 Predicted Monthly'!$V$9</f>
        <v>-84518.964019104082</v>
      </c>
      <c r="O51" s="18">
        <f ca="1">(F51-H51)*'GS&lt;50 Predicted Monthly'!$V$10</f>
        <v>0</v>
      </c>
      <c r="P51" s="18"/>
      <c r="Q51" s="18"/>
      <c r="R51" s="18"/>
      <c r="S51" s="280">
        <f t="shared" ca="1" si="6"/>
        <v>10733415.049979866</v>
      </c>
    </row>
    <row r="52" spans="1:19" x14ac:dyDescent="0.25">
      <c r="A52" s="3">
        <f>'Monthly Data'!A52</f>
        <v>43525</v>
      </c>
      <c r="B52" s="1">
        <f t="shared" si="0"/>
        <v>2019</v>
      </c>
      <c r="C52" s="1">
        <f t="shared" si="1"/>
        <v>3</v>
      </c>
      <c r="D52" s="268">
        <f>'Monthly Data'!J52</f>
        <v>11178126.224762458</v>
      </c>
      <c r="E52" s="278">
        <f t="shared" ca="1" si="7"/>
        <v>484.13298913043479</v>
      </c>
      <c r="F52" s="278">
        <f t="shared" ca="1" si="7"/>
        <v>0</v>
      </c>
      <c r="G52" s="278">
        <f>'Monthly Data'!BD52</f>
        <v>549.45833333333326</v>
      </c>
      <c r="H52" s="278">
        <f>'Monthly Data'!BG52</f>
        <v>0</v>
      </c>
      <c r="I52" s="18">
        <f>'Monthly Data'!CG52</f>
        <v>0</v>
      </c>
      <c r="J52" s="4">
        <f>'Monthly Data'!CD52</f>
        <v>31</v>
      </c>
      <c r="K52" s="24">
        <f>'Monthly Data'!K52</f>
        <v>4202</v>
      </c>
      <c r="M52" s="18"/>
      <c r="N52" s="18">
        <f ca="1">(E52-G52)*'GS&lt;50 Predicted Monthly'!$V$9</f>
        <v>-352813.47086226998</v>
      </c>
      <c r="O52" s="18">
        <f ca="1">(F52-H52)*'GS&lt;50 Predicted Monthly'!$V$10</f>
        <v>0</v>
      </c>
      <c r="P52" s="18"/>
      <c r="Q52" s="18"/>
      <c r="R52" s="18"/>
      <c r="S52" s="280">
        <f t="shared" ca="1" si="6"/>
        <v>10825312.753900189</v>
      </c>
    </row>
    <row r="53" spans="1:19" x14ac:dyDescent="0.25">
      <c r="A53" s="3">
        <f>'Monthly Data'!A53</f>
        <v>43556</v>
      </c>
      <c r="B53" s="1">
        <f t="shared" si="0"/>
        <v>2019</v>
      </c>
      <c r="C53" s="1">
        <f t="shared" si="1"/>
        <v>4</v>
      </c>
      <c r="D53" s="268">
        <f>'Monthly Data'!J53</f>
        <v>9605223.0161340497</v>
      </c>
      <c r="E53" s="278">
        <f t="shared" ca="1" si="7"/>
        <v>292.81107954545462</v>
      </c>
      <c r="F53" s="278">
        <f t="shared" ca="1" si="7"/>
        <v>2.1908333333333347</v>
      </c>
      <c r="G53" s="278">
        <f>'Monthly Data'!BD53</f>
        <v>306.65416666666664</v>
      </c>
      <c r="H53" s="278">
        <f>'Monthly Data'!BG53</f>
        <v>0</v>
      </c>
      <c r="I53" s="18">
        <f>'Monthly Data'!CG53</f>
        <v>0</v>
      </c>
      <c r="J53" s="4">
        <f>'Monthly Data'!CD53</f>
        <v>30</v>
      </c>
      <c r="K53" s="24">
        <f>'Monthly Data'!K53</f>
        <v>4202</v>
      </c>
      <c r="M53" s="18"/>
      <c r="N53" s="18">
        <f ca="1">(E53-G53)*'GS&lt;50 Predicted Monthly'!$V$9</f>
        <v>-74764.667133080336</v>
      </c>
      <c r="O53" s="18">
        <f ca="1">(F53-H53)*'GS&lt;50 Predicted Monthly'!$V$10</f>
        <v>27644.860978399032</v>
      </c>
      <c r="P53" s="18"/>
      <c r="Q53" s="18"/>
      <c r="R53" s="18"/>
      <c r="S53" s="280">
        <f t="shared" ca="1" si="6"/>
        <v>9558103.2099793684</v>
      </c>
    </row>
    <row r="54" spans="1:19" x14ac:dyDescent="0.25">
      <c r="A54" s="3">
        <f>'Monthly Data'!A54</f>
        <v>43586</v>
      </c>
      <c r="B54" s="1">
        <f t="shared" si="0"/>
        <v>2019</v>
      </c>
      <c r="C54" s="1">
        <f t="shared" si="1"/>
        <v>5</v>
      </c>
      <c r="D54" s="268">
        <f>'Monthly Data'!J54</f>
        <v>9221277.1523471624</v>
      </c>
      <c r="E54" s="278">
        <f t="shared" ca="1" si="7"/>
        <v>103.25939244851259</v>
      </c>
      <c r="F54" s="278">
        <f t="shared" ca="1" si="7"/>
        <v>52.487435064935063</v>
      </c>
      <c r="G54" s="278">
        <f>'Monthly Data'!BD54</f>
        <v>145.93881578947367</v>
      </c>
      <c r="H54" s="278">
        <f>'Monthly Data'!BG54</f>
        <v>11.208333333333332</v>
      </c>
      <c r="I54" s="18">
        <f>'Monthly Data'!CG54</f>
        <v>0</v>
      </c>
      <c r="J54" s="4">
        <f>'Monthly Data'!CD54</f>
        <v>31</v>
      </c>
      <c r="K54" s="24">
        <f>'Monthly Data'!K54</f>
        <v>4196</v>
      </c>
      <c r="M54" s="18"/>
      <c r="N54" s="18">
        <f ca="1">(E54-G54)*'GS&lt;50 Predicted Monthly'!$V$9</f>
        <v>-230505.87282870442</v>
      </c>
      <c r="O54" s="18">
        <f ca="1">(F54-H54)*'GS&lt;50 Predicted Monthly'!$V$10</f>
        <v>520877.15268922929</v>
      </c>
      <c r="P54" s="18"/>
      <c r="Q54" s="18"/>
      <c r="R54" s="18"/>
      <c r="S54" s="280">
        <f t="shared" ca="1" si="6"/>
        <v>9511648.4322076868</v>
      </c>
    </row>
    <row r="55" spans="1:19" x14ac:dyDescent="0.25">
      <c r="A55" s="3">
        <f>'Monthly Data'!A55</f>
        <v>43617</v>
      </c>
      <c r="B55" s="1">
        <f t="shared" si="0"/>
        <v>2019</v>
      </c>
      <c r="C55" s="1">
        <f t="shared" si="1"/>
        <v>6</v>
      </c>
      <c r="D55" s="268">
        <f>'Monthly Data'!J55</f>
        <v>9417230.9671708588</v>
      </c>
      <c r="E55" s="278">
        <f t="shared" ca="1" si="7"/>
        <v>11.89069871794872</v>
      </c>
      <c r="F55" s="278">
        <f t="shared" ca="1" si="7"/>
        <v>137.65451754405018</v>
      </c>
      <c r="G55" s="278">
        <f>'Monthly Data'!BD55</f>
        <v>21.925000000000018</v>
      </c>
      <c r="H55" s="278">
        <f>'Monthly Data'!BG55</f>
        <v>118.81666666666663</v>
      </c>
      <c r="I55" s="18">
        <f>'Monthly Data'!CG55</f>
        <v>0</v>
      </c>
      <c r="J55" s="4">
        <f>'Monthly Data'!CD55</f>
        <v>30</v>
      </c>
      <c r="K55" s="24">
        <f>'Monthly Data'!K55</f>
        <v>4194</v>
      </c>
      <c r="M55" s="18"/>
      <c r="N55" s="18">
        <f ca="1">(E55-G55)*'GS&lt;50 Predicted Monthly'!$V$9</f>
        <v>-54193.922836477992</v>
      </c>
      <c r="O55" s="18">
        <f ca="1">(F55-H55)*'GS&lt;50 Predicted Monthly'!$V$10</f>
        <v>237703.96438360441</v>
      </c>
      <c r="P55" s="18"/>
      <c r="Q55" s="18"/>
      <c r="R55" s="18"/>
      <c r="S55" s="280">
        <f t="shared" ca="1" si="6"/>
        <v>9600741.008717984</v>
      </c>
    </row>
    <row r="56" spans="1:19" x14ac:dyDescent="0.25">
      <c r="A56" s="3">
        <f>'Monthly Data'!A56</f>
        <v>43647</v>
      </c>
      <c r="B56" s="1">
        <f t="shared" ref="B56:B115" si="8">YEAR(A56)</f>
        <v>2019</v>
      </c>
      <c r="C56" s="1">
        <f t="shared" ref="C56:C115" si="9">MONTH(A56)</f>
        <v>7</v>
      </c>
      <c r="D56" s="268">
        <f>'Monthly Data'!J56</f>
        <v>11222943.646553386</v>
      </c>
      <c r="E56" s="278">
        <f t="shared" ca="1" si="7"/>
        <v>7.4583333333333002E-2</v>
      </c>
      <c r="F56" s="278">
        <f t="shared" ca="1" si="7"/>
        <v>235.94737858727848</v>
      </c>
      <c r="G56" s="278">
        <f>'Monthly Data'!BD56</f>
        <v>0</v>
      </c>
      <c r="H56" s="278">
        <f>'Monthly Data'!BG56</f>
        <v>259.60000000000008</v>
      </c>
      <c r="I56" s="18">
        <f>'Monthly Data'!CG56</f>
        <v>0</v>
      </c>
      <c r="J56" s="4">
        <f>'Monthly Data'!CD56</f>
        <v>31</v>
      </c>
      <c r="K56" s="24">
        <f>'Monthly Data'!K56</f>
        <v>4188</v>
      </c>
      <c r="M56" s="18"/>
      <c r="N56" s="18">
        <f ca="1">(E56-G56)*'GS&lt;50 Predicted Monthly'!$V$9</f>
        <v>402.81463531336908</v>
      </c>
      <c r="O56" s="18">
        <f ca="1">(F56-H56)*'GS&lt;50 Predicted Monthly'!$V$10</f>
        <v>-298458.77401113382</v>
      </c>
      <c r="P56" s="18"/>
      <c r="Q56" s="18"/>
      <c r="R56" s="18"/>
      <c r="S56" s="280">
        <f t="shared" ca="1" si="6"/>
        <v>10924887.687177567</v>
      </c>
    </row>
    <row r="57" spans="1:19" x14ac:dyDescent="0.25">
      <c r="A57" s="3">
        <f>'Monthly Data'!A57</f>
        <v>43678</v>
      </c>
      <c r="B57" s="1">
        <f t="shared" si="8"/>
        <v>2019</v>
      </c>
      <c r="C57" s="1">
        <f t="shared" si="9"/>
        <v>8</v>
      </c>
      <c r="D57" s="268">
        <f>'Monthly Data'!J57</f>
        <v>10444170.994703799</v>
      </c>
      <c r="E57" s="278">
        <f t="shared" ca="1" si="7"/>
        <v>0.75041666666666718</v>
      </c>
      <c r="F57" s="278">
        <f t="shared" ca="1" si="7"/>
        <v>210.96558794466404</v>
      </c>
      <c r="G57" s="278">
        <f>'Monthly Data'!BD57</f>
        <v>0</v>
      </c>
      <c r="H57" s="278">
        <f>'Monthly Data'!BG57</f>
        <v>190.07083333333335</v>
      </c>
      <c r="I57" s="18">
        <f>'Monthly Data'!CG57</f>
        <v>0</v>
      </c>
      <c r="J57" s="4">
        <f>'Monthly Data'!CD57</f>
        <v>31</v>
      </c>
      <c r="K57" s="24">
        <f>'Monthly Data'!K57</f>
        <v>4187</v>
      </c>
      <c r="M57" s="18"/>
      <c r="N57" s="18">
        <f ca="1">(E57-G57)*'GS&lt;50 Predicted Monthly'!$V$9</f>
        <v>4052.9003251362087</v>
      </c>
      <c r="O57" s="18">
        <f ca="1">(F57-H57)*'GS&lt;50 Predicted Monthly'!$V$10</f>
        <v>263658.84507021611</v>
      </c>
      <c r="P57" s="18"/>
      <c r="Q57" s="18"/>
      <c r="R57" s="18"/>
      <c r="S57" s="280">
        <f t="shared" ca="1" si="6"/>
        <v>10711882.740099153</v>
      </c>
    </row>
    <row r="58" spans="1:19" x14ac:dyDescent="0.25">
      <c r="A58" s="3">
        <f>'Monthly Data'!A58</f>
        <v>43709</v>
      </c>
      <c r="B58" s="1">
        <f t="shared" si="8"/>
        <v>2019</v>
      </c>
      <c r="C58" s="1">
        <f t="shared" si="9"/>
        <v>9</v>
      </c>
      <c r="D58" s="268">
        <f>'Monthly Data'!J58</f>
        <v>9115439.8190174215</v>
      </c>
      <c r="E58" s="278">
        <f t="shared" ca="1" si="7"/>
        <v>26.342536231884061</v>
      </c>
      <c r="F58" s="278">
        <f t="shared" ca="1" si="7"/>
        <v>106.4160119047619</v>
      </c>
      <c r="G58" s="278">
        <f>'Monthly Data'!BD58</f>
        <v>21.004166666666656</v>
      </c>
      <c r="H58" s="278">
        <f>'Monthly Data'!BG58</f>
        <v>76.5</v>
      </c>
      <c r="I58" s="18">
        <f>'Monthly Data'!CG58</f>
        <v>0</v>
      </c>
      <c r="J58" s="4">
        <f>'Monthly Data'!CD58</f>
        <v>30</v>
      </c>
      <c r="K58" s="24">
        <f>'Monthly Data'!K58</f>
        <v>4186</v>
      </c>
      <c r="M58" s="18"/>
      <c r="N58" s="18">
        <f ca="1">(E58-G58)*'GS&lt;50 Predicted Monthly'!$V$9</f>
        <v>28831.821983209571</v>
      </c>
      <c r="O58" s="18">
        <f ca="1">(F58-H58)*'GS&lt;50 Predicted Monthly'!$V$10</f>
        <v>377492.8825265604</v>
      </c>
      <c r="P58" s="18"/>
      <c r="Q58" s="18"/>
      <c r="R58" s="18"/>
      <c r="S58" s="280">
        <f t="shared" ca="1" si="6"/>
        <v>9521764.5235271901</v>
      </c>
    </row>
    <row r="59" spans="1:19" x14ac:dyDescent="0.25">
      <c r="A59" s="3">
        <f>'Monthly Data'!A59</f>
        <v>43739</v>
      </c>
      <c r="B59" s="1">
        <f t="shared" si="8"/>
        <v>2019</v>
      </c>
      <c r="C59" s="1">
        <f t="shared" si="9"/>
        <v>10</v>
      </c>
      <c r="D59" s="268">
        <f>'Monthly Data'!J59</f>
        <v>9056576.7105109673</v>
      </c>
      <c r="E59" s="278">
        <f t="shared" ca="1" si="7"/>
        <v>181.36347826086953</v>
      </c>
      <c r="F59" s="278">
        <f t="shared" ca="1" si="7"/>
        <v>17.987083333333334</v>
      </c>
      <c r="G59" s="278">
        <f>'Monthly Data'!BD59</f>
        <v>183.7791666666667</v>
      </c>
      <c r="H59" s="278">
        <f>'Monthly Data'!BG59</f>
        <v>7.3333333333333357</v>
      </c>
      <c r="I59" s="18">
        <f>'Monthly Data'!CG59</f>
        <v>0</v>
      </c>
      <c r="J59" s="4">
        <f>'Monthly Data'!CD59</f>
        <v>31</v>
      </c>
      <c r="K59" s="24">
        <f>'Monthly Data'!K59</f>
        <v>4187</v>
      </c>
      <c r="M59" s="18"/>
      <c r="N59" s="18">
        <f ca="1">(E59-G59)*'GS&lt;50 Predicted Monthly'!$V$9</f>
        <v>-13046.810872115197</v>
      </c>
      <c r="O59" s="18">
        <f ca="1">(F59-H59)*'GS&lt;50 Predicted Monthly'!$V$10</f>
        <v>134433.52041777945</v>
      </c>
      <c r="P59" s="18"/>
      <c r="Q59" s="18"/>
      <c r="R59" s="18"/>
      <c r="S59" s="280">
        <f t="shared" ca="1" si="6"/>
        <v>9177963.4200566318</v>
      </c>
    </row>
    <row r="60" spans="1:19" x14ac:dyDescent="0.25">
      <c r="A60" s="3">
        <f>'Monthly Data'!A60</f>
        <v>43770</v>
      </c>
      <c r="B60" s="1">
        <f t="shared" si="8"/>
        <v>2019</v>
      </c>
      <c r="C60" s="1">
        <f t="shared" si="9"/>
        <v>11</v>
      </c>
      <c r="D60" s="268">
        <f>'Monthly Data'!J60</f>
        <v>10350429.699744491</v>
      </c>
      <c r="E60" s="278">
        <f t="shared" ca="1" si="7"/>
        <v>366.78033055712399</v>
      </c>
      <c r="F60" s="278">
        <f t="shared" ca="1" si="7"/>
        <v>0.8083333333333329</v>
      </c>
      <c r="G60" s="278">
        <f>'Monthly Data'!BD60</f>
        <v>469.72499999999997</v>
      </c>
      <c r="H60" s="278">
        <f>'Monthly Data'!BG60</f>
        <v>0</v>
      </c>
      <c r="I60" s="18">
        <f>'Monthly Data'!CG60</f>
        <v>0</v>
      </c>
      <c r="J60" s="4">
        <f>'Monthly Data'!CD60</f>
        <v>30</v>
      </c>
      <c r="K60" s="24">
        <f>'Monthly Data'!K60</f>
        <v>4184</v>
      </c>
      <c r="M60" s="18"/>
      <c r="N60" s="18">
        <f ca="1">(E60-G60)*'GS&lt;50 Predicted Monthly'!$V$9</f>
        <v>-555990.42876988964</v>
      </c>
      <c r="O60" s="18">
        <f ca="1">(F60-H60)*'GS&lt;50 Predicted Monthly'!$V$10</f>
        <v>10199.891650455318</v>
      </c>
      <c r="P60" s="18"/>
      <c r="Q60" s="18"/>
      <c r="R60" s="18"/>
      <c r="S60" s="280">
        <f t="shared" ca="1" si="6"/>
        <v>9804639.1626250558</v>
      </c>
    </row>
    <row r="61" spans="1:19" x14ac:dyDescent="0.25">
      <c r="A61" s="3">
        <f>'Monthly Data'!A61</f>
        <v>43800</v>
      </c>
      <c r="B61" s="1">
        <f t="shared" si="8"/>
        <v>2019</v>
      </c>
      <c r="C61" s="1">
        <f t="shared" si="9"/>
        <v>12</v>
      </c>
      <c r="D61" s="268">
        <f>'Monthly Data'!J61</f>
        <v>11008452.135093993</v>
      </c>
      <c r="E61" s="278">
        <f t="shared" ca="1" si="7"/>
        <v>515.92800724637686</v>
      </c>
      <c r="F61" s="278">
        <f t="shared" ca="1" si="7"/>
        <v>0</v>
      </c>
      <c r="G61" s="278">
        <f>'Monthly Data'!BD61</f>
        <v>552.42916666666667</v>
      </c>
      <c r="H61" s="278">
        <f>'Monthly Data'!BG61</f>
        <v>0</v>
      </c>
      <c r="I61" s="18">
        <f>'Monthly Data'!CG61</f>
        <v>0</v>
      </c>
      <c r="J61" s="4">
        <f>'Monthly Data'!CD61</f>
        <v>31</v>
      </c>
      <c r="K61" s="24">
        <f>'Monthly Data'!K61</f>
        <v>4187</v>
      </c>
      <c r="M61" s="18"/>
      <c r="N61" s="18">
        <f ca="1">(E61-G61)*'GS&lt;50 Predicted Monthly'!$V$9</f>
        <v>-197137.89345786703</v>
      </c>
      <c r="O61" s="18">
        <f ca="1">(F61-H61)*'GS&lt;50 Predicted Monthly'!$V$10</f>
        <v>0</v>
      </c>
      <c r="P61" s="18"/>
      <c r="Q61" s="18"/>
      <c r="R61" s="18"/>
      <c r="S61" s="280">
        <f t="shared" ca="1" si="6"/>
        <v>10811314.241636125</v>
      </c>
    </row>
    <row r="62" spans="1:19" x14ac:dyDescent="0.25">
      <c r="A62" s="3">
        <f>'Monthly Data'!A62</f>
        <v>43831</v>
      </c>
      <c r="B62" s="1">
        <f t="shared" si="8"/>
        <v>2020</v>
      </c>
      <c r="C62" s="1">
        <f t="shared" si="9"/>
        <v>1</v>
      </c>
      <c r="D62" s="268">
        <f>'Monthly Data'!J62</f>
        <v>12171705.298896791</v>
      </c>
      <c r="E62" s="278">
        <f t="shared" ca="1" si="7"/>
        <v>635.33418478260876</v>
      </c>
      <c r="F62" s="278">
        <f t="shared" ca="1" si="7"/>
        <v>0</v>
      </c>
      <c r="G62" s="278">
        <f>'Monthly Data'!BD62</f>
        <v>566.82083333333333</v>
      </c>
      <c r="H62" s="278">
        <f>'Monthly Data'!BG62</f>
        <v>0</v>
      </c>
      <c r="I62" s="18">
        <f>'Monthly Data'!CG62</f>
        <v>0</v>
      </c>
      <c r="J62" s="4">
        <f>'Monthly Data'!CD62</f>
        <v>31</v>
      </c>
      <c r="K62" s="24">
        <f>'Monthly Data'!K62</f>
        <v>4193</v>
      </c>
      <c r="M62" s="18"/>
      <c r="N62" s="18">
        <f ca="1">(E62-G62)*'GS&lt;50 Predicted Monthly'!$V$9</f>
        <v>370031.47277948639</v>
      </c>
      <c r="O62" s="18">
        <f ca="1">(F62-H62)*'GS&lt;50 Predicted Monthly'!$V$10</f>
        <v>0</v>
      </c>
      <c r="P62" s="18"/>
      <c r="Q62" s="18"/>
      <c r="R62" s="18"/>
      <c r="S62" s="280">
        <f t="shared" ca="1" si="6"/>
        <v>12541736.771676278</v>
      </c>
    </row>
    <row r="63" spans="1:19" x14ac:dyDescent="0.25">
      <c r="A63" s="3">
        <f>'Monthly Data'!A63</f>
        <v>43862</v>
      </c>
      <c r="B63" s="1">
        <f t="shared" si="8"/>
        <v>2020</v>
      </c>
      <c r="C63" s="1">
        <f t="shared" si="9"/>
        <v>2</v>
      </c>
      <c r="D63" s="268">
        <f>'Monthly Data'!J63</f>
        <v>11320017.388098987</v>
      </c>
      <c r="E63" s="278">
        <f t="shared" ca="1" si="7"/>
        <v>567.65501811594208</v>
      </c>
      <c r="F63" s="278">
        <f t="shared" ca="1" si="7"/>
        <v>0</v>
      </c>
      <c r="G63" s="278">
        <f>'Monthly Data'!BD63</f>
        <v>562.4</v>
      </c>
      <c r="H63" s="278">
        <f>'Monthly Data'!BG63</f>
        <v>0</v>
      </c>
      <c r="I63" s="18">
        <f>'Monthly Data'!CG63</f>
        <v>0</v>
      </c>
      <c r="J63" s="4">
        <f>'Monthly Data'!CD63</f>
        <v>29</v>
      </c>
      <c r="K63" s="24">
        <f>'Monthly Data'!K63</f>
        <v>4199</v>
      </c>
      <c r="M63" s="18"/>
      <c r="N63" s="18">
        <f ca="1">(E63-G63)*'GS&lt;50 Predicted Monthly'!$V$9</f>
        <v>28381.651923196117</v>
      </c>
      <c r="O63" s="18">
        <f ca="1">(F63-H63)*'GS&lt;50 Predicted Monthly'!$V$10</f>
        <v>0</v>
      </c>
      <c r="P63" s="18"/>
      <c r="Q63" s="18"/>
      <c r="R63" s="18"/>
      <c r="S63" s="280">
        <f t="shared" ca="1" si="6"/>
        <v>11348399.040022183</v>
      </c>
    </row>
    <row r="64" spans="1:19" x14ac:dyDescent="0.25">
      <c r="A64" s="3">
        <f>'Monthly Data'!A64</f>
        <v>43891</v>
      </c>
      <c r="B64" s="1">
        <f t="shared" si="8"/>
        <v>2020</v>
      </c>
      <c r="C64" s="1">
        <f t="shared" si="9"/>
        <v>3</v>
      </c>
      <c r="D64" s="268">
        <f>'Monthly Data'!J64</f>
        <v>10567020.275292698</v>
      </c>
      <c r="E64" s="278">
        <f t="shared" ca="1" si="7"/>
        <v>484.13298913043479</v>
      </c>
      <c r="F64" s="278">
        <f t="shared" ca="1" si="7"/>
        <v>0</v>
      </c>
      <c r="G64" s="278">
        <f>'Monthly Data'!BD64</f>
        <v>419.57083333333344</v>
      </c>
      <c r="H64" s="278">
        <f>'Monthly Data'!BG64</f>
        <v>0</v>
      </c>
      <c r="I64" s="18">
        <f>'Monthly Data'!CG64</f>
        <v>0.5</v>
      </c>
      <c r="J64" s="4">
        <f>'Monthly Data'!CD64</f>
        <v>31</v>
      </c>
      <c r="K64" s="24">
        <f>'Monthly Data'!K64</f>
        <v>4202</v>
      </c>
      <c r="M64" s="18"/>
      <c r="N64" s="18">
        <f ca="1">(E64-G64)*'GS&lt;50 Predicted Monthly'!$V$9</f>
        <v>348691.59207760106</v>
      </c>
      <c r="O64" s="18">
        <f ca="1">(F64-H64)*'GS&lt;50 Predicted Monthly'!$V$10</f>
        <v>0</v>
      </c>
      <c r="P64" s="18"/>
      <c r="Q64" s="18"/>
      <c r="R64" s="18"/>
      <c r="S64" s="280">
        <f t="shared" ca="1" si="6"/>
        <v>10915711.8673703</v>
      </c>
    </row>
    <row r="65" spans="1:19" x14ac:dyDescent="0.25">
      <c r="A65" s="3">
        <f>'Monthly Data'!A65</f>
        <v>43922</v>
      </c>
      <c r="B65" s="1">
        <f t="shared" si="8"/>
        <v>2020</v>
      </c>
      <c r="C65" s="1">
        <f t="shared" si="9"/>
        <v>4</v>
      </c>
      <c r="D65" s="268">
        <f>'Monthly Data'!J65</f>
        <v>8512616.9184663724</v>
      </c>
      <c r="E65" s="278">
        <f t="shared" ca="1" si="7"/>
        <v>292.81107954545462</v>
      </c>
      <c r="F65" s="278">
        <f t="shared" ca="1" si="7"/>
        <v>2.1908333333333347</v>
      </c>
      <c r="G65" s="278">
        <f>'Monthly Data'!BD65</f>
        <v>319.67500000000007</v>
      </c>
      <c r="H65" s="278">
        <f>'Monthly Data'!BG65</f>
        <v>0</v>
      </c>
      <c r="I65" s="18">
        <f>'Monthly Data'!CG65</f>
        <v>1</v>
      </c>
      <c r="J65" s="4">
        <f>'Monthly Data'!CD65</f>
        <v>30</v>
      </c>
      <c r="K65" s="24">
        <f>'Monthly Data'!K65</f>
        <v>4201</v>
      </c>
      <c r="M65" s="18"/>
      <c r="N65" s="18">
        <f ca="1">(E65-G65)*'GS&lt;50 Predicted Monthly'!$V$9</f>
        <v>-145088.45123108552</v>
      </c>
      <c r="O65" s="18">
        <f ca="1">(F65-H65)*'GS&lt;50 Predicted Monthly'!$V$10</f>
        <v>27644.860978399032</v>
      </c>
      <c r="P65" s="18"/>
      <c r="Q65" s="18"/>
      <c r="R65" s="18"/>
      <c r="S65" s="280">
        <f t="shared" ca="1" si="6"/>
        <v>8395173.3282136861</v>
      </c>
    </row>
    <row r="66" spans="1:19" x14ac:dyDescent="0.25">
      <c r="A66" s="3">
        <f>'Monthly Data'!A66</f>
        <v>43952</v>
      </c>
      <c r="B66" s="1">
        <f t="shared" si="8"/>
        <v>2020</v>
      </c>
      <c r="C66" s="1">
        <f t="shared" si="9"/>
        <v>5</v>
      </c>
      <c r="D66" s="268">
        <f>'Monthly Data'!J66</f>
        <v>8422331.1027372573</v>
      </c>
      <c r="E66" s="278">
        <f t="shared" ref="E66:F81" ca="1" si="10">E54</f>
        <v>103.25939244851259</v>
      </c>
      <c r="F66" s="278">
        <f t="shared" ca="1" si="10"/>
        <v>52.487435064935063</v>
      </c>
      <c r="G66" s="278">
        <f>'Monthly Data'!BD66</f>
        <v>164.60000000000005</v>
      </c>
      <c r="H66" s="278">
        <f>'Monthly Data'!BG66</f>
        <v>50.900595238095221</v>
      </c>
      <c r="I66" s="18">
        <f>'Monthly Data'!CG66</f>
        <v>1</v>
      </c>
      <c r="J66" s="4">
        <f>'Monthly Data'!CD66</f>
        <v>31</v>
      </c>
      <c r="K66" s="24">
        <f>'Monthly Data'!K66</f>
        <v>4201</v>
      </c>
      <c r="M66" s="18"/>
      <c r="N66" s="18">
        <f ca="1">(E66-G66)*'GS&lt;50 Predicted Monthly'!$V$9</f>
        <v>-331292.43969724729</v>
      </c>
      <c r="O66" s="18">
        <f ca="1">(F66-H66)*'GS&lt;50 Predicted Monthly'!$V$10</f>
        <v>20023.415629353003</v>
      </c>
      <c r="P66" s="18"/>
      <c r="Q66" s="18"/>
      <c r="R66" s="18"/>
      <c r="S66" s="280">
        <f t="shared" ref="S66:S97" ca="1" si="11">D66+N66+O66</f>
        <v>8111062.0786693636</v>
      </c>
    </row>
    <row r="67" spans="1:19" x14ac:dyDescent="0.25">
      <c r="A67" s="3">
        <f>'Monthly Data'!A67</f>
        <v>43983</v>
      </c>
      <c r="B67" s="1">
        <f t="shared" si="8"/>
        <v>2020</v>
      </c>
      <c r="C67" s="1">
        <f t="shared" si="9"/>
        <v>6</v>
      </c>
      <c r="D67" s="268">
        <f>'Monthly Data'!J67</f>
        <v>9420600.9622815214</v>
      </c>
      <c r="E67" s="278">
        <f t="shared" ca="1" si="10"/>
        <v>11.89069871794872</v>
      </c>
      <c r="F67" s="278">
        <f t="shared" ca="1" si="10"/>
        <v>137.65451754405018</v>
      </c>
      <c r="G67" s="278">
        <f>'Monthly Data'!BD67</f>
        <v>13.145833333333346</v>
      </c>
      <c r="H67" s="278">
        <f>'Monthly Data'!BG67</f>
        <v>165.96956521739128</v>
      </c>
      <c r="I67" s="18">
        <f>'Monthly Data'!CG67</f>
        <v>0.5</v>
      </c>
      <c r="J67" s="4">
        <f>'Monthly Data'!CD67</f>
        <v>30</v>
      </c>
      <c r="K67" s="24">
        <f>'Monthly Data'!K67</f>
        <v>4205</v>
      </c>
      <c r="M67" s="18"/>
      <c r="N67" s="18">
        <f ca="1">(E67-G67)*'GS&lt;50 Predicted Monthly'!$V$9</f>
        <v>-6778.8146462392815</v>
      </c>
      <c r="O67" s="18">
        <f ca="1">(F67-H67)*'GS&lt;50 Predicted Monthly'!$V$10</f>
        <v>-357291.23919037892</v>
      </c>
      <c r="P67" s="18"/>
      <c r="Q67" s="18"/>
      <c r="R67" s="18"/>
      <c r="S67" s="280">
        <f t="shared" ca="1" si="11"/>
        <v>9056530.9084449038</v>
      </c>
    </row>
    <row r="68" spans="1:19" x14ac:dyDescent="0.25">
      <c r="A68" s="3">
        <f>'Monthly Data'!A68</f>
        <v>44013</v>
      </c>
      <c r="B68" s="1">
        <f t="shared" si="8"/>
        <v>2020</v>
      </c>
      <c r="C68" s="1">
        <f t="shared" si="9"/>
        <v>7</v>
      </c>
      <c r="D68" s="268">
        <f>'Monthly Data'!J68</f>
        <v>11675848.915550508</v>
      </c>
      <c r="E68" s="278">
        <f t="shared" ca="1" si="10"/>
        <v>7.4583333333333002E-2</v>
      </c>
      <c r="F68" s="278">
        <f t="shared" ca="1" si="10"/>
        <v>235.94737858727848</v>
      </c>
      <c r="G68" s="278">
        <f>'Monthly Data'!BD68</f>
        <v>0</v>
      </c>
      <c r="H68" s="278">
        <f>'Monthly Data'!BG68</f>
        <v>308.88750000000005</v>
      </c>
      <c r="I68" s="18">
        <f>'Monthly Data'!CG68</f>
        <v>0.5</v>
      </c>
      <c r="J68" s="4">
        <f>'Monthly Data'!CD68</f>
        <v>31</v>
      </c>
      <c r="K68" s="24">
        <f>'Monthly Data'!K68</f>
        <v>4208</v>
      </c>
      <c r="M68" s="18"/>
      <c r="N68" s="18">
        <f ca="1">(E68-G68)*'GS&lt;50 Predicted Monthly'!$V$9</f>
        <v>402.81463531336908</v>
      </c>
      <c r="O68" s="18">
        <f ca="1">(F68-H68)*'GS&lt;50 Predicted Monthly'!$V$10</f>
        <v>-920389.28088348394</v>
      </c>
      <c r="P68" s="18"/>
      <c r="Q68" s="18"/>
      <c r="R68" s="18"/>
      <c r="S68" s="280">
        <f t="shared" ca="1" si="11"/>
        <v>10755862.449302338</v>
      </c>
    </row>
    <row r="69" spans="1:19" x14ac:dyDescent="0.25">
      <c r="A69" s="3">
        <f>'Monthly Data'!A69</f>
        <v>44044</v>
      </c>
      <c r="B69" s="1">
        <f t="shared" si="8"/>
        <v>2020</v>
      </c>
      <c r="C69" s="1">
        <f t="shared" si="9"/>
        <v>8</v>
      </c>
      <c r="D69" s="268">
        <f>'Monthly Data'!J69</f>
        <v>10788969.833497668</v>
      </c>
      <c r="E69" s="278">
        <f t="shared" ca="1" si="10"/>
        <v>0.75041666666666718</v>
      </c>
      <c r="F69" s="278">
        <f t="shared" ca="1" si="10"/>
        <v>210.96558794466404</v>
      </c>
      <c r="G69" s="278">
        <f>'Monthly Data'!BD69</f>
        <v>0</v>
      </c>
      <c r="H69" s="278">
        <f>'Monthly Data'!BG69</f>
        <v>216.93106060606064</v>
      </c>
      <c r="I69" s="18">
        <f>'Monthly Data'!CG69</f>
        <v>0.5</v>
      </c>
      <c r="J69" s="4">
        <f>'Monthly Data'!CD69</f>
        <v>31</v>
      </c>
      <c r="K69" s="24">
        <f>'Monthly Data'!K69</f>
        <v>4205</v>
      </c>
      <c r="M69" s="18"/>
      <c r="N69" s="18">
        <f ca="1">(E69-G69)*'GS&lt;50 Predicted Monthly'!$V$9</f>
        <v>4052.9003251362087</v>
      </c>
      <c r="O69" s="18">
        <f ca="1">(F69-H69)*'GS&lt;50 Predicted Monthly'!$V$10</f>
        <v>-75274.855410307675</v>
      </c>
      <c r="P69" s="18"/>
      <c r="Q69" s="18"/>
      <c r="R69" s="18"/>
      <c r="S69" s="280">
        <f t="shared" ca="1" si="11"/>
        <v>10717747.878412496</v>
      </c>
    </row>
    <row r="70" spans="1:19" x14ac:dyDescent="0.25">
      <c r="A70" s="3">
        <f>'Monthly Data'!A70</f>
        <v>44075</v>
      </c>
      <c r="B70" s="1">
        <f t="shared" si="8"/>
        <v>2020</v>
      </c>
      <c r="C70" s="1">
        <f t="shared" si="9"/>
        <v>9</v>
      </c>
      <c r="D70" s="268">
        <f>'Monthly Data'!J70</f>
        <v>9145054.428370472</v>
      </c>
      <c r="E70" s="278">
        <f t="shared" ca="1" si="10"/>
        <v>26.342536231884061</v>
      </c>
      <c r="F70" s="278">
        <f t="shared" ca="1" si="10"/>
        <v>106.4160119047619</v>
      </c>
      <c r="G70" s="278">
        <f>'Monthly Data'!BD70</f>
        <v>46.033695652173925</v>
      </c>
      <c r="H70" s="278">
        <f>'Monthly Data'!BG70</f>
        <v>75.812499999999972</v>
      </c>
      <c r="I70" s="18">
        <f>'Monthly Data'!CG70</f>
        <v>0.5</v>
      </c>
      <c r="J70" s="4">
        <f>'Monthly Data'!CD70</f>
        <v>30</v>
      </c>
      <c r="K70" s="24">
        <f>'Monthly Data'!K70</f>
        <v>4229</v>
      </c>
      <c r="M70" s="18"/>
      <c r="N70" s="18">
        <f ca="1">(E70-G70)*'GS&lt;50 Predicted Monthly'!$V$9</f>
        <v>-106349.32559707051</v>
      </c>
      <c r="O70" s="18">
        <f ca="1">(F70-H70)*'GS&lt;50 Predicted Monthly'!$V$10</f>
        <v>386168.04810555623</v>
      </c>
      <c r="P70" s="18"/>
      <c r="Q70" s="18"/>
      <c r="R70" s="18"/>
      <c r="S70" s="280">
        <f t="shared" ca="1" si="11"/>
        <v>9424873.1508789584</v>
      </c>
    </row>
    <row r="71" spans="1:19" x14ac:dyDescent="0.25">
      <c r="A71" s="3">
        <f>'Monthly Data'!A71</f>
        <v>44105</v>
      </c>
      <c r="B71" s="1">
        <f t="shared" si="8"/>
        <v>2020</v>
      </c>
      <c r="C71" s="1">
        <f t="shared" si="9"/>
        <v>10</v>
      </c>
      <c r="D71" s="268">
        <f>'Monthly Data'!J71</f>
        <v>9117151.9850432202</v>
      </c>
      <c r="E71" s="278">
        <f t="shared" ca="1" si="10"/>
        <v>181.36347826086953</v>
      </c>
      <c r="F71" s="278">
        <f t="shared" ca="1" si="10"/>
        <v>17.987083333333334</v>
      </c>
      <c r="G71" s="278">
        <f>'Monthly Data'!BD71</f>
        <v>226.0625</v>
      </c>
      <c r="H71" s="278">
        <f>'Monthly Data'!BG71</f>
        <v>3.9291666666666654</v>
      </c>
      <c r="I71" s="18">
        <f>'Monthly Data'!CG71</f>
        <v>0.5</v>
      </c>
      <c r="J71" s="4">
        <f>'Monthly Data'!CD71</f>
        <v>31</v>
      </c>
      <c r="K71" s="24">
        <f>'Monthly Data'!K71</f>
        <v>4208</v>
      </c>
      <c r="M71" s="18"/>
      <c r="N71" s="18">
        <f ca="1">(E71-G71)*'GS&lt;50 Predicted Monthly'!$V$9</f>
        <v>-241413.45440061155</v>
      </c>
      <c r="O71" s="18">
        <f ca="1">(F71-H71)*'GS&lt;50 Predicted Monthly'!$V$10</f>
        <v>177388.73422407845</v>
      </c>
      <c r="P71" s="18"/>
      <c r="Q71" s="18"/>
      <c r="R71" s="18"/>
      <c r="S71" s="280">
        <f t="shared" ca="1" si="11"/>
        <v>9053127.2648666874</v>
      </c>
    </row>
    <row r="72" spans="1:19" x14ac:dyDescent="0.25">
      <c r="A72" s="3">
        <f>'Monthly Data'!A72</f>
        <v>44136</v>
      </c>
      <c r="B72" s="1">
        <f t="shared" si="8"/>
        <v>2020</v>
      </c>
      <c r="C72" s="1">
        <f t="shared" si="9"/>
        <v>11</v>
      </c>
      <c r="D72" s="268">
        <f>'Monthly Data'!J72</f>
        <v>9609320.7237130906</v>
      </c>
      <c r="E72" s="278">
        <f t="shared" ca="1" si="10"/>
        <v>366.78033055712399</v>
      </c>
      <c r="F72" s="278">
        <f t="shared" ca="1" si="10"/>
        <v>0.8083333333333329</v>
      </c>
      <c r="G72" s="278">
        <f>'Monthly Data'!BD72</f>
        <v>306.30072463768124</v>
      </c>
      <c r="H72" s="278">
        <f>'Monthly Data'!BG72</f>
        <v>0</v>
      </c>
      <c r="I72" s="18">
        <f>'Monthly Data'!CG72</f>
        <v>0.5</v>
      </c>
      <c r="J72" s="4">
        <f>'Monthly Data'!CD72</f>
        <v>30</v>
      </c>
      <c r="K72" s="24">
        <f>'Monthly Data'!K72</f>
        <v>4241</v>
      </c>
      <c r="M72" s="18"/>
      <c r="N72" s="18">
        <f ca="1">(E72-G72)*'GS&lt;50 Predicted Monthly'!$V$9</f>
        <v>326642.28472406766</v>
      </c>
      <c r="O72" s="18">
        <f ca="1">(F72-H72)*'GS&lt;50 Predicted Monthly'!$V$10</f>
        <v>10199.891650455318</v>
      </c>
      <c r="P72" s="18"/>
      <c r="Q72" s="18"/>
      <c r="R72" s="18"/>
      <c r="S72" s="280">
        <f t="shared" ca="1" si="11"/>
        <v>9946162.9000876136</v>
      </c>
    </row>
    <row r="73" spans="1:19" x14ac:dyDescent="0.25">
      <c r="A73" s="3">
        <f>'Monthly Data'!A73</f>
        <v>44166</v>
      </c>
      <c r="B73" s="1">
        <f t="shared" si="8"/>
        <v>2020</v>
      </c>
      <c r="C73" s="1">
        <f t="shared" si="9"/>
        <v>12</v>
      </c>
      <c r="D73" s="268">
        <f>'Monthly Data'!J73</f>
        <v>10889770.675347887</v>
      </c>
      <c r="E73" s="278">
        <f t="shared" ca="1" si="10"/>
        <v>515.92800724637686</v>
      </c>
      <c r="F73" s="278">
        <f t="shared" ca="1" si="10"/>
        <v>0</v>
      </c>
      <c r="G73" s="278">
        <f>'Monthly Data'!BD73</f>
        <v>520.90416666666681</v>
      </c>
      <c r="H73" s="278">
        <f>'Monthly Data'!BG73</f>
        <v>0</v>
      </c>
      <c r="I73" s="18">
        <f>'Monthly Data'!CG73</f>
        <v>0.5</v>
      </c>
      <c r="J73" s="4">
        <f>'Monthly Data'!CD73</f>
        <v>31</v>
      </c>
      <c r="K73" s="24">
        <f>'Monthly Data'!K73</f>
        <v>4248</v>
      </c>
      <c r="M73" s="18"/>
      <c r="N73" s="18">
        <f ca="1">(E73-G73)*'GS&lt;50 Predicted Monthly'!$V$9</f>
        <v>-26875.573302506673</v>
      </c>
      <c r="O73" s="18">
        <f ca="1">(F73-H73)*'GS&lt;50 Predicted Monthly'!$V$10</f>
        <v>0</v>
      </c>
      <c r="P73" s="18"/>
      <c r="Q73" s="18"/>
      <c r="R73" s="18"/>
      <c r="S73" s="280">
        <f t="shared" ca="1" si="11"/>
        <v>10862895.10204538</v>
      </c>
    </row>
    <row r="74" spans="1:19" x14ac:dyDescent="0.25">
      <c r="A74" s="3">
        <f>'Monthly Data'!A74</f>
        <v>44197</v>
      </c>
      <c r="B74" s="1">
        <f t="shared" si="8"/>
        <v>2021</v>
      </c>
      <c r="C74" s="1">
        <f t="shared" si="9"/>
        <v>1</v>
      </c>
      <c r="D74" s="268">
        <f>'Monthly Data'!J74</f>
        <v>10756355.603735784</v>
      </c>
      <c r="E74" s="278">
        <f t="shared" ca="1" si="10"/>
        <v>635.33418478260876</v>
      </c>
      <c r="F74" s="278">
        <f t="shared" ca="1" si="10"/>
        <v>0</v>
      </c>
      <c r="G74" s="278">
        <f>'Monthly Data'!BD74</f>
        <v>591.50416666666661</v>
      </c>
      <c r="H74" s="278">
        <f>'Monthly Data'!BG74</f>
        <v>0</v>
      </c>
      <c r="I74" s="18">
        <f>'Monthly Data'!CG74</f>
        <v>0.5</v>
      </c>
      <c r="J74" s="4">
        <f>'Monthly Data'!CD74</f>
        <v>31</v>
      </c>
      <c r="K74" s="24">
        <f>'Monthly Data'!K74</f>
        <v>4251</v>
      </c>
      <c r="M74" s="18"/>
      <c r="N74" s="18">
        <f ca="1">(E74-G74)*'GS&lt;50 Predicted Monthly'!$V$9</f>
        <v>236720.08174058114</v>
      </c>
      <c r="O74" s="18">
        <f ca="1">(F74-H74)*'GS&lt;50 Predicted Monthly'!$V$10</f>
        <v>0</v>
      </c>
      <c r="P74" s="18"/>
      <c r="Q74" s="18"/>
      <c r="R74" s="18"/>
      <c r="S74" s="280">
        <f t="shared" ca="1" si="11"/>
        <v>10993075.685476365</v>
      </c>
    </row>
    <row r="75" spans="1:19" x14ac:dyDescent="0.25">
      <c r="A75" s="3">
        <f>'Monthly Data'!A75</f>
        <v>44228</v>
      </c>
      <c r="B75" s="1">
        <f t="shared" si="8"/>
        <v>2021</v>
      </c>
      <c r="C75" s="1">
        <f t="shared" si="9"/>
        <v>2</v>
      </c>
      <c r="D75" s="268">
        <f>'Monthly Data'!J75</f>
        <v>10124243.37225813</v>
      </c>
      <c r="E75" s="278">
        <f t="shared" ca="1" si="10"/>
        <v>567.65501811594208</v>
      </c>
      <c r="F75" s="278">
        <f t="shared" ca="1" si="10"/>
        <v>0</v>
      </c>
      <c r="G75" s="278">
        <f>'Monthly Data'!BD75</f>
        <v>597.45416666666665</v>
      </c>
      <c r="H75" s="278">
        <f>'Monthly Data'!BG75</f>
        <v>0</v>
      </c>
      <c r="I75" s="18">
        <f>'Monthly Data'!CG75</f>
        <v>0.5</v>
      </c>
      <c r="J75" s="4">
        <f>'Monthly Data'!CD75</f>
        <v>28</v>
      </c>
      <c r="K75" s="24">
        <f>'Monthly Data'!K75</f>
        <v>4260</v>
      </c>
      <c r="M75" s="18"/>
      <c r="N75" s="18">
        <f ca="1">(E75-G75)*'GS&lt;50 Predicted Monthly'!$V$9</f>
        <v>-160941.22667408822</v>
      </c>
      <c r="O75" s="18">
        <f ca="1">(F75-H75)*'GS&lt;50 Predicted Monthly'!$V$10</f>
        <v>0</v>
      </c>
      <c r="P75" s="18"/>
      <c r="Q75" s="18"/>
      <c r="R75" s="18"/>
      <c r="S75" s="280">
        <f t="shared" ca="1" si="11"/>
        <v>9963302.1455840431</v>
      </c>
    </row>
    <row r="76" spans="1:19" x14ac:dyDescent="0.25">
      <c r="A76" s="3">
        <f>'Monthly Data'!A76</f>
        <v>44256</v>
      </c>
      <c r="B76" s="1">
        <f t="shared" si="8"/>
        <v>2021</v>
      </c>
      <c r="C76" s="1">
        <f t="shared" si="9"/>
        <v>3</v>
      </c>
      <c r="D76" s="268">
        <f>'Monthly Data'!J76</f>
        <v>11683964.166895431</v>
      </c>
      <c r="E76" s="278">
        <f t="shared" ca="1" si="10"/>
        <v>484.13298913043479</v>
      </c>
      <c r="F76" s="278">
        <f t="shared" ca="1" si="10"/>
        <v>0</v>
      </c>
      <c r="G76" s="278">
        <f>'Monthly Data'!BD76</f>
        <v>430.59637681159427</v>
      </c>
      <c r="H76" s="278">
        <f>'Monthly Data'!BG76</f>
        <v>0</v>
      </c>
      <c r="I76" s="18">
        <f>'Monthly Data'!CG76</f>
        <v>0.5</v>
      </c>
      <c r="J76" s="4">
        <f>'Monthly Data'!CD76</f>
        <v>31</v>
      </c>
      <c r="K76" s="24">
        <f>'Monthly Data'!K76</f>
        <v>4267</v>
      </c>
      <c r="M76" s="18"/>
      <c r="N76" s="18">
        <f ca="1">(E76-G76)*'GS&lt;50 Predicted Monthly'!$V$9</f>
        <v>289144.10235254164</v>
      </c>
      <c r="O76" s="18">
        <f ca="1">(F76-H76)*'GS&lt;50 Predicted Monthly'!$V$10</f>
        <v>0</v>
      </c>
      <c r="P76" s="18"/>
      <c r="Q76" s="18"/>
      <c r="R76" s="18"/>
      <c r="S76" s="280">
        <f t="shared" ca="1" si="11"/>
        <v>11973108.269247971</v>
      </c>
    </row>
    <row r="77" spans="1:19" x14ac:dyDescent="0.25">
      <c r="A77" s="3">
        <f>'Monthly Data'!A77</f>
        <v>44287</v>
      </c>
      <c r="B77" s="1">
        <f t="shared" si="8"/>
        <v>2021</v>
      </c>
      <c r="C77" s="1">
        <f t="shared" si="9"/>
        <v>4</v>
      </c>
      <c r="D77" s="268">
        <f>'Monthly Data'!J77</f>
        <v>9317165.6293833423</v>
      </c>
      <c r="E77" s="278">
        <f t="shared" ca="1" si="10"/>
        <v>292.81107954545462</v>
      </c>
      <c r="F77" s="278">
        <f t="shared" ca="1" si="10"/>
        <v>2.1908333333333347</v>
      </c>
      <c r="G77" s="278">
        <f>'Monthly Data'!BD77</f>
        <v>260.00833333333338</v>
      </c>
      <c r="H77" s="278">
        <f>'Monthly Data'!BG77</f>
        <v>3.7083333333333339</v>
      </c>
      <c r="I77" s="18">
        <f>'Monthly Data'!CG77</f>
        <v>0.5</v>
      </c>
      <c r="J77" s="4">
        <f>'Monthly Data'!CD77</f>
        <v>30</v>
      </c>
      <c r="K77" s="24">
        <f>'Monthly Data'!K77</f>
        <v>4264</v>
      </c>
      <c r="M77" s="18"/>
      <c r="N77" s="18">
        <f ca="1">(E77-G77)*'GS&lt;50 Predicted Monthly'!$V$9</f>
        <v>177163.25701961125</v>
      </c>
      <c r="O77" s="18">
        <f ca="1">(F77-H77)*'GS&lt;50 Predicted Monthly'!$V$10</f>
        <v>-19148.45638709189</v>
      </c>
      <c r="P77" s="18"/>
      <c r="Q77" s="18"/>
      <c r="R77" s="18"/>
      <c r="S77" s="280">
        <f t="shared" ca="1" si="11"/>
        <v>9475180.430015862</v>
      </c>
    </row>
    <row r="78" spans="1:19" x14ac:dyDescent="0.25">
      <c r="A78" s="3">
        <f>'Monthly Data'!A78</f>
        <v>44317</v>
      </c>
      <c r="B78" s="1">
        <f t="shared" si="8"/>
        <v>2021</v>
      </c>
      <c r="C78" s="1">
        <f t="shared" si="9"/>
        <v>5</v>
      </c>
      <c r="D78" s="268">
        <f>'Monthly Data'!J78</f>
        <v>9001778.8454272039</v>
      </c>
      <c r="E78" s="278">
        <f t="shared" ca="1" si="10"/>
        <v>103.25939244851259</v>
      </c>
      <c r="F78" s="278">
        <f t="shared" ca="1" si="10"/>
        <v>52.487435064935063</v>
      </c>
      <c r="G78" s="278">
        <f>'Monthly Data'!BD78</f>
        <v>127.04305555555555</v>
      </c>
      <c r="H78" s="278">
        <f>'Monthly Data'!BG78</f>
        <v>53.908333333333317</v>
      </c>
      <c r="I78" s="18">
        <f>'Monthly Data'!CG78</f>
        <v>0.5</v>
      </c>
      <c r="J78" s="4">
        <f>'Monthly Data'!CD78</f>
        <v>31</v>
      </c>
      <c r="K78" s="24">
        <f>'Monthly Data'!K78</f>
        <v>4268</v>
      </c>
      <c r="M78" s="18"/>
      <c r="N78" s="18">
        <f ca="1">(E78-G78)*'GS&lt;50 Predicted Monthly'!$V$9</f>
        <v>-128452.39214587155</v>
      </c>
      <c r="O78" s="18">
        <f ca="1">(F78-H78)*'GS&lt;50 Predicted Monthly'!$V$10</f>
        <v>-17929.494908018696</v>
      </c>
      <c r="P78" s="18"/>
      <c r="Q78" s="18"/>
      <c r="R78" s="18"/>
      <c r="S78" s="280">
        <f t="shared" ca="1" si="11"/>
        <v>8855396.9583733138</v>
      </c>
    </row>
    <row r="79" spans="1:19" x14ac:dyDescent="0.25">
      <c r="A79" s="3">
        <f>'Monthly Data'!A79</f>
        <v>44348</v>
      </c>
      <c r="B79" s="1">
        <f t="shared" si="8"/>
        <v>2021</v>
      </c>
      <c r="C79" s="1">
        <f t="shared" si="9"/>
        <v>6</v>
      </c>
      <c r="D79" s="268">
        <f>'Monthly Data'!J79</f>
        <v>10147787.796347724</v>
      </c>
      <c r="E79" s="278">
        <f t="shared" ca="1" si="10"/>
        <v>11.89069871794872</v>
      </c>
      <c r="F79" s="278">
        <f t="shared" ca="1" si="10"/>
        <v>137.65451754405018</v>
      </c>
      <c r="G79" s="278">
        <f>'Monthly Data'!BD79</f>
        <v>3.2708333333333357</v>
      </c>
      <c r="H79" s="278">
        <f>'Monthly Data'!BG79</f>
        <v>181.67499999999995</v>
      </c>
      <c r="I79" s="18">
        <f>'Monthly Data'!CG79</f>
        <v>0.5</v>
      </c>
      <c r="J79" s="4">
        <f>'Monthly Data'!CD79</f>
        <v>30</v>
      </c>
      <c r="K79" s="24">
        <f>'Monthly Data'!K79</f>
        <v>4270</v>
      </c>
      <c r="M79" s="18"/>
      <c r="N79" s="18">
        <f ca="1">(E79-G79)*'GS&lt;50 Predicted Monthly'!$V$9</f>
        <v>46554.743213687529</v>
      </c>
      <c r="O79" s="18">
        <f ca="1">(F79-H79)*'GS&lt;50 Predicted Monthly'!$V$10</f>
        <v>-555469.05334200885</v>
      </c>
      <c r="P79" s="18"/>
      <c r="Q79" s="18"/>
      <c r="R79" s="18"/>
      <c r="S79" s="280">
        <f t="shared" ca="1" si="11"/>
        <v>9638873.4862194024</v>
      </c>
    </row>
    <row r="80" spans="1:19" x14ac:dyDescent="0.25">
      <c r="A80" s="3">
        <f>'Monthly Data'!A80</f>
        <v>44378</v>
      </c>
      <c r="B80" s="1">
        <f t="shared" si="8"/>
        <v>2021</v>
      </c>
      <c r="C80" s="1">
        <f t="shared" si="9"/>
        <v>7</v>
      </c>
      <c r="D80" s="268">
        <f>'Monthly Data'!J80</f>
        <v>10919033.21209087</v>
      </c>
      <c r="E80" s="278">
        <f t="shared" ca="1" si="10"/>
        <v>7.4583333333333002E-2</v>
      </c>
      <c r="F80" s="278">
        <f t="shared" ca="1" si="10"/>
        <v>235.94737858727848</v>
      </c>
      <c r="G80" s="278">
        <f>'Monthly Data'!BD80</f>
        <v>0.74583333333333002</v>
      </c>
      <c r="H80" s="278">
        <f>'Monthly Data'!BG80</f>
        <v>192.87499999999994</v>
      </c>
      <c r="I80" s="18">
        <f>'Monthly Data'!CG80</f>
        <v>0.5</v>
      </c>
      <c r="J80" s="4">
        <f>'Monthly Data'!CD80</f>
        <v>31</v>
      </c>
      <c r="K80" s="24">
        <f>'Monthly Data'!K80</f>
        <v>4273</v>
      </c>
      <c r="M80" s="18"/>
      <c r="N80" s="18">
        <f ca="1">(E80-G80)*'GS&lt;50 Predicted Monthly'!$V$9</f>
        <v>-3625.3317178203215</v>
      </c>
      <c r="O80" s="18">
        <f ca="1">(F80-H80)*'GS&lt;50 Predicted Monthly'!$V$10</f>
        <v>543505.47800119547</v>
      </c>
      <c r="P80" s="18"/>
      <c r="Q80" s="18"/>
      <c r="R80" s="18"/>
      <c r="S80" s="280">
        <f t="shared" ca="1" si="11"/>
        <v>11458913.358374245</v>
      </c>
    </row>
    <row r="81" spans="1:19" x14ac:dyDescent="0.25">
      <c r="A81" s="3">
        <f>'Monthly Data'!A81</f>
        <v>44409</v>
      </c>
      <c r="B81" s="1">
        <f t="shared" si="8"/>
        <v>2021</v>
      </c>
      <c r="C81" s="1">
        <f t="shared" si="9"/>
        <v>8</v>
      </c>
      <c r="D81" s="268">
        <f>'Monthly Data'!J81</f>
        <v>12092428.744730394</v>
      </c>
      <c r="E81" s="278">
        <f t="shared" ca="1" si="10"/>
        <v>0.75041666666666718</v>
      </c>
      <c r="F81" s="278">
        <f t="shared" ca="1" si="10"/>
        <v>210.96558794466404</v>
      </c>
      <c r="G81" s="278">
        <f>'Monthly Data'!BD81</f>
        <v>0</v>
      </c>
      <c r="H81" s="278">
        <f>'Monthly Data'!BG81</f>
        <v>266.0625</v>
      </c>
      <c r="I81" s="18">
        <f>'Monthly Data'!CG81</f>
        <v>0.5</v>
      </c>
      <c r="J81" s="4">
        <f>'Monthly Data'!CD81</f>
        <v>31</v>
      </c>
      <c r="K81" s="24">
        <f>'Monthly Data'!K81</f>
        <v>4277</v>
      </c>
      <c r="M81" s="18"/>
      <c r="N81" s="18">
        <f ca="1">(E81-G81)*'GS&lt;50 Predicted Monthly'!$V$9</f>
        <v>4052.9003251362087</v>
      </c>
      <c r="O81" s="18">
        <f ca="1">(F81-H81)*'GS&lt;50 Predicted Monthly'!$V$10</f>
        <v>-695236.12359475368</v>
      </c>
      <c r="P81" s="18"/>
      <c r="Q81" s="18"/>
      <c r="R81" s="18"/>
      <c r="S81" s="280">
        <f t="shared" ca="1" si="11"/>
        <v>11401245.521460777</v>
      </c>
    </row>
    <row r="82" spans="1:19" x14ac:dyDescent="0.25">
      <c r="A82" s="3">
        <f>'Monthly Data'!A82</f>
        <v>44440</v>
      </c>
      <c r="B82" s="1">
        <f t="shared" si="8"/>
        <v>2021</v>
      </c>
      <c r="C82" s="1">
        <f t="shared" si="9"/>
        <v>9</v>
      </c>
      <c r="D82" s="268">
        <f>'Monthly Data'!J82</f>
        <v>9932104.6989375129</v>
      </c>
      <c r="E82" s="278">
        <f t="shared" ref="E82:F97" ca="1" si="12">E70</f>
        <v>26.342536231884061</v>
      </c>
      <c r="F82" s="278">
        <f t="shared" ca="1" si="12"/>
        <v>106.4160119047619</v>
      </c>
      <c r="G82" s="278">
        <f>'Monthly Data'!BD82</f>
        <v>20.066666666666677</v>
      </c>
      <c r="H82" s="278">
        <f>'Monthly Data'!BG82</f>
        <v>95.25833333333334</v>
      </c>
      <c r="I82" s="18">
        <f>'Monthly Data'!CG82</f>
        <v>0.5</v>
      </c>
      <c r="J82" s="4">
        <f>'Monthly Data'!CD82</f>
        <v>30</v>
      </c>
      <c r="K82" s="24">
        <f>'Monthly Data'!K82</f>
        <v>4283</v>
      </c>
      <c r="M82" s="18"/>
      <c r="N82" s="18">
        <f ca="1">(E82-G82)*'GS&lt;50 Predicted Monthly'!$V$9</f>
        <v>33895.134438265792</v>
      </c>
      <c r="O82" s="18">
        <f ca="1">(F82-H82)*'GS&lt;50 Predicted Monthly'!$V$10</f>
        <v>140792.304122695</v>
      </c>
      <c r="P82" s="18"/>
      <c r="Q82" s="18"/>
      <c r="R82" s="18"/>
      <c r="S82" s="280">
        <f t="shared" ca="1" si="11"/>
        <v>10106792.137498474</v>
      </c>
    </row>
    <row r="83" spans="1:19" x14ac:dyDescent="0.25">
      <c r="A83" s="3">
        <f>'Monthly Data'!A83</f>
        <v>44470</v>
      </c>
      <c r="B83" s="1">
        <f t="shared" si="8"/>
        <v>2021</v>
      </c>
      <c r="C83" s="1">
        <f t="shared" si="9"/>
        <v>10</v>
      </c>
      <c r="D83" s="268">
        <f>'Monthly Data'!J83</f>
        <v>9618545.1704564132</v>
      </c>
      <c r="E83" s="278">
        <f t="shared" ca="1" si="12"/>
        <v>181.36347826086953</v>
      </c>
      <c r="F83" s="278">
        <f t="shared" ca="1" si="12"/>
        <v>17.987083333333334</v>
      </c>
      <c r="G83" s="278">
        <f>'Monthly Data'!BD83</f>
        <v>108.43333333333334</v>
      </c>
      <c r="H83" s="278">
        <f>'Monthly Data'!BG83</f>
        <v>44.562500000000028</v>
      </c>
      <c r="I83" s="18">
        <f>'Monthly Data'!CG83</f>
        <v>0.5</v>
      </c>
      <c r="J83" s="4">
        <f>'Monthly Data'!CD83</f>
        <v>31</v>
      </c>
      <c r="K83" s="24">
        <f>'Monthly Data'!K83</f>
        <v>4282</v>
      </c>
      <c r="M83" s="18"/>
      <c r="N83" s="18">
        <f ca="1">(E83-G83)*'GS&lt;50 Predicted Monthly'!$V$9</f>
        <v>393885.98523803498</v>
      </c>
      <c r="O83" s="18">
        <f ca="1">(F83-H83)*'GS&lt;50 Predicted Monthly'!$V$10</f>
        <v>-335339.83987509878</v>
      </c>
      <c r="P83" s="18"/>
      <c r="Q83" s="18"/>
      <c r="R83" s="18"/>
      <c r="S83" s="280">
        <f t="shared" ca="1" si="11"/>
        <v>9677091.3158193491</v>
      </c>
    </row>
    <row r="84" spans="1:19" x14ac:dyDescent="0.25">
      <c r="A84" s="3">
        <f>'Monthly Data'!A84</f>
        <v>44501</v>
      </c>
      <c r="B84" s="1">
        <f t="shared" si="8"/>
        <v>2021</v>
      </c>
      <c r="C84" s="1">
        <f t="shared" si="9"/>
        <v>11</v>
      </c>
      <c r="D84" s="268">
        <f>'Monthly Data'!J84</f>
        <v>10309263.288912244</v>
      </c>
      <c r="E84" s="278">
        <f t="shared" ca="1" si="12"/>
        <v>366.78033055712399</v>
      </c>
      <c r="F84" s="278">
        <f t="shared" ca="1" si="12"/>
        <v>0.8083333333333329</v>
      </c>
      <c r="G84" s="278">
        <f>'Monthly Data'!BD84</f>
        <v>386.3126035196687</v>
      </c>
      <c r="H84" s="278">
        <f>'Monthly Data'!BG84</f>
        <v>0</v>
      </c>
      <c r="I84" s="18">
        <f>'Monthly Data'!CG84</f>
        <v>0.5</v>
      </c>
      <c r="J84" s="4">
        <f>'Monthly Data'!CD84</f>
        <v>30</v>
      </c>
      <c r="K84" s="24">
        <f>'Monthly Data'!K84</f>
        <v>4281</v>
      </c>
      <c r="M84" s="18"/>
      <c r="N84" s="18">
        <f ca="1">(E84-G84)*'GS&lt;50 Predicted Monthly'!$V$9</f>
        <v>-105491.20103126696</v>
      </c>
      <c r="O84" s="18">
        <f ca="1">(F84-H84)*'GS&lt;50 Predicted Monthly'!$V$10</f>
        <v>10199.891650455318</v>
      </c>
      <c r="P84" s="18"/>
      <c r="Q84" s="18"/>
      <c r="R84" s="18"/>
      <c r="S84" s="280">
        <f t="shared" ca="1" si="11"/>
        <v>10213971.979531432</v>
      </c>
    </row>
    <row r="85" spans="1:19" x14ac:dyDescent="0.25">
      <c r="A85" s="3">
        <f>'Monthly Data'!A85</f>
        <v>44531</v>
      </c>
      <c r="B85" s="1">
        <f t="shared" si="8"/>
        <v>2021</v>
      </c>
      <c r="C85" s="1">
        <f t="shared" si="9"/>
        <v>12</v>
      </c>
      <c r="D85" s="268">
        <f>'Monthly Data'!J85</f>
        <v>12066287.994782832</v>
      </c>
      <c r="E85" s="278">
        <f t="shared" ca="1" si="12"/>
        <v>515.92800724637686</v>
      </c>
      <c r="F85" s="278">
        <f t="shared" ca="1" si="12"/>
        <v>0</v>
      </c>
      <c r="G85" s="278">
        <f>'Monthly Data'!BD85</f>
        <v>471.04583333333335</v>
      </c>
      <c r="H85" s="278">
        <f>'Monthly Data'!BG85</f>
        <v>0</v>
      </c>
      <c r="I85" s="18">
        <f>'Monthly Data'!CG85</f>
        <v>0.5</v>
      </c>
      <c r="J85" s="4">
        <f>'Monthly Data'!CD85</f>
        <v>31</v>
      </c>
      <c r="K85" s="24">
        <f>'Monthly Data'!K85</f>
        <v>4277</v>
      </c>
      <c r="M85" s="18"/>
      <c r="N85" s="18">
        <f ca="1">(E85-G85)*'GS&lt;50 Predicted Monthly'!$V$9</f>
        <v>242402.63486284573</v>
      </c>
      <c r="O85" s="18">
        <f ca="1">(F85-H85)*'GS&lt;50 Predicted Monthly'!$V$10</f>
        <v>0</v>
      </c>
      <c r="P85" s="18"/>
      <c r="Q85" s="18"/>
      <c r="R85" s="18"/>
      <c r="S85" s="280">
        <f t="shared" ca="1" si="11"/>
        <v>12308690.629645677</v>
      </c>
    </row>
    <row r="86" spans="1:19" x14ac:dyDescent="0.25">
      <c r="A86" s="3">
        <f>'Monthly Data'!A86</f>
        <v>44562</v>
      </c>
      <c r="B86" s="1">
        <f t="shared" si="8"/>
        <v>2022</v>
      </c>
      <c r="C86" s="1">
        <f t="shared" si="9"/>
        <v>1</v>
      </c>
      <c r="D86" s="268">
        <f>'Monthly Data'!J86</f>
        <v>12638454.910089087</v>
      </c>
      <c r="E86" s="278">
        <f t="shared" ca="1" si="12"/>
        <v>635.33418478260876</v>
      </c>
      <c r="F86" s="278">
        <f t="shared" ca="1" si="12"/>
        <v>0</v>
      </c>
      <c r="G86" s="278">
        <f>'Monthly Data'!BD86</f>
        <v>763.49166666666656</v>
      </c>
      <c r="H86" s="278">
        <f>'Monthly Data'!BG86</f>
        <v>0</v>
      </c>
      <c r="I86" s="18">
        <f>'Monthly Data'!CG86</f>
        <v>0.25</v>
      </c>
      <c r="J86" s="4">
        <f>'Monthly Data'!CD86</f>
        <v>31</v>
      </c>
      <c r="K86" s="24">
        <f>'Monthly Data'!K86</f>
        <v>4288</v>
      </c>
      <c r="M86" s="18"/>
      <c r="N86" s="18">
        <f ca="1">(E86-G86)*'GS&lt;50 Predicted Monthly'!$V$9</f>
        <v>-692161.46584768721</v>
      </c>
      <c r="O86" s="18">
        <f ca="1">(F86-H86)*'GS&lt;50 Predicted Monthly'!$V$10</f>
        <v>0</v>
      </c>
      <c r="P86" s="18"/>
      <c r="Q86" s="18"/>
      <c r="R86" s="18"/>
      <c r="S86" s="280">
        <f t="shared" ca="1" si="11"/>
        <v>11946293.444241399</v>
      </c>
    </row>
    <row r="87" spans="1:19" x14ac:dyDescent="0.25">
      <c r="A87" s="3">
        <f>'Monthly Data'!A87</f>
        <v>44593</v>
      </c>
      <c r="B87" s="1">
        <f t="shared" si="8"/>
        <v>2022</v>
      </c>
      <c r="C87" s="1">
        <f t="shared" si="9"/>
        <v>2</v>
      </c>
      <c r="D87" s="268">
        <f>'Monthly Data'!J87</f>
        <v>11611870.017274158</v>
      </c>
      <c r="E87" s="278">
        <f t="shared" ca="1" si="12"/>
        <v>567.65501811594208</v>
      </c>
      <c r="F87" s="278">
        <f t="shared" ca="1" si="12"/>
        <v>0</v>
      </c>
      <c r="G87" s="278">
        <f>'Monthly Data'!BD87</f>
        <v>580.84999999999991</v>
      </c>
      <c r="H87" s="278">
        <f>'Monthly Data'!BG87</f>
        <v>0</v>
      </c>
      <c r="I87" s="18">
        <f>'Monthly Data'!CG87</f>
        <v>0.25</v>
      </c>
      <c r="J87" s="4">
        <f>'Monthly Data'!CD87</f>
        <v>28</v>
      </c>
      <c r="K87" s="24">
        <f>'Monthly Data'!K87</f>
        <v>4294</v>
      </c>
      <c r="M87" s="18"/>
      <c r="N87" s="18">
        <f ca="1">(E87-G87)*'GS&lt;50 Predicted Monthly'!$V$9</f>
        <v>-71264.337192312232</v>
      </c>
      <c r="O87" s="18">
        <f ca="1">(F87-H87)*'GS&lt;50 Predicted Monthly'!$V$10</f>
        <v>0</v>
      </c>
      <c r="P87" s="18"/>
      <c r="Q87" s="18"/>
      <c r="R87" s="18"/>
      <c r="S87" s="280">
        <f t="shared" ca="1" si="11"/>
        <v>11540605.680081846</v>
      </c>
    </row>
    <row r="88" spans="1:19" x14ac:dyDescent="0.25">
      <c r="A88" s="3">
        <f>'Monthly Data'!A88</f>
        <v>44621</v>
      </c>
      <c r="B88" s="1">
        <f t="shared" si="8"/>
        <v>2022</v>
      </c>
      <c r="C88" s="1">
        <f t="shared" si="9"/>
        <v>3</v>
      </c>
      <c r="D88" s="268">
        <f>'Monthly Data'!J88</f>
        <v>11884883.351506501</v>
      </c>
      <c r="E88" s="278">
        <f t="shared" ca="1" si="12"/>
        <v>484.13298913043479</v>
      </c>
      <c r="F88" s="278">
        <f t="shared" ca="1" si="12"/>
        <v>0</v>
      </c>
      <c r="G88" s="278">
        <f>'Monthly Data'!BD88</f>
        <v>482.72083333333353</v>
      </c>
      <c r="H88" s="278">
        <f>'Monthly Data'!BG88</f>
        <v>0</v>
      </c>
      <c r="I88" s="18">
        <f>'Monthly Data'!CG88</f>
        <v>0.25</v>
      </c>
      <c r="J88" s="4">
        <f>'Monthly Data'!CD88</f>
        <v>31</v>
      </c>
      <c r="K88" s="24">
        <f>'Monthly Data'!K88</f>
        <v>4283</v>
      </c>
      <c r="M88" s="18"/>
      <c r="N88" s="18">
        <f ca="1">(E88-G88)*'GS&lt;50 Predicted Monthly'!$V$9</f>
        <v>7626.8651050056933</v>
      </c>
      <c r="O88" s="18">
        <f ca="1">(F88-H88)*'GS&lt;50 Predicted Monthly'!$V$10</f>
        <v>0</v>
      </c>
      <c r="P88" s="18"/>
      <c r="Q88" s="18"/>
      <c r="R88" s="18"/>
      <c r="S88" s="280">
        <f t="shared" ca="1" si="11"/>
        <v>11892510.216611506</v>
      </c>
    </row>
    <row r="89" spans="1:19" x14ac:dyDescent="0.25">
      <c r="A89" s="3">
        <f>'Monthly Data'!A89</f>
        <v>44652</v>
      </c>
      <c r="B89" s="1">
        <f t="shared" si="8"/>
        <v>2022</v>
      </c>
      <c r="C89" s="1">
        <f t="shared" si="9"/>
        <v>4</v>
      </c>
      <c r="D89" s="268">
        <f>'Monthly Data'!J89</f>
        <v>10215325.022601429</v>
      </c>
      <c r="E89" s="278">
        <f t="shared" ca="1" si="12"/>
        <v>292.81107954545462</v>
      </c>
      <c r="F89" s="278">
        <f t="shared" ca="1" si="12"/>
        <v>2.1908333333333347</v>
      </c>
      <c r="G89" s="278">
        <f>'Monthly Data'!BD89</f>
        <v>294.33333333333337</v>
      </c>
      <c r="H89" s="278">
        <f>'Monthly Data'!BG89</f>
        <v>0</v>
      </c>
      <c r="I89" s="18">
        <f>'Monthly Data'!CG89</f>
        <v>0.25</v>
      </c>
      <c r="J89" s="4">
        <f>'Monthly Data'!CD89</f>
        <v>30</v>
      </c>
      <c r="K89" s="24">
        <f>'Monthly Data'!K89</f>
        <v>4284</v>
      </c>
      <c r="M89" s="18"/>
      <c r="N89" s="18">
        <f ca="1">(E89-G89)*'GS&lt;50 Predicted Monthly'!$V$9</f>
        <v>-8221.4896681847258</v>
      </c>
      <c r="O89" s="18">
        <f ca="1">(F89-H89)*'GS&lt;50 Predicted Monthly'!$V$10</f>
        <v>27644.860978399032</v>
      </c>
      <c r="P89" s="18"/>
      <c r="Q89" s="18"/>
      <c r="R89" s="18"/>
      <c r="S89" s="280">
        <f t="shared" ca="1" si="11"/>
        <v>10234748.393911643</v>
      </c>
    </row>
    <row r="90" spans="1:19" x14ac:dyDescent="0.25">
      <c r="A90" s="3">
        <f>'Monthly Data'!A90</f>
        <v>44682</v>
      </c>
      <c r="B90" s="1">
        <f t="shared" si="8"/>
        <v>2022</v>
      </c>
      <c r="C90" s="1">
        <f t="shared" si="9"/>
        <v>5</v>
      </c>
      <c r="D90" s="268">
        <f>'Monthly Data'!J90</f>
        <v>10135011.499984067</v>
      </c>
      <c r="E90" s="278">
        <f t="shared" ca="1" si="12"/>
        <v>103.25939244851259</v>
      </c>
      <c r="F90" s="278">
        <f t="shared" ca="1" si="12"/>
        <v>52.487435064935063</v>
      </c>
      <c r="G90" s="278">
        <f>'Monthly Data'!BD90</f>
        <v>70.650000000000006</v>
      </c>
      <c r="H90" s="278">
        <f>'Monthly Data'!BG90</f>
        <v>72.362499999999997</v>
      </c>
      <c r="I90" s="18">
        <f>'Monthly Data'!CG90</f>
        <v>0.25</v>
      </c>
      <c r="J90" s="4">
        <f>'Monthly Data'!CD90</f>
        <v>31</v>
      </c>
      <c r="K90" s="24">
        <f>'Monthly Data'!K90</f>
        <v>4290</v>
      </c>
      <c r="M90" s="18"/>
      <c r="N90" s="18">
        <f ca="1">(E90-G90)*'GS&lt;50 Predicted Monthly'!$V$9</f>
        <v>176118.97913213208</v>
      </c>
      <c r="O90" s="18">
        <f ca="1">(F90-H90)*'GS&lt;50 Predicted Monthly'!$V$10</f>
        <v>-250791.96975269218</v>
      </c>
      <c r="P90" s="18"/>
      <c r="Q90" s="18"/>
      <c r="R90" s="18"/>
      <c r="S90" s="280">
        <f t="shared" ca="1" si="11"/>
        <v>10060338.509363508</v>
      </c>
    </row>
    <row r="91" spans="1:19" x14ac:dyDescent="0.25">
      <c r="A91" s="3">
        <f>'Monthly Data'!A91</f>
        <v>44713</v>
      </c>
      <c r="B91" s="1">
        <f t="shared" si="8"/>
        <v>2022</v>
      </c>
      <c r="C91" s="1">
        <f t="shared" si="9"/>
        <v>6</v>
      </c>
      <c r="D91" s="268">
        <f>'Monthly Data'!J91</f>
        <v>10454406.76599817</v>
      </c>
      <c r="E91" s="278">
        <f t="shared" ca="1" si="12"/>
        <v>11.89069871794872</v>
      </c>
      <c r="F91" s="278">
        <f t="shared" ca="1" si="12"/>
        <v>137.65451754405018</v>
      </c>
      <c r="G91" s="278">
        <f>'Monthly Data'!BD91</f>
        <v>6.1903205128205077</v>
      </c>
      <c r="H91" s="278">
        <f>'Monthly Data'!BG91</f>
        <v>120.92250416250417</v>
      </c>
      <c r="I91" s="18">
        <f>'Monthly Data'!CG91</f>
        <v>0.25</v>
      </c>
      <c r="J91" s="4">
        <f>'Monthly Data'!CD91</f>
        <v>30</v>
      </c>
      <c r="K91" s="24">
        <f>'Monthly Data'!K91</f>
        <v>4306</v>
      </c>
      <c r="M91" s="18"/>
      <c r="N91" s="18">
        <f ca="1">(E91-G91)*'GS&lt;50 Predicted Monthly'!$V$9</f>
        <v>30786.982362194522</v>
      </c>
      <c r="O91" s="18">
        <f ca="1">(F91-H91)*'GS&lt;50 Predicted Monthly'!$V$10</f>
        <v>211131.61680709841</v>
      </c>
      <c r="P91" s="18"/>
      <c r="Q91" s="18"/>
      <c r="R91" s="18"/>
      <c r="S91" s="280">
        <f t="shared" ca="1" si="11"/>
        <v>10696325.365167461</v>
      </c>
    </row>
    <row r="92" spans="1:19" x14ac:dyDescent="0.25">
      <c r="A92" s="3">
        <f>'Monthly Data'!A92</f>
        <v>44743</v>
      </c>
      <c r="B92" s="1">
        <f t="shared" si="8"/>
        <v>2022</v>
      </c>
      <c r="C92" s="1">
        <f t="shared" si="9"/>
        <v>7</v>
      </c>
      <c r="D92" s="268">
        <f>'Monthly Data'!J92</f>
        <v>11689555.982580787</v>
      </c>
      <c r="E92" s="278">
        <f t="shared" ca="1" si="12"/>
        <v>7.4583333333333002E-2</v>
      </c>
      <c r="F92" s="278">
        <f t="shared" ca="1" si="12"/>
        <v>235.94737858727848</v>
      </c>
      <c r="G92" s="278">
        <f>'Monthly Data'!BD92</f>
        <v>0</v>
      </c>
      <c r="H92" s="278">
        <f>'Monthly Data'!BG92</f>
        <v>221.8543382913806</v>
      </c>
      <c r="I92" s="18">
        <f>'Monthly Data'!CG92</f>
        <v>0.25</v>
      </c>
      <c r="J92" s="4">
        <f>'Monthly Data'!CD92</f>
        <v>31</v>
      </c>
      <c r="K92" s="24">
        <f>'Monthly Data'!K92</f>
        <v>4310</v>
      </c>
      <c r="M92" s="18"/>
      <c r="N92" s="18">
        <f ca="1">(E92-G92)*'GS&lt;50 Predicted Monthly'!$V$9</f>
        <v>402.81463531336908</v>
      </c>
      <c r="O92" s="18">
        <f ca="1">(F92-H92)*'GS&lt;50 Predicted Monthly'!$V$10</f>
        <v>177831.93902308354</v>
      </c>
      <c r="P92" s="18"/>
      <c r="Q92" s="18"/>
      <c r="R92" s="18"/>
      <c r="S92" s="280">
        <f t="shared" ca="1" si="11"/>
        <v>11867790.736239184</v>
      </c>
    </row>
    <row r="93" spans="1:19" x14ac:dyDescent="0.25">
      <c r="A93" s="3">
        <f>'Monthly Data'!A93</f>
        <v>44774</v>
      </c>
      <c r="B93" s="1">
        <f t="shared" si="8"/>
        <v>2022</v>
      </c>
      <c r="C93" s="1">
        <f t="shared" si="9"/>
        <v>8</v>
      </c>
      <c r="D93" s="268">
        <f>'Monthly Data'!J93</f>
        <v>12151700.400896436</v>
      </c>
      <c r="E93" s="278">
        <f t="shared" ca="1" si="12"/>
        <v>0.75041666666666718</v>
      </c>
      <c r="F93" s="278">
        <f t="shared" ca="1" si="12"/>
        <v>210.96558794466404</v>
      </c>
      <c r="G93" s="278">
        <f>'Monthly Data'!BD93</f>
        <v>0</v>
      </c>
      <c r="H93" s="278">
        <f>'Monthly Data'!BG93</f>
        <v>228.28333333333333</v>
      </c>
      <c r="I93" s="18">
        <f>'Monthly Data'!CG93</f>
        <v>0.25</v>
      </c>
      <c r="J93" s="4">
        <f>'Monthly Data'!CD93</f>
        <v>31</v>
      </c>
      <c r="K93" s="24">
        <f>'Monthly Data'!K93</f>
        <v>4310</v>
      </c>
      <c r="M93" s="18"/>
      <c r="N93" s="18">
        <f ca="1">(E93-G93)*'GS&lt;50 Predicted Monthly'!$V$9</f>
        <v>4052.9003251362087</v>
      </c>
      <c r="O93" s="18">
        <f ca="1">(F93-H93)*'GS&lt;50 Predicted Monthly'!$V$10</f>
        <v>-218522.6308386793</v>
      </c>
      <c r="P93" s="18"/>
      <c r="Q93" s="18"/>
      <c r="R93" s="18"/>
      <c r="S93" s="280">
        <f t="shared" ca="1" si="11"/>
        <v>11937230.670382893</v>
      </c>
    </row>
    <row r="94" spans="1:19" x14ac:dyDescent="0.25">
      <c r="A94" s="3">
        <f>'Monthly Data'!A94</f>
        <v>44805</v>
      </c>
      <c r="B94" s="1">
        <f t="shared" si="8"/>
        <v>2022</v>
      </c>
      <c r="C94" s="1">
        <f t="shared" si="9"/>
        <v>9</v>
      </c>
      <c r="D94" s="268">
        <f>'Monthly Data'!J94</f>
        <v>10411655.904462164</v>
      </c>
      <c r="E94" s="278">
        <f t="shared" ca="1" si="12"/>
        <v>26.342536231884061</v>
      </c>
      <c r="F94" s="278">
        <f t="shared" ca="1" si="12"/>
        <v>106.4160119047619</v>
      </c>
      <c r="G94" s="278">
        <f>'Monthly Data'!BD94</f>
        <v>45.029166666666661</v>
      </c>
      <c r="H94" s="278">
        <f>'Monthly Data'!BG94</f>
        <v>94.054166666666674</v>
      </c>
      <c r="I94" s="18">
        <f>'Monthly Data'!CG94</f>
        <v>0.25</v>
      </c>
      <c r="J94" s="4">
        <f>'Monthly Data'!CD94</f>
        <v>30</v>
      </c>
      <c r="K94" s="24">
        <f>'Monthly Data'!K94</f>
        <v>4317</v>
      </c>
      <c r="M94" s="18"/>
      <c r="N94" s="18">
        <f ca="1">(E94-G94)*'GS&lt;50 Predicted Monthly'!$V$9</f>
        <v>-100923.99853170087</v>
      </c>
      <c r="O94" s="18">
        <f ca="1">(F94-H94)*'GS&lt;50 Predicted Monthly'!$V$10</f>
        <v>155986.98807620833</v>
      </c>
      <c r="P94" s="18"/>
      <c r="Q94" s="18"/>
      <c r="R94" s="18"/>
      <c r="S94" s="280">
        <f t="shared" ca="1" si="11"/>
        <v>10466718.894006671</v>
      </c>
    </row>
    <row r="95" spans="1:19" x14ac:dyDescent="0.25">
      <c r="A95" s="3">
        <f>'Monthly Data'!A95</f>
        <v>44835</v>
      </c>
      <c r="B95" s="1">
        <f t="shared" si="8"/>
        <v>2022</v>
      </c>
      <c r="C95" s="1">
        <f t="shared" si="9"/>
        <v>10</v>
      </c>
      <c r="D95" s="268">
        <f>'Monthly Data'!J95</f>
        <v>9828046.4671053123</v>
      </c>
      <c r="E95" s="278">
        <f t="shared" ca="1" si="12"/>
        <v>181.36347826086953</v>
      </c>
      <c r="F95" s="278">
        <f t="shared" ca="1" si="12"/>
        <v>17.987083333333334</v>
      </c>
      <c r="G95" s="278">
        <f>'Monthly Data'!BD95</f>
        <v>206.85561594202895</v>
      </c>
      <c r="H95" s="278">
        <f>'Monthly Data'!BG95</f>
        <v>2.4208333333333307</v>
      </c>
      <c r="I95" s="18">
        <f>'Monthly Data'!CG95</f>
        <v>0.25</v>
      </c>
      <c r="J95" s="4">
        <f>'Monthly Data'!CD95</f>
        <v>31</v>
      </c>
      <c r="K95" s="24">
        <f>'Monthly Data'!K95</f>
        <v>4318</v>
      </c>
      <c r="M95" s="18"/>
      <c r="N95" s="18">
        <f ca="1">(E95-G95)*'GS&lt;50 Predicted Monthly'!$V$9</f>
        <v>-137679.63544216051</v>
      </c>
      <c r="O95" s="18">
        <f ca="1">(F95-H95)*'GS&lt;50 Predicted Monthly'!$V$10</f>
        <v>196421.52173678376</v>
      </c>
      <c r="P95" s="18"/>
      <c r="Q95" s="18"/>
      <c r="R95" s="18"/>
      <c r="S95" s="280">
        <f t="shared" ca="1" si="11"/>
        <v>9886788.3533999361</v>
      </c>
    </row>
    <row r="96" spans="1:19" x14ac:dyDescent="0.25">
      <c r="A96" s="3">
        <f>'Monthly Data'!A96</f>
        <v>44866</v>
      </c>
      <c r="B96" s="1">
        <f t="shared" si="8"/>
        <v>2022</v>
      </c>
      <c r="C96" s="1">
        <f t="shared" si="9"/>
        <v>11</v>
      </c>
      <c r="D96" s="268">
        <f>'Monthly Data'!J96</f>
        <v>10674195.491496757</v>
      </c>
      <c r="E96" s="278">
        <f t="shared" ca="1" si="12"/>
        <v>366.78033055712399</v>
      </c>
      <c r="F96" s="278">
        <f t="shared" ca="1" si="12"/>
        <v>0.8083333333333329</v>
      </c>
      <c r="G96" s="278">
        <f>'Monthly Data'!BD96</f>
        <v>351.83333333333343</v>
      </c>
      <c r="H96" s="278">
        <f>'Monthly Data'!BG96</f>
        <v>2.3083333333333318</v>
      </c>
      <c r="I96" s="18">
        <f>'Monthly Data'!CG96</f>
        <v>0.25</v>
      </c>
      <c r="J96" s="4">
        <f>'Monthly Data'!CD96</f>
        <v>30</v>
      </c>
      <c r="K96" s="24">
        <f>'Monthly Data'!K96</f>
        <v>4330</v>
      </c>
      <c r="M96" s="18"/>
      <c r="N96" s="18">
        <f ca="1">(E96-G96)*'GS&lt;50 Predicted Monthly'!$V$9</f>
        <v>80726.738356171991</v>
      </c>
      <c r="O96" s="18">
        <f ca="1">(F96-H96)*'GS&lt;50 Predicted Monthly'!$V$10</f>
        <v>-18927.633990535636</v>
      </c>
      <c r="P96" s="18"/>
      <c r="Q96" s="18"/>
      <c r="R96" s="18"/>
      <c r="S96" s="280">
        <f t="shared" ca="1" si="11"/>
        <v>10735994.595862392</v>
      </c>
    </row>
    <row r="97" spans="1:23" x14ac:dyDescent="0.25">
      <c r="A97" s="3">
        <f>'Monthly Data'!A97</f>
        <v>44896</v>
      </c>
      <c r="B97" s="1">
        <f t="shared" si="8"/>
        <v>2022</v>
      </c>
      <c r="C97" s="1">
        <f t="shared" si="9"/>
        <v>12</v>
      </c>
      <c r="D97" s="268">
        <f>'Monthly Data'!J97</f>
        <v>12137450.090663463</v>
      </c>
      <c r="E97" s="278">
        <f t="shared" ca="1" si="12"/>
        <v>515.92800724637686</v>
      </c>
      <c r="F97" s="278">
        <f t="shared" ca="1" si="12"/>
        <v>0</v>
      </c>
      <c r="G97" s="278">
        <f>'Monthly Data'!BD97</f>
        <v>523.12083333333328</v>
      </c>
      <c r="H97" s="278">
        <f>'Monthly Data'!BG97</f>
        <v>0</v>
      </c>
      <c r="I97" s="18">
        <f>'Monthly Data'!CG97</f>
        <v>0.25</v>
      </c>
      <c r="J97" s="4">
        <f>'Monthly Data'!CD97</f>
        <v>31</v>
      </c>
      <c r="K97" s="24">
        <f>'Monthly Data'!K97</f>
        <v>4328</v>
      </c>
      <c r="M97" s="18"/>
      <c r="N97" s="18">
        <f ca="1">(E97-G97)*'GS&lt;50 Predicted Monthly'!$V$9</f>
        <v>-38847.494307349931</v>
      </c>
      <c r="O97" s="18">
        <f ca="1">(F97-H97)*'GS&lt;50 Predicted Monthly'!$V$10</f>
        <v>0</v>
      </c>
      <c r="P97" s="18"/>
      <c r="Q97" s="18"/>
      <c r="R97" s="18"/>
      <c r="S97" s="280">
        <f t="shared" ca="1" si="11"/>
        <v>12098602.596356113</v>
      </c>
    </row>
    <row r="98" spans="1:23" x14ac:dyDescent="0.25">
      <c r="A98" s="3">
        <f>'Monthly Data'!A98</f>
        <v>44927</v>
      </c>
      <c r="B98" s="1">
        <f t="shared" si="8"/>
        <v>2023</v>
      </c>
      <c r="C98" s="1">
        <f t="shared" si="9"/>
        <v>1</v>
      </c>
      <c r="D98" s="268">
        <f>'Monthly Data'!J98</f>
        <v>11900920.75694887</v>
      </c>
      <c r="E98" s="278">
        <f t="shared" ref="E98:F109" ca="1" si="13">E86</f>
        <v>635.33418478260876</v>
      </c>
      <c r="F98" s="278">
        <f t="shared" ca="1" si="13"/>
        <v>0</v>
      </c>
      <c r="G98" s="278">
        <f>'Monthly Data'!BD98</f>
        <v>542.07083333333333</v>
      </c>
      <c r="H98" s="278">
        <f>'Monthly Data'!BG98</f>
        <v>0</v>
      </c>
      <c r="I98" s="18">
        <f>'Monthly Data'!CG98</f>
        <v>0</v>
      </c>
      <c r="J98" s="4">
        <f>'Monthly Data'!CD98</f>
        <v>31</v>
      </c>
      <c r="K98" s="24">
        <f>'Monthly Data'!K98</f>
        <v>4326</v>
      </c>
      <c r="M98" s="18"/>
      <c r="N98" s="18">
        <f ca="1">(E98-G98)*'GS&lt;50 Predicted Monthly'!$V$9</f>
        <v>503702.9215929737</v>
      </c>
      <c r="O98" s="18">
        <f ca="1">(F98-H98)*'GS&lt;50 Predicted Monthly'!$V$10</f>
        <v>0</v>
      </c>
      <c r="P98" s="18"/>
      <c r="Q98" s="18"/>
      <c r="R98" s="18"/>
      <c r="S98" s="280">
        <f t="shared" ref="S98:S121" ca="1" si="14">D98+N98+O98</f>
        <v>12404623.678541843</v>
      </c>
    </row>
    <row r="99" spans="1:23" x14ac:dyDescent="0.25">
      <c r="A99" s="3">
        <f>'Monthly Data'!A99</f>
        <v>44958</v>
      </c>
      <c r="B99" s="1">
        <f t="shared" si="8"/>
        <v>2023</v>
      </c>
      <c r="C99" s="1">
        <f t="shared" si="9"/>
        <v>2</v>
      </c>
      <c r="D99" s="268">
        <f>'Monthly Data'!J99</f>
        <v>11268388.96174559</v>
      </c>
      <c r="E99" s="278">
        <f t="shared" ca="1" si="13"/>
        <v>567.65501811594208</v>
      </c>
      <c r="F99" s="278">
        <f t="shared" ca="1" si="13"/>
        <v>0</v>
      </c>
      <c r="G99" s="278">
        <f>'Monthly Data'!BD99</f>
        <v>517.43333333333328</v>
      </c>
      <c r="H99" s="278">
        <f>'Monthly Data'!BG99</f>
        <v>0</v>
      </c>
      <c r="I99" s="18">
        <f>'Monthly Data'!CG99</f>
        <v>0</v>
      </c>
      <c r="J99" s="4">
        <f>'Monthly Data'!CD99</f>
        <v>28</v>
      </c>
      <c r="K99" s="24">
        <f>'Monthly Data'!K99</f>
        <v>4326</v>
      </c>
      <c r="M99" s="18"/>
      <c r="N99" s="18">
        <f ca="1">(E99-G99)*'GS&lt;50 Predicted Monthly'!$V$9</f>
        <v>271240.6208786096</v>
      </c>
      <c r="O99" s="18">
        <f ca="1">(F99-H99)*'GS&lt;50 Predicted Monthly'!$V$10</f>
        <v>0</v>
      </c>
      <c r="P99" s="18"/>
      <c r="Q99" s="18"/>
      <c r="R99" s="18"/>
      <c r="S99" s="280">
        <f t="shared" ca="1" si="14"/>
        <v>11539629.582624199</v>
      </c>
    </row>
    <row r="100" spans="1:23" x14ac:dyDescent="0.25">
      <c r="A100" s="3">
        <f>'Monthly Data'!A100</f>
        <v>44986</v>
      </c>
      <c r="B100" s="1">
        <f t="shared" si="8"/>
        <v>2023</v>
      </c>
      <c r="C100" s="1">
        <f t="shared" si="9"/>
        <v>3</v>
      </c>
      <c r="D100" s="268">
        <f>'Monthly Data'!J100</f>
        <v>11816770.193896014</v>
      </c>
      <c r="E100" s="278">
        <f t="shared" ca="1" si="13"/>
        <v>484.13298913043479</v>
      </c>
      <c r="F100" s="278">
        <f t="shared" ca="1" si="13"/>
        <v>0</v>
      </c>
      <c r="G100" s="278">
        <f>'Monthly Data'!BD100</f>
        <v>489.03333333333336</v>
      </c>
      <c r="H100" s="278">
        <f>'Monthly Data'!BG100</f>
        <v>0</v>
      </c>
      <c r="I100" s="18">
        <f>'Monthly Data'!CG100</f>
        <v>0</v>
      </c>
      <c r="J100" s="4">
        <f>'Monthly Data'!CD100</f>
        <v>31</v>
      </c>
      <c r="K100" s="24">
        <f>'Monthly Data'!K100</f>
        <v>4323</v>
      </c>
      <c r="M100" s="18"/>
      <c r="N100" s="18">
        <f ca="1">(E100-G100)*'GS&lt;50 Predicted Monthly'!$V$9</f>
        <v>-26466.105425706057</v>
      </c>
      <c r="O100" s="18">
        <f ca="1">(F100-H100)*'GS&lt;50 Predicted Monthly'!$V$10</f>
        <v>0</v>
      </c>
      <c r="P100" s="18"/>
      <c r="Q100" s="18"/>
      <c r="R100" s="18"/>
      <c r="S100" s="280">
        <f t="shared" ca="1" si="14"/>
        <v>11790304.088470308</v>
      </c>
      <c r="V100" s="18"/>
      <c r="W100" s="285"/>
    </row>
    <row r="101" spans="1:23" x14ac:dyDescent="0.25">
      <c r="A101" s="3">
        <f>'Monthly Data'!A101</f>
        <v>45017</v>
      </c>
      <c r="B101" s="1">
        <f t="shared" si="8"/>
        <v>2023</v>
      </c>
      <c r="C101" s="1">
        <f t="shared" si="9"/>
        <v>4</v>
      </c>
      <c r="D101" s="268">
        <f>'Monthly Data'!J101</f>
        <v>9998588.696879793</v>
      </c>
      <c r="E101" s="278">
        <f t="shared" ca="1" si="13"/>
        <v>292.81107954545462</v>
      </c>
      <c r="F101" s="278">
        <f t="shared" ca="1" si="13"/>
        <v>2.1908333333333347</v>
      </c>
      <c r="G101" s="278">
        <f>'Monthly Data'!BD101</f>
        <v>243.15833333333336</v>
      </c>
      <c r="H101" s="278">
        <f>'Monthly Data'!BG101</f>
        <v>11.71666666666667</v>
      </c>
      <c r="I101" s="18">
        <f>'Monthly Data'!CG101</f>
        <v>0</v>
      </c>
      <c r="J101" s="4">
        <f>'Monthly Data'!CD101</f>
        <v>30</v>
      </c>
      <c r="K101" s="24">
        <f>'Monthly Data'!K101</f>
        <v>4324</v>
      </c>
      <c r="M101" s="18"/>
      <c r="N101" s="18">
        <f ca="1">(E101-G101)*'GS&lt;50 Predicted Monthly'!$V$9</f>
        <v>268167.85954515729</v>
      </c>
      <c r="O101" s="18">
        <f ca="1">(F101-H101)*'GS&lt;50 Predicted Monthly'!$V$10</f>
        <v>-120200.99119211837</v>
      </c>
      <c r="P101" s="18"/>
      <c r="Q101" s="18"/>
      <c r="R101" s="18"/>
      <c r="S101" s="280">
        <f t="shared" ca="1" si="14"/>
        <v>10146555.56523283</v>
      </c>
      <c r="V101" s="18"/>
      <c r="W101" s="285"/>
    </row>
    <row r="102" spans="1:23" x14ac:dyDescent="0.25">
      <c r="A102" s="3">
        <f>'Monthly Data'!A102</f>
        <v>45047</v>
      </c>
      <c r="B102" s="1">
        <f t="shared" si="8"/>
        <v>2023</v>
      </c>
      <c r="C102" s="1">
        <f t="shared" si="9"/>
        <v>5</v>
      </c>
      <c r="D102" s="268">
        <f>'Monthly Data'!J102</f>
        <v>10368100.884234048</v>
      </c>
      <c r="E102" s="278">
        <f t="shared" ca="1" si="13"/>
        <v>103.25939244851259</v>
      </c>
      <c r="F102" s="278">
        <f t="shared" ca="1" si="13"/>
        <v>52.487435064935063</v>
      </c>
      <c r="G102" s="278">
        <f>'Monthly Data'!BD102</f>
        <v>113.00166666666665</v>
      </c>
      <c r="H102" s="278">
        <f>'Monthly Data'!BG102</f>
        <v>37.345833333333331</v>
      </c>
      <c r="I102" s="18">
        <f>'Monthly Data'!CG102</f>
        <v>0</v>
      </c>
      <c r="J102" s="4">
        <f>'Monthly Data'!CD102</f>
        <v>31</v>
      </c>
      <c r="K102" s="24">
        <f>'Monthly Data'!K102</f>
        <v>4331</v>
      </c>
      <c r="M102" s="18"/>
      <c r="N102" s="18">
        <f ca="1">(E102-G102)*'GS&lt;50 Predicted Monthly'!$V$9</f>
        <v>-52616.723615310635</v>
      </c>
      <c r="O102" s="18">
        <f ca="1">(F102-H102)*'GS&lt;50 Predicted Monthly'!$V$10</f>
        <v>191063.1304041456</v>
      </c>
      <c r="P102" s="18"/>
      <c r="Q102" s="18"/>
      <c r="R102" s="18"/>
      <c r="S102" s="280">
        <f t="shared" ca="1" si="14"/>
        <v>10506547.291022884</v>
      </c>
      <c r="V102" s="18"/>
      <c r="W102" s="285"/>
    </row>
    <row r="103" spans="1:23" x14ac:dyDescent="0.25">
      <c r="A103" s="3">
        <f>'Monthly Data'!A103</f>
        <v>45078</v>
      </c>
      <c r="B103" s="1">
        <f t="shared" si="8"/>
        <v>2023</v>
      </c>
      <c r="C103" s="1">
        <f t="shared" si="9"/>
        <v>6</v>
      </c>
      <c r="D103" s="268">
        <f>'Monthly Data'!J103</f>
        <v>11121434.915861359</v>
      </c>
      <c r="E103" s="278">
        <f t="shared" ca="1" si="13"/>
        <v>11.89069871794872</v>
      </c>
      <c r="F103" s="278">
        <f t="shared" ca="1" si="13"/>
        <v>137.65451754405018</v>
      </c>
      <c r="G103" s="278">
        <f>'Monthly Data'!BD103</f>
        <v>4.2708333333333268</v>
      </c>
      <c r="H103" s="278">
        <f>'Monthly Data'!BG103</f>
        <v>145.54166666666666</v>
      </c>
      <c r="I103" s="18">
        <f>'Monthly Data'!CG103</f>
        <v>0</v>
      </c>
      <c r="J103" s="4">
        <f>'Monthly Data'!CD103</f>
        <v>30</v>
      </c>
      <c r="K103" s="24">
        <f>'Monthly Data'!K103</f>
        <v>4427</v>
      </c>
      <c r="M103" s="18"/>
      <c r="N103" s="18">
        <f ca="1">(E103-G103)*'GS&lt;50 Predicted Monthly'!$V$9</f>
        <v>41153.876594960821</v>
      </c>
      <c r="O103" s="18">
        <f ca="1">(F103-H103)*'GS&lt;50 Predicted Monthly'!$V$10</f>
        <v>-99523.381214439389</v>
      </c>
      <c r="P103" s="18"/>
      <c r="Q103" s="18"/>
      <c r="R103" s="18"/>
      <c r="S103" s="280">
        <f t="shared" ca="1" si="14"/>
        <v>11063065.41124188</v>
      </c>
      <c r="V103" s="18"/>
      <c r="W103" s="285"/>
    </row>
    <row r="104" spans="1:23" x14ac:dyDescent="0.25">
      <c r="A104" s="3">
        <f>'Monthly Data'!A104</f>
        <v>45108</v>
      </c>
      <c r="B104" s="1">
        <f t="shared" si="8"/>
        <v>2023</v>
      </c>
      <c r="C104" s="1">
        <f t="shared" si="9"/>
        <v>7</v>
      </c>
      <c r="D104" s="268">
        <f>'Monthly Data'!J104</f>
        <v>12543088.678410012</v>
      </c>
      <c r="E104" s="278">
        <f t="shared" ca="1" si="13"/>
        <v>7.4583333333333002E-2</v>
      </c>
      <c r="F104" s="278">
        <f t="shared" ca="1" si="13"/>
        <v>235.94737858727848</v>
      </c>
      <c r="G104" s="278">
        <f>'Monthly Data'!BD104</f>
        <v>0</v>
      </c>
      <c r="H104" s="278">
        <f>'Monthly Data'!BG104</f>
        <v>223.78333333333336</v>
      </c>
      <c r="I104" s="18">
        <f>'Monthly Data'!CG104</f>
        <v>0</v>
      </c>
      <c r="J104" s="4">
        <f>'Monthly Data'!CD104</f>
        <v>31</v>
      </c>
      <c r="K104" s="24">
        <f>'Monthly Data'!K104</f>
        <v>4428</v>
      </c>
      <c r="M104" s="18"/>
      <c r="N104" s="18">
        <f ca="1">(E104-G104)*'GS&lt;50 Predicted Monthly'!$V$9</f>
        <v>402.81463531336908</v>
      </c>
      <c r="O104" s="18">
        <f ca="1">(F104-H104)*'GS&lt;50 Predicted Monthly'!$V$10</f>
        <v>153491.06427399034</v>
      </c>
      <c r="P104" s="18"/>
      <c r="Q104" s="18"/>
      <c r="R104" s="18"/>
      <c r="S104" s="280">
        <f t="shared" ca="1" si="14"/>
        <v>12696982.557319317</v>
      </c>
      <c r="V104" s="18"/>
      <c r="W104" s="285"/>
    </row>
    <row r="105" spans="1:23" x14ac:dyDescent="0.25">
      <c r="A105" s="3">
        <f>'Monthly Data'!A105</f>
        <v>45139</v>
      </c>
      <c r="B105" s="1">
        <f t="shared" si="8"/>
        <v>2023</v>
      </c>
      <c r="C105" s="1">
        <f t="shared" si="9"/>
        <v>8</v>
      </c>
      <c r="D105" s="268">
        <f>'Monthly Data'!J105</f>
        <v>11738596.573525636</v>
      </c>
      <c r="E105" s="278">
        <f t="shared" ca="1" si="13"/>
        <v>0.75041666666666718</v>
      </c>
      <c r="F105" s="278">
        <f t="shared" ca="1" si="13"/>
        <v>210.96558794466404</v>
      </c>
      <c r="G105" s="278">
        <f>'Monthly Data'!BD105</f>
        <v>1.6125000000000007</v>
      </c>
      <c r="H105" s="278">
        <f>'Monthly Data'!BG105</f>
        <v>165.80489130434788</v>
      </c>
      <c r="I105" s="18">
        <f>'Monthly Data'!CG105</f>
        <v>0</v>
      </c>
      <c r="J105" s="4">
        <f>'Monthly Data'!CD105</f>
        <v>31</v>
      </c>
      <c r="K105" s="24">
        <f>'Monthly Data'!K105</f>
        <v>4431</v>
      </c>
      <c r="M105" s="18"/>
      <c r="N105" s="18">
        <f ca="1">(E105-G105)*'GS&lt;50 Predicted Monthly'!$V$9</f>
        <v>-4655.9970975606957</v>
      </c>
      <c r="O105" s="18">
        <f ca="1">(F105-H105)*'GS&lt;50 Predicted Monthly'!$V$10</f>
        <v>569856.75784367824</v>
      </c>
      <c r="P105" s="18"/>
      <c r="Q105" s="18"/>
      <c r="R105" s="18"/>
      <c r="S105" s="280">
        <f t="shared" ca="1" si="14"/>
        <v>12303797.334271753</v>
      </c>
      <c r="V105" s="18"/>
      <c r="W105" s="285"/>
    </row>
    <row r="106" spans="1:23" x14ac:dyDescent="0.25">
      <c r="A106" s="3">
        <f>'Monthly Data'!A106</f>
        <v>45170</v>
      </c>
      <c r="B106" s="1">
        <f t="shared" si="8"/>
        <v>2023</v>
      </c>
      <c r="C106" s="1">
        <f t="shared" si="9"/>
        <v>9</v>
      </c>
      <c r="D106" s="268">
        <f>'Monthly Data'!J106</f>
        <v>10870998.545935581</v>
      </c>
      <c r="E106" s="278">
        <f t="shared" ca="1" si="13"/>
        <v>26.342536231884061</v>
      </c>
      <c r="F106" s="278">
        <f t="shared" ca="1" si="13"/>
        <v>106.4160119047619</v>
      </c>
      <c r="G106" s="278">
        <f>'Monthly Data'!BD106</f>
        <v>15.216666666666669</v>
      </c>
      <c r="H106" s="278">
        <f>'Monthly Data'!BG106</f>
        <v>105.35</v>
      </c>
      <c r="I106" s="18">
        <f>'Monthly Data'!CG106</f>
        <v>0</v>
      </c>
      <c r="J106" s="4">
        <f>'Monthly Data'!CD106</f>
        <v>30</v>
      </c>
      <c r="K106" s="24">
        <f>'Monthly Data'!K106</f>
        <v>4430</v>
      </c>
      <c r="M106" s="18"/>
      <c r="N106" s="18">
        <f ca="1">(E106-G106)*'GS&lt;50 Predicted Monthly'!$V$9</f>
        <v>60089.337539090629</v>
      </c>
      <c r="O106" s="18">
        <f ca="1">(F106-H106)*'GS&lt;50 Predicted Monthly'!$V$10</f>
        <v>13451.38877525809</v>
      </c>
      <c r="P106" s="18"/>
      <c r="Q106" s="18"/>
      <c r="R106" s="18"/>
      <c r="S106" s="280">
        <f t="shared" ca="1" si="14"/>
        <v>10944539.272249928</v>
      </c>
      <c r="V106" s="18"/>
      <c r="W106" s="285"/>
    </row>
    <row r="107" spans="1:23" x14ac:dyDescent="0.25">
      <c r="A107" s="3">
        <f>'Monthly Data'!A107</f>
        <v>45200</v>
      </c>
      <c r="B107" s="1">
        <f t="shared" si="8"/>
        <v>2023</v>
      </c>
      <c r="C107" s="1">
        <f t="shared" si="9"/>
        <v>10</v>
      </c>
      <c r="D107" s="268">
        <f>'Monthly Data'!J107</f>
        <v>10590140.294759065</v>
      </c>
      <c r="E107" s="278">
        <f t="shared" ca="1" si="13"/>
        <v>181.36347826086953</v>
      </c>
      <c r="F107" s="278">
        <f t="shared" ca="1" si="13"/>
        <v>17.987083333333334</v>
      </c>
      <c r="G107" s="278">
        <f>'Monthly Data'!BD107</f>
        <v>157.42916666666665</v>
      </c>
      <c r="H107" s="278">
        <f>'Monthly Data'!BG107</f>
        <v>35.333333333333343</v>
      </c>
      <c r="I107" s="18">
        <f>'Monthly Data'!CG107</f>
        <v>0</v>
      </c>
      <c r="J107" s="4">
        <f>'Monthly Data'!CD107</f>
        <v>31</v>
      </c>
      <c r="K107" s="24">
        <f>'Monthly Data'!K107</f>
        <v>4441</v>
      </c>
      <c r="M107" s="18"/>
      <c r="N107" s="18">
        <f ca="1">(E107-G107)*'GS&lt;50 Predicted Monthly'!$V$9</f>
        <v>129266.02453133521</v>
      </c>
      <c r="O107" s="18">
        <f ca="1">(F107-H107)*'GS&lt;50 Predicted Monthly'!$V$10</f>
        <v>-218882.31407221945</v>
      </c>
      <c r="P107" s="18"/>
      <c r="Q107" s="18"/>
      <c r="R107" s="18"/>
      <c r="S107" s="280">
        <f t="shared" ca="1" si="14"/>
        <v>10500524.00521818</v>
      </c>
      <c r="V107" s="18"/>
      <c r="W107" s="285"/>
    </row>
    <row r="108" spans="1:23" x14ac:dyDescent="0.25">
      <c r="A108" s="3">
        <f>'Monthly Data'!A108</f>
        <v>45231</v>
      </c>
      <c r="B108" s="1">
        <f t="shared" si="8"/>
        <v>2023</v>
      </c>
      <c r="C108" s="1">
        <f t="shared" si="9"/>
        <v>11</v>
      </c>
      <c r="D108" s="268">
        <f>'Monthly Data'!J108</f>
        <v>11131893.18689983</v>
      </c>
      <c r="E108" s="278">
        <f t="shared" ca="1" si="13"/>
        <v>366.78033055712399</v>
      </c>
      <c r="F108" s="278">
        <f t="shared" ca="1" si="13"/>
        <v>0.8083333333333329</v>
      </c>
      <c r="G108" s="278">
        <f>'Monthly Data'!BD108</f>
        <v>390.59311594202899</v>
      </c>
      <c r="H108" s="278">
        <f>'Monthly Data'!BG108</f>
        <v>0</v>
      </c>
      <c r="I108" s="18">
        <f>'Monthly Data'!CG108</f>
        <v>0</v>
      </c>
      <c r="J108" s="4">
        <f>'Monthly Data'!CD108</f>
        <v>30</v>
      </c>
      <c r="K108" s="24">
        <f>'Monthly Data'!K108</f>
        <v>4460</v>
      </c>
      <c r="M108" s="18"/>
      <c r="N108" s="18">
        <f ca="1">(E108-G108)*'GS&lt;50 Predicted Monthly'!$V$9</f>
        <v>-128609.67768423786</v>
      </c>
      <c r="O108" s="18">
        <f ca="1">(F108-H108)*'GS&lt;50 Predicted Monthly'!$V$10</f>
        <v>10199.891650455318</v>
      </c>
      <c r="P108" s="18"/>
      <c r="Q108" s="18"/>
      <c r="R108" s="18"/>
      <c r="S108" s="280">
        <f t="shared" ca="1" si="14"/>
        <v>11013483.400866047</v>
      </c>
      <c r="V108" s="18"/>
      <c r="W108" s="285"/>
    </row>
    <row r="109" spans="1:23" x14ac:dyDescent="0.25">
      <c r="A109" s="3">
        <f>'Monthly Data'!A109</f>
        <v>45261</v>
      </c>
      <c r="B109" s="1">
        <f t="shared" si="8"/>
        <v>2023</v>
      </c>
      <c r="C109" s="1">
        <f t="shared" si="9"/>
        <v>12</v>
      </c>
      <c r="D109" s="268">
        <f>'Monthly Data'!J109</f>
        <v>12209513.170633033</v>
      </c>
      <c r="E109" s="278">
        <f t="shared" ca="1" si="13"/>
        <v>515.92800724637686</v>
      </c>
      <c r="F109" s="278">
        <f t="shared" ca="1" si="13"/>
        <v>0</v>
      </c>
      <c r="G109" s="278">
        <f>'Monthly Data'!BD109</f>
        <v>427.67916666666667</v>
      </c>
      <c r="H109" s="278">
        <f>'Monthly Data'!BG109</f>
        <v>0</v>
      </c>
      <c r="I109" s="18">
        <f>'Monthly Data'!CG109</f>
        <v>0</v>
      </c>
      <c r="J109" s="4">
        <f>'Monthly Data'!CD109</f>
        <v>31</v>
      </c>
      <c r="K109" s="24">
        <f>'Monthly Data'!K109</f>
        <v>4474</v>
      </c>
      <c r="M109" s="18"/>
      <c r="N109" s="18">
        <f ca="1">(E109-G109)*'GS&lt;50 Predicted Monthly'!$V$9</f>
        <v>476620.21722829627</v>
      </c>
      <c r="O109" s="18">
        <f ca="1">(F109-H109)*'GS&lt;50 Predicted Monthly'!$V$10</f>
        <v>0</v>
      </c>
      <c r="P109" s="18"/>
      <c r="Q109" s="18"/>
      <c r="R109" s="18"/>
      <c r="S109" s="280">
        <f t="shared" ca="1" si="14"/>
        <v>12686133.38786133</v>
      </c>
      <c r="V109" s="18"/>
      <c r="W109" s="285"/>
    </row>
    <row r="110" spans="1:23" x14ac:dyDescent="0.25">
      <c r="A110" s="3">
        <f>'Monthly Data'!A110</f>
        <v>45292</v>
      </c>
      <c r="B110" s="1">
        <f t="shared" si="8"/>
        <v>2024</v>
      </c>
      <c r="C110" s="1">
        <f t="shared" si="9"/>
        <v>1</v>
      </c>
      <c r="D110" s="268">
        <f>'Monthly Data'!J110</f>
        <v>13021208.279869974</v>
      </c>
      <c r="E110" s="278">
        <f t="shared" ref="E110:F121" ca="1" si="15">E98</f>
        <v>635.33418478260876</v>
      </c>
      <c r="F110" s="278">
        <f t="shared" ca="1" si="15"/>
        <v>0</v>
      </c>
      <c r="G110" s="278">
        <f>'Monthly Data'!BD110</f>
        <v>574.99583333333339</v>
      </c>
      <c r="H110" s="278">
        <f>'Monthly Data'!BG110</f>
        <v>0</v>
      </c>
      <c r="I110" s="18">
        <f>'Monthly Data'!CG110</f>
        <v>0</v>
      </c>
      <c r="J110" s="4">
        <f>'Monthly Data'!CD110</f>
        <v>31</v>
      </c>
      <c r="K110" s="24">
        <f>'Monthly Data'!K110</f>
        <v>4429</v>
      </c>
      <c r="M110" s="18"/>
      <c r="N110" s="18">
        <f ca="1">(E110-G110)*'GS&lt;50 Predicted Monthly'!$V$9</f>
        <v>325879.38817139476</v>
      </c>
      <c r="O110" s="18">
        <f ca="1">(F110-H110)*'GS&lt;50 Predicted Monthly'!$V$10</f>
        <v>0</v>
      </c>
      <c r="P110" s="18"/>
      <c r="Q110" s="18"/>
      <c r="R110" s="18"/>
      <c r="S110" s="280">
        <f t="shared" ca="1" si="14"/>
        <v>13347087.668041369</v>
      </c>
      <c r="U110" s="268"/>
      <c r="V110" s="18"/>
      <c r="W110" s="285"/>
    </row>
    <row r="111" spans="1:23" x14ac:dyDescent="0.25">
      <c r="A111" s="3">
        <f>'Monthly Data'!A111</f>
        <v>45323</v>
      </c>
      <c r="B111" s="1">
        <f t="shared" si="8"/>
        <v>2024</v>
      </c>
      <c r="C111" s="1">
        <f t="shared" si="9"/>
        <v>2</v>
      </c>
      <c r="D111" s="268">
        <f>'Monthly Data'!J111</f>
        <v>11818521.553522315</v>
      </c>
      <c r="E111" s="278">
        <f t="shared" ca="1" si="15"/>
        <v>567.65501811594208</v>
      </c>
      <c r="F111" s="278">
        <f t="shared" ca="1" si="15"/>
        <v>0</v>
      </c>
      <c r="G111" s="278">
        <f>'Monthly Data'!BD111</f>
        <v>484.96666666666658</v>
      </c>
      <c r="H111" s="278">
        <f>'Monthly Data'!BG111</f>
        <v>0</v>
      </c>
      <c r="I111" s="18">
        <f>'Monthly Data'!CG111</f>
        <v>0</v>
      </c>
      <c r="J111" s="4">
        <f>'Monthly Data'!CD111</f>
        <v>29</v>
      </c>
      <c r="K111" s="24">
        <f>'Monthly Data'!K111</f>
        <v>4427</v>
      </c>
      <c r="M111" s="18"/>
      <c r="N111" s="18">
        <f ca="1">(E111-G111)*'GS&lt;50 Predicted Monthly'!$V$9</f>
        <v>446588.75709993858</v>
      </c>
      <c r="O111" s="18">
        <f ca="1">(F111-H111)*'GS&lt;50 Predicted Monthly'!$V$10</f>
        <v>0</v>
      </c>
      <c r="P111" s="18"/>
      <c r="Q111" s="18"/>
      <c r="R111" s="18"/>
      <c r="S111" s="280">
        <f t="shared" ca="1" si="14"/>
        <v>12265110.310622253</v>
      </c>
      <c r="U111" s="268"/>
      <c r="V111" s="18"/>
      <c r="W111" s="285"/>
    </row>
    <row r="112" spans="1:23" x14ac:dyDescent="0.25">
      <c r="A112" s="3">
        <f>'Monthly Data'!A112</f>
        <v>45352</v>
      </c>
      <c r="B112" s="1">
        <f t="shared" si="8"/>
        <v>2024</v>
      </c>
      <c r="C112" s="1">
        <f t="shared" si="9"/>
        <v>3</v>
      </c>
      <c r="D112" s="268">
        <f>'Monthly Data'!J112</f>
        <v>11858526.827174658</v>
      </c>
      <c r="E112" s="278">
        <f t="shared" ca="1" si="15"/>
        <v>484.13298913043479</v>
      </c>
      <c r="F112" s="278">
        <f t="shared" ca="1" si="15"/>
        <v>0</v>
      </c>
      <c r="G112" s="278">
        <f>'Monthly Data'!BD112</f>
        <v>398.11250000000001</v>
      </c>
      <c r="H112" s="278">
        <f>'Monthly Data'!BG112</f>
        <v>0</v>
      </c>
      <c r="I112" s="18">
        <f>'Monthly Data'!CG112</f>
        <v>0</v>
      </c>
      <c r="J112" s="4">
        <f>'Monthly Data'!CD112</f>
        <v>31</v>
      </c>
      <c r="K112" s="24">
        <f>'Monthly Data'!K112</f>
        <v>4431</v>
      </c>
      <c r="M112" s="18"/>
      <c r="N112" s="18">
        <f ca="1">(E112-G112)*'GS&lt;50 Predicted Monthly'!$V$9</f>
        <v>464585.18827111332</v>
      </c>
      <c r="O112" s="18">
        <f ca="1">(F112-H112)*'GS&lt;50 Predicted Monthly'!$V$10</f>
        <v>0</v>
      </c>
      <c r="P112" s="18"/>
      <c r="Q112" s="18"/>
      <c r="R112" s="18"/>
      <c r="S112" s="280">
        <f t="shared" ca="1" si="14"/>
        <v>12323112.015445771</v>
      </c>
      <c r="U112" s="268"/>
    </row>
    <row r="113" spans="1:22" x14ac:dyDescent="0.25">
      <c r="A113" s="3">
        <f>'Monthly Data'!A113</f>
        <v>45383</v>
      </c>
      <c r="B113" s="1">
        <f t="shared" si="8"/>
        <v>2024</v>
      </c>
      <c r="C113" s="1">
        <f t="shared" si="9"/>
        <v>4</v>
      </c>
      <c r="D113" s="268">
        <f>'Monthly Data'!J113</f>
        <v>10824886.100827001</v>
      </c>
      <c r="E113" s="278">
        <f t="shared" ca="1" si="15"/>
        <v>292.81107954545462</v>
      </c>
      <c r="F113" s="278">
        <f t="shared" ca="1" si="15"/>
        <v>2.1908333333333347</v>
      </c>
      <c r="G113" s="278">
        <f>'Monthly Data'!BD113</f>
        <v>248.29791666666665</v>
      </c>
      <c r="H113" s="278">
        <f>'Monthly Data'!BG113</f>
        <v>0</v>
      </c>
      <c r="I113" s="18">
        <f>'Monthly Data'!CG113</f>
        <v>0</v>
      </c>
      <c r="J113" s="4">
        <f>'Monthly Data'!CD113</f>
        <v>30</v>
      </c>
      <c r="K113" s="24">
        <f>'Monthly Data'!K113</f>
        <v>4433</v>
      </c>
      <c r="M113" s="18"/>
      <c r="N113" s="18">
        <f ca="1">(E113-G113)*'GS&lt;50 Predicted Monthly'!$V$9</f>
        <v>240409.65548599311</v>
      </c>
      <c r="O113" s="18">
        <f ca="1">(F113-H113)*'GS&lt;50 Predicted Monthly'!$V$10</f>
        <v>27644.860978399032</v>
      </c>
      <c r="P113" s="18"/>
      <c r="Q113" s="18"/>
      <c r="R113" s="18"/>
      <c r="S113" s="280">
        <f t="shared" ca="1" si="14"/>
        <v>11092940.617291393</v>
      </c>
      <c r="U113" s="268"/>
      <c r="V113" s="18"/>
    </row>
    <row r="114" spans="1:22" x14ac:dyDescent="0.25">
      <c r="A114" s="3">
        <f>'Monthly Data'!A114</f>
        <v>45413</v>
      </c>
      <c r="B114" s="1">
        <f t="shared" si="8"/>
        <v>2024</v>
      </c>
      <c r="C114" s="1">
        <f t="shared" si="9"/>
        <v>5</v>
      </c>
      <c r="D114" s="268">
        <f>'Monthly Data'!J114</f>
        <v>10836231.374479344</v>
      </c>
      <c r="E114" s="278">
        <f t="shared" ca="1" si="15"/>
        <v>103.25939244851259</v>
      </c>
      <c r="F114" s="278">
        <f t="shared" ca="1" si="15"/>
        <v>52.487435064935063</v>
      </c>
      <c r="G114" s="278">
        <f>'Monthly Data'!BD114</f>
        <v>44.158333333333317</v>
      </c>
      <c r="H114" s="278">
        <f>'Monthly Data'!BG114</f>
        <v>60.691666666666663</v>
      </c>
      <c r="I114" s="18">
        <f>'Monthly Data'!CG114</f>
        <v>0</v>
      </c>
      <c r="J114" s="4">
        <f>'Monthly Data'!CD114</f>
        <v>31</v>
      </c>
      <c r="K114" s="24">
        <f>'Monthly Data'!K114</f>
        <v>4438</v>
      </c>
      <c r="M114" s="18"/>
      <c r="N114" s="18">
        <f ca="1">(E114-G114)*'GS&lt;50 Predicted Monthly'!$V$9</f>
        <v>319196.93730656861</v>
      </c>
      <c r="O114" s="18">
        <f ca="1">(F114-H114)*'GS&lt;50 Predicted Monthly'!$V$10</f>
        <v>-103524.46195410784</v>
      </c>
      <c r="P114" s="18"/>
      <c r="Q114" s="18"/>
      <c r="R114" s="18"/>
      <c r="S114" s="280">
        <f t="shared" ca="1" si="14"/>
        <v>11051903.849831805</v>
      </c>
      <c r="U114" s="268"/>
      <c r="V114" s="18"/>
    </row>
    <row r="115" spans="1:22" x14ac:dyDescent="0.25">
      <c r="A115" s="3">
        <f>'Monthly Data'!A115</f>
        <v>45444</v>
      </c>
      <c r="B115" s="1">
        <f t="shared" si="8"/>
        <v>2024</v>
      </c>
      <c r="C115" s="1">
        <f t="shared" si="9"/>
        <v>6</v>
      </c>
      <c r="D115" s="268">
        <f>'Monthly Data'!J115</f>
        <v>11568243.648131687</v>
      </c>
      <c r="E115" s="278">
        <f t="shared" ca="1" si="15"/>
        <v>11.89069871794872</v>
      </c>
      <c r="F115" s="278">
        <f t="shared" ca="1" si="15"/>
        <v>137.65451754405018</v>
      </c>
      <c r="G115" s="278">
        <f>'Monthly Data'!BD115</f>
        <v>10.312499999999995</v>
      </c>
      <c r="H115" s="278">
        <f>'Monthly Data'!BG115</f>
        <v>146.61250000000007</v>
      </c>
      <c r="I115" s="18">
        <f>'Monthly Data'!CG115</f>
        <v>0</v>
      </c>
      <c r="J115" s="4">
        <f>'Monthly Data'!CD115</f>
        <v>30</v>
      </c>
      <c r="K115" s="24">
        <f>'Monthly Data'!K115</f>
        <v>4437</v>
      </c>
      <c r="M115" s="18"/>
      <c r="N115" s="18">
        <f ca="1">(E115-G115)*'GS&lt;50 Predicted Monthly'!$V$9</f>
        <v>8523.640773486637</v>
      </c>
      <c r="O115" s="18">
        <f ca="1">(F115-H115)*'GS&lt;50 Predicted Monthly'!$V$10</f>
        <v>-113035.60881323944</v>
      </c>
      <c r="P115" s="18"/>
      <c r="Q115" s="18"/>
      <c r="R115" s="18"/>
      <c r="S115" s="280">
        <f t="shared" ca="1" si="14"/>
        <v>11463731.680091934</v>
      </c>
      <c r="U115" s="268"/>
      <c r="V115" s="18"/>
    </row>
    <row r="116" spans="1:22" x14ac:dyDescent="0.25">
      <c r="A116" s="3">
        <v>45474</v>
      </c>
      <c r="B116" s="1">
        <f t="shared" ref="B116:B133" si="16">YEAR(A116)</f>
        <v>2024</v>
      </c>
      <c r="C116" s="1">
        <f t="shared" ref="C116:C133" si="17">MONTH(A116)</f>
        <v>7</v>
      </c>
      <c r="D116" s="268">
        <f>'Monthly Data'!J116</f>
        <v>13208076.921784028</v>
      </c>
      <c r="E116" s="278">
        <f t="shared" ca="1" si="15"/>
        <v>7.4583333333333002E-2</v>
      </c>
      <c r="F116" s="278">
        <f t="shared" ca="1" si="15"/>
        <v>235.94737858727848</v>
      </c>
      <c r="G116" s="278">
        <f>'Monthly Data'!BD116</f>
        <v>0</v>
      </c>
      <c r="H116" s="278">
        <f>'Monthly Data'!BG116</f>
        <v>241.14166666666668</v>
      </c>
      <c r="I116" s="18">
        <f>'Monthly Data'!CG116</f>
        <v>0</v>
      </c>
      <c r="J116" s="4">
        <f>'Monthly Data'!CD116</f>
        <v>31</v>
      </c>
      <c r="K116" s="24">
        <f>'Monthly Data'!K116</f>
        <v>4438</v>
      </c>
      <c r="M116" s="18"/>
      <c r="N116" s="18">
        <f ca="1">(E116-G116)*'GS&lt;50 Predicted Monthly'!$V$9</f>
        <v>402.81463531336908</v>
      </c>
      <c r="O116" s="18">
        <f ca="1">(F116-H116)*'GS&lt;50 Predicted Monthly'!$V$10</f>
        <v>-65543.722405374836</v>
      </c>
      <c r="P116" s="18"/>
      <c r="Q116" s="18"/>
      <c r="R116" s="18"/>
      <c r="S116" s="280">
        <f t="shared" ca="1" si="14"/>
        <v>13142936.014013968</v>
      </c>
      <c r="V116" s="18"/>
    </row>
    <row r="117" spans="1:22" x14ac:dyDescent="0.25">
      <c r="A117" s="3">
        <v>45505</v>
      </c>
      <c r="B117" s="1">
        <f t="shared" si="16"/>
        <v>2024</v>
      </c>
      <c r="C117" s="1">
        <f t="shared" si="17"/>
        <v>8</v>
      </c>
      <c r="D117" s="268">
        <f>'Monthly Data'!J117</f>
        <v>12544661.195436371</v>
      </c>
      <c r="E117" s="278">
        <f t="shared" ca="1" si="15"/>
        <v>0.75041666666666718</v>
      </c>
      <c r="F117" s="278">
        <f t="shared" ca="1" si="15"/>
        <v>210.96558794466404</v>
      </c>
      <c r="G117" s="278">
        <f>'Monthly Data'!BD117</f>
        <v>1.7583333333333346</v>
      </c>
      <c r="H117" s="278">
        <f>'Monthly Data'!BG117</f>
        <v>200.86666666666665</v>
      </c>
      <c r="I117" s="18">
        <f>'Monthly Data'!CG117</f>
        <v>0</v>
      </c>
      <c r="J117" s="4">
        <f>'Monthly Data'!CD117</f>
        <v>31</v>
      </c>
      <c r="K117" s="24">
        <f>'Monthly Data'!K117</f>
        <v>4440</v>
      </c>
      <c r="M117" s="18"/>
      <c r="N117" s="18">
        <f ca="1">(E117-G117)*'GS&lt;50 Predicted Monthly'!$V$9</f>
        <v>-5443.6234794583515</v>
      </c>
      <c r="O117" s="18">
        <f ca="1">(F117-H117)*'GS&lt;50 Predicted Monthly'!$V$10</f>
        <v>127432.45709944477</v>
      </c>
      <c r="P117" s="18"/>
      <c r="Q117" s="18"/>
      <c r="R117" s="18"/>
      <c r="S117" s="280">
        <f t="shared" ca="1" si="14"/>
        <v>12666650.029056359</v>
      </c>
      <c r="V117" s="18"/>
    </row>
    <row r="118" spans="1:22" x14ac:dyDescent="0.25">
      <c r="A118" s="3">
        <v>45536</v>
      </c>
      <c r="B118" s="1">
        <f t="shared" si="16"/>
        <v>2024</v>
      </c>
      <c r="C118" s="1">
        <f t="shared" si="17"/>
        <v>9</v>
      </c>
      <c r="D118" s="268">
        <f>'Monthly Data'!J118</f>
        <v>11181801.469088715</v>
      </c>
      <c r="E118" s="278">
        <f t="shared" ca="1" si="15"/>
        <v>26.342536231884061</v>
      </c>
      <c r="F118" s="278">
        <f t="shared" ca="1" si="15"/>
        <v>106.4160119047619</v>
      </c>
      <c r="G118" s="278">
        <f>'Monthly Data'!BD118</f>
        <v>10.920833333333333</v>
      </c>
      <c r="H118" s="278">
        <f>'Monthly Data'!BG118</f>
        <v>113.86250000000001</v>
      </c>
      <c r="I118" s="18">
        <f>'Monthly Data'!CG118</f>
        <v>0</v>
      </c>
      <c r="J118" s="4">
        <f>'Monthly Data'!CD118</f>
        <v>30</v>
      </c>
      <c r="K118" s="24">
        <f>'Monthly Data'!K118</f>
        <v>4445</v>
      </c>
      <c r="M118" s="18"/>
      <c r="N118" s="18">
        <f ca="1">(E118-G118)*'GS&lt;50 Predicted Monthly'!$V$9</f>
        <v>83290.560388704354</v>
      </c>
      <c r="O118" s="18">
        <f ca="1">(F118-H118)*'GS&lt;50 Predicted Monthly'!$V$10</f>
        <v>-93962.93412103194</v>
      </c>
      <c r="P118" s="18"/>
      <c r="Q118" s="18"/>
      <c r="R118" s="18"/>
      <c r="S118" s="280">
        <f t="shared" ca="1" si="14"/>
        <v>11171129.095356388</v>
      </c>
      <c r="V118" s="18"/>
    </row>
    <row r="119" spans="1:22" x14ac:dyDescent="0.25">
      <c r="A119" s="3">
        <v>45566</v>
      </c>
      <c r="B119" s="1">
        <f t="shared" si="16"/>
        <v>2024</v>
      </c>
      <c r="C119" s="1">
        <f t="shared" si="17"/>
        <v>10</v>
      </c>
      <c r="D119" s="268">
        <f>'Monthly Data'!J119</f>
        <v>10551404.742741058</v>
      </c>
      <c r="E119" s="278">
        <f t="shared" ca="1" si="15"/>
        <v>181.36347826086953</v>
      </c>
      <c r="F119" s="278">
        <f t="shared" ca="1" si="15"/>
        <v>17.987083333333334</v>
      </c>
      <c r="G119" s="278">
        <f>'Monthly Data'!BD119</f>
        <v>174.98749999999998</v>
      </c>
      <c r="H119" s="278">
        <f>'Monthly Data'!BG119</f>
        <v>12.120833333333337</v>
      </c>
      <c r="I119" s="18">
        <f>'Monthly Data'!CG119</f>
        <v>0</v>
      </c>
      <c r="J119" s="4">
        <f>'Monthly Data'!CD119</f>
        <v>31</v>
      </c>
      <c r="K119" s="24">
        <f>'Monthly Data'!K119</f>
        <v>4447</v>
      </c>
      <c r="M119" s="18"/>
      <c r="N119" s="18">
        <f ca="1">(E119-G119)*'GS&lt;50 Predicted Monthly'!$V$9</f>
        <v>34435.808150857825</v>
      </c>
      <c r="O119" s="18">
        <f ca="1">(F119-H119)*'GS&lt;50 Predicted Monthly'!$V$10</f>
        <v>74022.821931319806</v>
      </c>
      <c r="P119" s="18"/>
      <c r="Q119" s="18"/>
      <c r="R119" s="18"/>
      <c r="S119" s="280">
        <f t="shared" ca="1" si="14"/>
        <v>10659863.372823235</v>
      </c>
      <c r="V119" s="18"/>
    </row>
    <row r="120" spans="1:22" x14ac:dyDescent="0.25">
      <c r="A120" s="3">
        <v>45597</v>
      </c>
      <c r="B120" s="1">
        <f t="shared" si="16"/>
        <v>2024</v>
      </c>
      <c r="C120" s="1">
        <f t="shared" si="17"/>
        <v>11</v>
      </c>
      <c r="D120" s="268">
        <f>'Monthly Data'!J120</f>
        <v>11150445.016393399</v>
      </c>
      <c r="E120" s="278">
        <f t="shared" ca="1" si="15"/>
        <v>366.78033055712399</v>
      </c>
      <c r="F120" s="278">
        <f t="shared" ca="1" si="15"/>
        <v>0.8083333333333329</v>
      </c>
      <c r="G120" s="278">
        <f>'Monthly Data'!BD120</f>
        <v>307.79583333333329</v>
      </c>
      <c r="H120" s="278">
        <f>'Monthly Data'!BG120</f>
        <v>5.5041666666666629</v>
      </c>
      <c r="I120" s="18">
        <f>'Monthly Data'!CG120</f>
        <v>0</v>
      </c>
      <c r="J120" s="4">
        <f>'Monthly Data'!CD120</f>
        <v>30</v>
      </c>
      <c r="K120" s="24">
        <f>'Monthly Data'!K120</f>
        <v>4465</v>
      </c>
      <c r="M120" s="18"/>
      <c r="N120" s="18">
        <f ca="1">(E120-G120)*'GS&lt;50 Predicted Monthly'!$V$9</f>
        <v>318567.4020783524</v>
      </c>
      <c r="O120" s="18">
        <f ca="1">(F120-H120)*'GS&lt;50 Predicted Monthly'!$V$10</f>
        <v>-59254.009742593509</v>
      </c>
      <c r="P120" s="18"/>
      <c r="Q120" s="18"/>
      <c r="R120" s="18"/>
      <c r="S120" s="280">
        <f t="shared" ca="1" si="14"/>
        <v>11409758.408729158</v>
      </c>
      <c r="V120" s="18"/>
    </row>
    <row r="121" spans="1:22" x14ac:dyDescent="0.25">
      <c r="A121" s="3">
        <v>45627</v>
      </c>
      <c r="B121" s="1">
        <f t="shared" si="16"/>
        <v>2024</v>
      </c>
      <c r="C121" s="1">
        <f t="shared" si="17"/>
        <v>12</v>
      </c>
      <c r="D121" s="268">
        <f>'Monthly Data'!J121</f>
        <v>13006669.290045742</v>
      </c>
      <c r="E121" s="278">
        <f t="shared" ca="1" si="15"/>
        <v>515.92800724637686</v>
      </c>
      <c r="F121" s="278">
        <f t="shared" ca="1" si="15"/>
        <v>0</v>
      </c>
      <c r="G121" s="278">
        <f>'Monthly Data'!BD121</f>
        <v>536.57500000000005</v>
      </c>
      <c r="H121" s="278">
        <f>'Monthly Data'!BG121</f>
        <v>0</v>
      </c>
      <c r="I121" s="18">
        <f>'Monthly Data'!CG121</f>
        <v>0</v>
      </c>
      <c r="J121" s="4">
        <f>'Monthly Data'!CD121</f>
        <v>31</v>
      </c>
      <c r="K121" s="24">
        <f>'Monthly Data'!K121</f>
        <v>4297</v>
      </c>
      <c r="M121" s="18"/>
      <c r="N121" s="18">
        <f ca="1">(E121-G121)*'GS&lt;50 Predicted Monthly'!$V$9</f>
        <v>-111511.65394013675</v>
      </c>
      <c r="O121" s="18">
        <f ca="1">(F121-H121)*'GS&lt;50 Predicted Monthly'!$V$10</f>
        <v>0</v>
      </c>
      <c r="P121" s="18"/>
      <c r="Q121" s="18"/>
      <c r="R121" s="18"/>
      <c r="S121" s="280">
        <f t="shared" ca="1" si="14"/>
        <v>12895157.636105604</v>
      </c>
      <c r="V121" s="18"/>
    </row>
    <row r="122" spans="1:22" x14ac:dyDescent="0.25">
      <c r="A122" s="3">
        <v>45658</v>
      </c>
      <c r="B122" s="1">
        <f t="shared" si="16"/>
        <v>2025</v>
      </c>
      <c r="C122" s="1">
        <f t="shared" si="17"/>
        <v>1</v>
      </c>
      <c r="E122" s="289">
        <f t="shared" ref="E122:F129" ca="1" si="18">E110</f>
        <v>635.33418478260876</v>
      </c>
      <c r="F122" s="289">
        <f t="shared" ca="1" si="18"/>
        <v>0</v>
      </c>
      <c r="G122" s="278"/>
      <c r="H122" s="278"/>
      <c r="I122" s="18">
        <f>'Monthly Data'!CG122</f>
        <v>0</v>
      </c>
      <c r="J122" s="4">
        <f>J74</f>
        <v>31</v>
      </c>
      <c r="K122" s="24">
        <f>'Customer Count'!G35</f>
        <v>4453.0184501550502</v>
      </c>
      <c r="M122" s="18">
        <f>'GS&lt;50 Predicted Monthly'!$V$8</f>
        <v>-5629453.6994364997</v>
      </c>
      <c r="N122" s="18">
        <f ca="1">E122*'GS&lt;50 Predicted Monthly'!$V$9</f>
        <v>3431355.1903283708</v>
      </c>
      <c r="O122" s="18">
        <f ca="1">F122*'GS&lt;50 Predicted Monthly'!$V$10</f>
        <v>0</v>
      </c>
      <c r="P122" s="18">
        <f>I122*'GS&lt;50 Predicted Monthly'!$V$11</f>
        <v>0</v>
      </c>
      <c r="Q122" s="18">
        <f>J122*'GS&lt;50 Predicted Monthly'!$V$12</f>
        <v>8349205.4233871475</v>
      </c>
      <c r="R122" s="18">
        <f>K122*'GS&lt;50 Predicted Monthly'!$V$13</f>
        <v>6797185.1047628187</v>
      </c>
      <c r="S122" s="280">
        <f t="shared" ref="S122:S145" ca="1" si="19">SUM(M122:R122)</f>
        <v>12948292.019041836</v>
      </c>
      <c r="V122" s="18"/>
    </row>
    <row r="123" spans="1:22" x14ac:dyDescent="0.25">
      <c r="A123" s="3">
        <v>45689</v>
      </c>
      <c r="B123" s="1">
        <f t="shared" si="16"/>
        <v>2025</v>
      </c>
      <c r="C123" s="1">
        <f t="shared" si="17"/>
        <v>2</v>
      </c>
      <c r="E123" s="289">
        <f t="shared" ca="1" si="18"/>
        <v>567.65501811594208</v>
      </c>
      <c r="F123" s="289">
        <f t="shared" ca="1" si="18"/>
        <v>0</v>
      </c>
      <c r="G123" s="278"/>
      <c r="H123" s="278"/>
      <c r="I123" s="18">
        <f>'Monthly Data'!CG123</f>
        <v>0</v>
      </c>
      <c r="J123" s="4">
        <f t="shared" ref="J123:J145" si="20">J75</f>
        <v>28</v>
      </c>
      <c r="K123" s="24">
        <f>'Customer Count'!G36</f>
        <v>4456.9989474110034</v>
      </c>
      <c r="M123" s="18">
        <f>'GS&lt;50 Predicted Monthly'!$V$8</f>
        <v>-5629453.6994364997</v>
      </c>
      <c r="N123" s="18">
        <f ca="1">E123*'GS&lt;50 Predicted Monthly'!$V$9</f>
        <v>3065829.0382951256</v>
      </c>
      <c r="O123" s="18">
        <f ca="1">F123*'GS&lt;50 Predicted Monthly'!$V$10</f>
        <v>0</v>
      </c>
      <c r="P123" s="18">
        <f>I123*'GS&lt;50 Predicted Monthly'!$V$11</f>
        <v>0</v>
      </c>
      <c r="Q123" s="18">
        <f>J123*'GS&lt;50 Predicted Monthly'!$V$12</f>
        <v>7541217.8017690368</v>
      </c>
      <c r="R123" s="18">
        <f>K123*'GS&lt;50 Predicted Monthly'!$V$13</f>
        <v>6803261.0231450507</v>
      </c>
      <c r="S123" s="280">
        <f t="shared" ca="1" si="19"/>
        <v>11780854.163772713</v>
      </c>
      <c r="V123" s="18"/>
    </row>
    <row r="124" spans="1:22" x14ac:dyDescent="0.25">
      <c r="A124" s="3">
        <v>45717</v>
      </c>
      <c r="B124" s="1">
        <f t="shared" si="16"/>
        <v>2025</v>
      </c>
      <c r="C124" s="1">
        <f t="shared" si="17"/>
        <v>3</v>
      </c>
      <c r="E124" s="289">
        <f t="shared" ca="1" si="18"/>
        <v>484.13298913043479</v>
      </c>
      <c r="F124" s="289">
        <f t="shared" ca="1" si="18"/>
        <v>0</v>
      </c>
      <c r="G124" s="278"/>
      <c r="H124" s="278"/>
      <c r="I124" s="18">
        <f>'Monthly Data'!CG124</f>
        <v>0</v>
      </c>
      <c r="J124" s="4">
        <f t="shared" si="20"/>
        <v>31</v>
      </c>
      <c r="K124" s="24">
        <f>'Customer Count'!G37</f>
        <v>4460.9830027834523</v>
      </c>
      <c r="M124" s="18">
        <f>'GS&lt;50 Predicted Monthly'!$V$8</f>
        <v>-5629453.6994364997</v>
      </c>
      <c r="N124" s="18">
        <f ca="1">E124*'GS&lt;50 Predicted Monthly'!$V$9</f>
        <v>2614737.7000189708</v>
      </c>
      <c r="O124" s="18">
        <f ca="1">F124*'GS&lt;50 Predicted Monthly'!$V$10</f>
        <v>0</v>
      </c>
      <c r="P124" s="18">
        <f>I124*'GS&lt;50 Predicted Monthly'!$V$11</f>
        <v>0</v>
      </c>
      <c r="Q124" s="18">
        <f>J124*'GS&lt;50 Predicted Monthly'!$V$12</f>
        <v>8349205.4233871475</v>
      </c>
      <c r="R124" s="18">
        <f>K124*'GS&lt;50 Predicted Monthly'!$V$13</f>
        <v>6809342.3727144012</v>
      </c>
      <c r="S124" s="280">
        <f t="shared" ca="1" si="19"/>
        <v>12143831.796684019</v>
      </c>
      <c r="V124" s="18"/>
    </row>
    <row r="125" spans="1:22" x14ac:dyDescent="0.25">
      <c r="A125" s="3">
        <v>45748</v>
      </c>
      <c r="B125" s="1">
        <f t="shared" si="16"/>
        <v>2025</v>
      </c>
      <c r="C125" s="1">
        <f t="shared" si="17"/>
        <v>4</v>
      </c>
      <c r="E125" s="289">
        <f t="shared" ca="1" si="18"/>
        <v>292.81107954545462</v>
      </c>
      <c r="F125" s="289">
        <f t="shared" ca="1" si="18"/>
        <v>2.1908333333333347</v>
      </c>
      <c r="G125" s="278"/>
      <c r="H125" s="278"/>
      <c r="I125" s="18">
        <f>'Monthly Data'!CG125</f>
        <v>0</v>
      </c>
      <c r="J125" s="4">
        <f t="shared" si="20"/>
        <v>30</v>
      </c>
      <c r="K125" s="24">
        <f>'Customer Count'!G38</f>
        <v>4464.9706194529535</v>
      </c>
      <c r="M125" s="18">
        <f>'GS&lt;50 Predicted Monthly'!$V$8</f>
        <v>-5629453.6994364997</v>
      </c>
      <c r="N125" s="18">
        <f ca="1">E125*'GS&lt;50 Predicted Monthly'!$V$9</f>
        <v>1581433.5851103917</v>
      </c>
      <c r="O125" s="18">
        <f ca="1">F125*'GS&lt;50 Predicted Monthly'!$V$10</f>
        <v>27644.860978399032</v>
      </c>
      <c r="P125" s="18">
        <f>I125*'GS&lt;50 Predicted Monthly'!$V$11</f>
        <v>0</v>
      </c>
      <c r="Q125" s="18">
        <f>J125*'GS&lt;50 Predicted Monthly'!$V$12</f>
        <v>8079876.2161811106</v>
      </c>
      <c r="R125" s="18">
        <f>K125*'GS&lt;50 Predicted Monthly'!$V$13</f>
        <v>6815429.158325742</v>
      </c>
      <c r="S125" s="280">
        <f t="shared" ca="1" si="19"/>
        <v>10874930.121159144</v>
      </c>
    </row>
    <row r="126" spans="1:22" x14ac:dyDescent="0.25">
      <c r="A126" s="3">
        <v>45778</v>
      </c>
      <c r="B126" s="1">
        <f t="shared" si="16"/>
        <v>2025</v>
      </c>
      <c r="C126" s="1">
        <f t="shared" si="17"/>
        <v>5</v>
      </c>
      <c r="E126" s="289">
        <f t="shared" ca="1" si="18"/>
        <v>103.25939244851259</v>
      </c>
      <c r="F126" s="289">
        <f t="shared" ca="1" si="18"/>
        <v>52.487435064935063</v>
      </c>
      <c r="G126" s="278"/>
      <c r="H126" s="278"/>
      <c r="I126" s="18">
        <f>'Monthly Data'!CG126</f>
        <v>0</v>
      </c>
      <c r="J126" s="4">
        <f t="shared" si="20"/>
        <v>31</v>
      </c>
      <c r="K126" s="24">
        <f>'Customer Count'!G39</f>
        <v>4468.961800602905</v>
      </c>
      <c r="M126" s="18">
        <f>'GS&lt;50 Predicted Monthly'!$V$8</f>
        <v>-5629453.6994364997</v>
      </c>
      <c r="N126" s="18">
        <f ca="1">E126*'GS&lt;50 Predicted Monthly'!$V$9</f>
        <v>557690.20574517769</v>
      </c>
      <c r="O126" s="18">
        <f ca="1">F126*'GS&lt;50 Predicted Monthly'!$V$10</f>
        <v>662308.64000739844</v>
      </c>
      <c r="P126" s="18">
        <f>I126*'GS&lt;50 Predicted Monthly'!$V$11</f>
        <v>0</v>
      </c>
      <c r="Q126" s="18">
        <f>J126*'GS&lt;50 Predicted Monthly'!$V$12</f>
        <v>8349205.4233871475</v>
      </c>
      <c r="R126" s="18">
        <f>K126*'GS&lt;50 Predicted Monthly'!$V$13</f>
        <v>6821521.3848382803</v>
      </c>
      <c r="S126" s="280">
        <f t="shared" ca="1" si="19"/>
        <v>10761271.954541504</v>
      </c>
    </row>
    <row r="127" spans="1:22" x14ac:dyDescent="0.25">
      <c r="A127" s="3">
        <v>45809</v>
      </c>
      <c r="B127" s="1">
        <f t="shared" si="16"/>
        <v>2025</v>
      </c>
      <c r="C127" s="1">
        <f t="shared" si="17"/>
        <v>6</v>
      </c>
      <c r="E127" s="289">
        <f t="shared" ca="1" si="18"/>
        <v>11.89069871794872</v>
      </c>
      <c r="F127" s="289">
        <f t="shared" ca="1" si="18"/>
        <v>137.65451754405018</v>
      </c>
      <c r="G127" s="278"/>
      <c r="H127" s="278"/>
      <c r="I127" s="18">
        <f>'Monthly Data'!CG127</f>
        <v>0</v>
      </c>
      <c r="J127" s="4">
        <f t="shared" si="20"/>
        <v>30</v>
      </c>
      <c r="K127" s="24">
        <f>'Customer Count'!G40</f>
        <v>4472.9565494195513</v>
      </c>
      <c r="M127" s="18">
        <f>'GS&lt;50 Predicted Monthly'!$V$8</f>
        <v>-5629453.6994364997</v>
      </c>
      <c r="N127" s="18">
        <f ca="1">E127*'GS&lt;50 Predicted Monthly'!$V$9</f>
        <v>64220.077779106323</v>
      </c>
      <c r="O127" s="18">
        <f ca="1">F127*'GS&lt;50 Predicted Monthly'!$V$10</f>
        <v>1736982.8834783668</v>
      </c>
      <c r="P127" s="18">
        <f>I127*'GS&lt;50 Predicted Monthly'!$V$11</f>
        <v>0</v>
      </c>
      <c r="Q127" s="18">
        <f>J127*'GS&lt;50 Predicted Monthly'!$V$12</f>
        <v>8079876.2161811106</v>
      </c>
      <c r="R127" s="18">
        <f>K127*'GS&lt;50 Predicted Monthly'!$V$13</f>
        <v>6827619.0571155716</v>
      </c>
      <c r="S127" s="280">
        <f t="shared" ca="1" si="19"/>
        <v>11079244.535117656</v>
      </c>
    </row>
    <row r="128" spans="1:22" x14ac:dyDescent="0.25">
      <c r="A128" s="3">
        <v>45839</v>
      </c>
      <c r="B128" s="1">
        <f t="shared" si="16"/>
        <v>2025</v>
      </c>
      <c r="C128" s="1">
        <f t="shared" si="17"/>
        <v>7</v>
      </c>
      <c r="E128" s="289">
        <f t="shared" ca="1" si="18"/>
        <v>7.4583333333333002E-2</v>
      </c>
      <c r="F128" s="289">
        <f t="shared" ca="1" si="18"/>
        <v>235.94737858727848</v>
      </c>
      <c r="G128" s="278"/>
      <c r="H128" s="278"/>
      <c r="I128" s="18">
        <f>'Monthly Data'!CG128</f>
        <v>0</v>
      </c>
      <c r="J128" s="4">
        <f t="shared" si="20"/>
        <v>31</v>
      </c>
      <c r="K128" s="24">
        <f>'Customer Count'!G41</f>
        <v>4476.9548690919846</v>
      </c>
      <c r="M128" s="18">
        <f>'GS&lt;50 Predicted Monthly'!$V$8</f>
        <v>-5629453.6994364997</v>
      </c>
      <c r="N128" s="18">
        <f ca="1">E128*'GS&lt;50 Predicted Monthly'!$V$9</f>
        <v>402.81463531336908</v>
      </c>
      <c r="O128" s="18">
        <f ca="1">F128*'GS&lt;50 Predicted Monthly'!$V$10</f>
        <v>2977283.7486175704</v>
      </c>
      <c r="P128" s="18">
        <f>I128*'GS&lt;50 Predicted Monthly'!$V$11</f>
        <v>0</v>
      </c>
      <c r="Q128" s="18">
        <f>J128*'GS&lt;50 Predicted Monthly'!$V$12</f>
        <v>8349205.4233871475</v>
      </c>
      <c r="R128" s="18">
        <f>K128*'GS&lt;50 Predicted Monthly'!$V$13</f>
        <v>6833722.1800255161</v>
      </c>
      <c r="S128" s="280">
        <f t="shared" ca="1" si="19"/>
        <v>12531160.467229048</v>
      </c>
    </row>
    <row r="129" spans="1:19" x14ac:dyDescent="0.25">
      <c r="A129" s="3">
        <v>45870</v>
      </c>
      <c r="B129" s="1">
        <f t="shared" si="16"/>
        <v>2025</v>
      </c>
      <c r="C129" s="1">
        <f t="shared" si="17"/>
        <v>8</v>
      </c>
      <c r="E129" s="289">
        <f t="shared" ca="1" si="18"/>
        <v>0.75041666666666718</v>
      </c>
      <c r="F129" s="289">
        <f t="shared" ca="1" si="18"/>
        <v>210.96558794466404</v>
      </c>
      <c r="G129" s="278"/>
      <c r="H129" s="278"/>
      <c r="I129" s="18">
        <f>'Monthly Data'!CG129</f>
        <v>0</v>
      </c>
      <c r="J129" s="4">
        <f t="shared" si="20"/>
        <v>31</v>
      </c>
      <c r="K129" s="24">
        <f>'Customer Count'!G42</f>
        <v>4480.9567628121476</v>
      </c>
      <c r="M129" s="18">
        <f>'GS&lt;50 Predicted Monthly'!$V$8</f>
        <v>-5629453.6994364997</v>
      </c>
      <c r="N129" s="18">
        <f ca="1">E129*'GS&lt;50 Predicted Monthly'!$V$9</f>
        <v>4052.9003251362087</v>
      </c>
      <c r="O129" s="18">
        <f ca="1">F129*'GS&lt;50 Predicted Monthly'!$V$10</f>
        <v>2662052.9554765075</v>
      </c>
      <c r="P129" s="18">
        <f>I129*'GS&lt;50 Predicted Monthly'!$V$11</f>
        <v>0</v>
      </c>
      <c r="Q129" s="18">
        <f>J129*'GS&lt;50 Predicted Monthly'!$V$12</f>
        <v>8349205.4233871475</v>
      </c>
      <c r="R129" s="18">
        <f>K129*'GS&lt;50 Predicted Monthly'!$V$13</f>
        <v>6839830.7584403632</v>
      </c>
      <c r="S129" s="280">
        <f t="shared" ca="1" si="19"/>
        <v>12225688.338192655</v>
      </c>
    </row>
    <row r="130" spans="1:19" x14ac:dyDescent="0.25">
      <c r="A130" s="3">
        <v>45901</v>
      </c>
      <c r="B130" s="1">
        <f t="shared" si="16"/>
        <v>2025</v>
      </c>
      <c r="C130" s="1">
        <f t="shared" si="17"/>
        <v>9</v>
      </c>
      <c r="E130" s="289">
        <f t="shared" ref="E130:F145" ca="1" si="21">E118</f>
        <v>26.342536231884061</v>
      </c>
      <c r="F130" s="289">
        <f t="shared" ca="1" si="21"/>
        <v>106.4160119047619</v>
      </c>
      <c r="G130" s="278"/>
      <c r="H130" s="278"/>
      <c r="I130" s="18">
        <f>'Monthly Data'!CG130</f>
        <v>0</v>
      </c>
      <c r="J130" s="4">
        <f t="shared" si="20"/>
        <v>30</v>
      </c>
      <c r="K130" s="24">
        <f>'Customer Count'!G43</f>
        <v>4484.9622337748378</v>
      </c>
      <c r="M130" s="18">
        <f>'GS&lt;50 Predicted Monthly'!$V$8</f>
        <v>-5629453.6994364997</v>
      </c>
      <c r="N130" s="18">
        <f ca="1">E130*'GS&lt;50 Predicted Monthly'!$V$9</f>
        <v>142272.52458738282</v>
      </c>
      <c r="O130" s="18">
        <f ca="1">F130*'GS&lt;50 Predicted Monthly'!$V$10</f>
        <v>1342802.2160438786</v>
      </c>
      <c r="P130" s="18">
        <f>I130*'GS&lt;50 Predicted Monthly'!$V$11</f>
        <v>0</v>
      </c>
      <c r="Q130" s="18">
        <f>J130*'GS&lt;50 Predicted Monthly'!$V$12</f>
        <v>8079876.2161811106</v>
      </c>
      <c r="R130" s="18">
        <f>K130*'GS&lt;50 Predicted Monthly'!$V$13</f>
        <v>6845944.7972367238</v>
      </c>
      <c r="S130" s="280">
        <f t="shared" ca="1" si="19"/>
        <v>10781442.054612596</v>
      </c>
    </row>
    <row r="131" spans="1:19" x14ac:dyDescent="0.25">
      <c r="A131" s="3">
        <v>45931</v>
      </c>
      <c r="B131" s="1">
        <f t="shared" si="16"/>
        <v>2025</v>
      </c>
      <c r="C131" s="1">
        <f t="shared" si="17"/>
        <v>10</v>
      </c>
      <c r="E131" s="289">
        <f t="shared" ca="1" si="21"/>
        <v>181.36347826086953</v>
      </c>
      <c r="F131" s="289">
        <f t="shared" ca="1" si="21"/>
        <v>17.987083333333334</v>
      </c>
      <c r="G131" s="278"/>
      <c r="H131" s="278"/>
      <c r="I131" s="18">
        <f>'Monthly Data'!CG131</f>
        <v>0</v>
      </c>
      <c r="J131" s="4">
        <f t="shared" si="20"/>
        <v>31</v>
      </c>
      <c r="K131" s="24">
        <f>'Customer Count'!G44</f>
        <v>4488.9712851777067</v>
      </c>
      <c r="M131" s="18">
        <f>'GS&lt;50 Predicted Monthly'!$V$8</f>
        <v>-5629453.6994364997</v>
      </c>
      <c r="N131" s="18">
        <f ca="1">E131*'GS&lt;50 Predicted Monthly'!$V$9</f>
        <v>979519.95559530659</v>
      </c>
      <c r="O131" s="18">
        <f ca="1">F131*'GS&lt;50 Predicted Monthly'!$V$10</f>
        <v>226968.61992706486</v>
      </c>
      <c r="P131" s="18">
        <f>I131*'GS&lt;50 Predicted Monthly'!$V$11</f>
        <v>0</v>
      </c>
      <c r="Q131" s="18">
        <f>J131*'GS&lt;50 Predicted Monthly'!$V$12</f>
        <v>8349205.4233871475</v>
      </c>
      <c r="R131" s="18">
        <f>K131*'GS&lt;50 Predicted Monthly'!$V$13</f>
        <v>6852064.3012955636</v>
      </c>
      <c r="S131" s="280">
        <f t="shared" ca="1" si="19"/>
        <v>10778304.600768581</v>
      </c>
    </row>
    <row r="132" spans="1:19" x14ac:dyDescent="0.25">
      <c r="A132" s="3">
        <v>45962</v>
      </c>
      <c r="B132" s="1">
        <f t="shared" si="16"/>
        <v>2025</v>
      </c>
      <c r="C132" s="1">
        <f t="shared" si="17"/>
        <v>11</v>
      </c>
      <c r="E132" s="289">
        <f t="shared" ca="1" si="21"/>
        <v>366.78033055712399</v>
      </c>
      <c r="F132" s="289">
        <f t="shared" ca="1" si="21"/>
        <v>0.8083333333333329</v>
      </c>
      <c r="G132" s="278"/>
      <c r="H132" s="278"/>
      <c r="I132" s="18">
        <f>'Monthly Data'!CG132</f>
        <v>0</v>
      </c>
      <c r="J132" s="4">
        <f t="shared" si="20"/>
        <v>30</v>
      </c>
      <c r="K132" s="24">
        <f>'Customer Count'!G45</f>
        <v>4492.9839202212643</v>
      </c>
      <c r="M132" s="18">
        <f>'GS&lt;50 Predicted Monthly'!$V$8</f>
        <v>-5629453.6994364997</v>
      </c>
      <c r="N132" s="18">
        <f ca="1">E132*'GS&lt;50 Predicted Monthly'!$V$9</f>
        <v>1980931.6437115376</v>
      </c>
      <c r="O132" s="18">
        <f ca="1">F132*'GS&lt;50 Predicted Monthly'!$V$10</f>
        <v>10199.891650455318</v>
      </c>
      <c r="P132" s="18">
        <f>I132*'GS&lt;50 Predicted Monthly'!$V$11</f>
        <v>0</v>
      </c>
      <c r="Q132" s="18">
        <f>J132*'GS&lt;50 Predicted Monthly'!$V$12</f>
        <v>8079876.2161811106</v>
      </c>
      <c r="R132" s="18">
        <f>K132*'GS&lt;50 Predicted Monthly'!$V$13</f>
        <v>6858189.2755022096</v>
      </c>
      <c r="S132" s="280">
        <f t="shared" ca="1" si="19"/>
        <v>11299743.327608813</v>
      </c>
    </row>
    <row r="133" spans="1:19" x14ac:dyDescent="0.25">
      <c r="A133" s="3">
        <v>45992</v>
      </c>
      <c r="B133" s="1">
        <f t="shared" si="16"/>
        <v>2025</v>
      </c>
      <c r="C133" s="1">
        <f t="shared" si="17"/>
        <v>12</v>
      </c>
      <c r="E133" s="289">
        <f t="shared" ca="1" si="21"/>
        <v>515.92800724637686</v>
      </c>
      <c r="F133" s="289">
        <f t="shared" ca="1" si="21"/>
        <v>0</v>
      </c>
      <c r="G133" s="278"/>
      <c r="H133" s="278"/>
      <c r="I133" s="18">
        <f>'Monthly Data'!CG133</f>
        <v>0</v>
      </c>
      <c r="J133" s="4">
        <f t="shared" si="20"/>
        <v>31</v>
      </c>
      <c r="K133" s="24">
        <f>'Customer Count'!G46</f>
        <v>4497.0001421088828</v>
      </c>
      <c r="M133" s="18">
        <f>'GS&lt;50 Predicted Monthly'!$V$8</f>
        <v>-5629453.6994364997</v>
      </c>
      <c r="N133" s="18">
        <f ca="1">E133*'GS&lt;50 Predicted Monthly'!$V$9</f>
        <v>2786458.3520031748</v>
      </c>
      <c r="O133" s="18">
        <f ca="1">F133*'GS&lt;50 Predicted Monthly'!$V$10</f>
        <v>0</v>
      </c>
      <c r="P133" s="18">
        <f>I133*'GS&lt;50 Predicted Monthly'!$V$11</f>
        <v>0</v>
      </c>
      <c r="Q133" s="18">
        <f>J133*'GS&lt;50 Predicted Monthly'!$V$12</f>
        <v>8349205.4233871475</v>
      </c>
      <c r="R133" s="18">
        <f>K133*'GS&lt;50 Predicted Monthly'!$V$13</f>
        <v>6864319.7247463604</v>
      </c>
      <c r="S133" s="280">
        <f t="shared" ca="1" si="19"/>
        <v>12370529.800700184</v>
      </c>
    </row>
    <row r="134" spans="1:19" x14ac:dyDescent="0.25">
      <c r="A134" s="3">
        <v>46023</v>
      </c>
      <c r="B134" s="1">
        <f t="shared" ref="B134:B145" si="22">YEAR(A134)</f>
        <v>2026</v>
      </c>
      <c r="C134" s="1">
        <f t="shared" ref="C134:C145" si="23">MONTH(A134)</f>
        <v>1</v>
      </c>
      <c r="E134" s="289">
        <f t="shared" ca="1" si="21"/>
        <v>635.33418478260876</v>
      </c>
      <c r="F134" s="289">
        <f t="shared" ca="1" si="21"/>
        <v>0</v>
      </c>
      <c r="G134" s="278"/>
      <c r="H134" s="278"/>
      <c r="I134" s="18">
        <f>'Monthly Data'!CG134</f>
        <v>0</v>
      </c>
      <c r="J134" s="4">
        <f t="shared" si="20"/>
        <v>31</v>
      </c>
      <c r="K134" s="24">
        <f>'Customer Count'!G47</f>
        <v>4501.0199540467966</v>
      </c>
      <c r="M134" s="18">
        <f>'GS&lt;50 Predicted Monthly'!$V$8</f>
        <v>-5629453.6994364997</v>
      </c>
      <c r="N134" s="18">
        <f ca="1">E134*'GS&lt;50 Predicted Monthly'!$V$9</f>
        <v>3431355.1903283708</v>
      </c>
      <c r="O134" s="18">
        <f ca="1">F134*'GS&lt;50 Predicted Monthly'!$V$10</f>
        <v>0</v>
      </c>
      <c r="P134" s="18">
        <f>I134*'GS&lt;50 Predicted Monthly'!$V$11</f>
        <v>0</v>
      </c>
      <c r="Q134" s="18">
        <f>J134*'GS&lt;50 Predicted Monthly'!$V$12</f>
        <v>8349205.4233871475</v>
      </c>
      <c r="R134" s="18">
        <f>K134*'GS&lt;50 Predicted Monthly'!$V$13</f>
        <v>6870455.6539220819</v>
      </c>
      <c r="S134" s="280">
        <f t="shared" ca="1" si="19"/>
        <v>13021562.5682011</v>
      </c>
    </row>
    <row r="135" spans="1:19" x14ac:dyDescent="0.25">
      <c r="A135" s="3">
        <v>46054</v>
      </c>
      <c r="B135" s="1">
        <f t="shared" si="22"/>
        <v>2026</v>
      </c>
      <c r="C135" s="1">
        <f t="shared" si="23"/>
        <v>2</v>
      </c>
      <c r="E135" s="289">
        <f t="shared" ca="1" si="21"/>
        <v>567.65501811594208</v>
      </c>
      <c r="F135" s="289">
        <f t="shared" ca="1" si="21"/>
        <v>0</v>
      </c>
      <c r="G135" s="278"/>
      <c r="H135" s="278"/>
      <c r="I135" s="18">
        <f>'Monthly Data'!CG135</f>
        <v>0</v>
      </c>
      <c r="J135" s="4">
        <f t="shared" si="20"/>
        <v>28</v>
      </c>
      <c r="K135" s="24">
        <f>'Customer Count'!G48</f>
        <v>4505.0433592441068</v>
      </c>
      <c r="M135" s="18">
        <f>'GS&lt;50 Predicted Monthly'!$V$8</f>
        <v>-5629453.6994364997</v>
      </c>
      <c r="N135" s="18">
        <f ca="1">E135*'GS&lt;50 Predicted Monthly'!$V$9</f>
        <v>3065829.0382951256</v>
      </c>
      <c r="O135" s="18">
        <f ca="1">F135*'GS&lt;50 Predicted Monthly'!$V$10</f>
        <v>0</v>
      </c>
      <c r="P135" s="18">
        <f>I135*'GS&lt;50 Predicted Monthly'!$V$11</f>
        <v>0</v>
      </c>
      <c r="Q135" s="18">
        <f>J135*'GS&lt;50 Predicted Monthly'!$V$12</f>
        <v>7541217.8017690368</v>
      </c>
      <c r="R135" s="18">
        <f>K135*'GS&lt;50 Predicted Monthly'!$V$13</f>
        <v>6876597.0679278178</v>
      </c>
      <c r="S135" s="280">
        <f t="shared" ca="1" si="19"/>
        <v>11854190.20855548</v>
      </c>
    </row>
    <row r="136" spans="1:19" x14ac:dyDescent="0.25">
      <c r="A136" s="3">
        <v>46082</v>
      </c>
      <c r="B136" s="1">
        <f t="shared" si="22"/>
        <v>2026</v>
      </c>
      <c r="C136" s="1">
        <f t="shared" si="23"/>
        <v>3</v>
      </c>
      <c r="E136" s="289">
        <f t="shared" ca="1" si="21"/>
        <v>484.13298913043479</v>
      </c>
      <c r="F136" s="289">
        <f t="shared" ca="1" si="21"/>
        <v>0</v>
      </c>
      <c r="G136" s="278"/>
      <c r="H136" s="278"/>
      <c r="I136" s="18">
        <f>'Monthly Data'!CG136</f>
        <v>0</v>
      </c>
      <c r="J136" s="4">
        <f t="shared" si="20"/>
        <v>31</v>
      </c>
      <c r="K136" s="24">
        <f>'Customer Count'!G49</f>
        <v>4509.0703609127831</v>
      </c>
      <c r="M136" s="18">
        <f>'GS&lt;50 Predicted Monthly'!$V$8</f>
        <v>-5629453.6994364997</v>
      </c>
      <c r="N136" s="18">
        <f ca="1">E136*'GS&lt;50 Predicted Monthly'!$V$9</f>
        <v>2614737.7000189708</v>
      </c>
      <c r="O136" s="18">
        <f ca="1">F136*'GS&lt;50 Predicted Monthly'!$V$10</f>
        <v>0</v>
      </c>
      <c r="P136" s="18">
        <f>I136*'GS&lt;50 Predicted Monthly'!$V$11</f>
        <v>0</v>
      </c>
      <c r="Q136" s="18">
        <f>J136*'GS&lt;50 Predicted Monthly'!$V$12</f>
        <v>8349205.4233871475</v>
      </c>
      <c r="R136" s="18">
        <f>K136*'GS&lt;50 Predicted Monthly'!$V$13</f>
        <v>6882743.9716663891</v>
      </c>
      <c r="S136" s="280">
        <f t="shared" ca="1" si="19"/>
        <v>12217233.395636007</v>
      </c>
    </row>
    <row r="137" spans="1:19" x14ac:dyDescent="0.25">
      <c r="A137" s="3">
        <v>46113</v>
      </c>
      <c r="B137" s="1">
        <f t="shared" si="22"/>
        <v>2026</v>
      </c>
      <c r="C137" s="1">
        <f t="shared" si="23"/>
        <v>4</v>
      </c>
      <c r="E137" s="289">
        <f t="shared" ca="1" si="21"/>
        <v>292.81107954545462</v>
      </c>
      <c r="F137" s="289">
        <f t="shared" ca="1" si="21"/>
        <v>2.1908333333333347</v>
      </c>
      <c r="G137" s="278"/>
      <c r="H137" s="278"/>
      <c r="I137" s="18">
        <f>'Monthly Data'!CG137</f>
        <v>0</v>
      </c>
      <c r="J137" s="4">
        <f t="shared" si="20"/>
        <v>30</v>
      </c>
      <c r="K137" s="24">
        <f>'Customer Count'!G50</f>
        <v>4513.1009622676656</v>
      </c>
      <c r="M137" s="18">
        <f>'GS&lt;50 Predicted Monthly'!$V$8</f>
        <v>-5629453.6994364997</v>
      </c>
      <c r="N137" s="18">
        <f ca="1">E137*'GS&lt;50 Predicted Monthly'!$V$9</f>
        <v>1581433.5851103917</v>
      </c>
      <c r="O137" s="18">
        <f ca="1">F137*'GS&lt;50 Predicted Monthly'!$V$10</f>
        <v>27644.860978399032</v>
      </c>
      <c r="P137" s="18">
        <f>I137*'GS&lt;50 Predicted Monthly'!$V$11</f>
        <v>0</v>
      </c>
      <c r="Q137" s="18">
        <f>J137*'GS&lt;50 Predicted Monthly'!$V$12</f>
        <v>8079876.2161811106</v>
      </c>
      <c r="R137" s="18">
        <f>K137*'GS&lt;50 Predicted Monthly'!$V$13</f>
        <v>6888896.370044996</v>
      </c>
      <c r="S137" s="280">
        <f t="shared" ca="1" si="19"/>
        <v>10948397.332878398</v>
      </c>
    </row>
    <row r="138" spans="1:19" x14ac:dyDescent="0.25">
      <c r="A138" s="3">
        <v>46143</v>
      </c>
      <c r="B138" s="1">
        <f t="shared" si="22"/>
        <v>2026</v>
      </c>
      <c r="C138" s="1">
        <f t="shared" si="23"/>
        <v>5</v>
      </c>
      <c r="E138" s="289">
        <f t="shared" ca="1" si="21"/>
        <v>103.25939244851259</v>
      </c>
      <c r="F138" s="289">
        <f t="shared" ca="1" si="21"/>
        <v>52.487435064935063</v>
      </c>
      <c r="G138" s="278"/>
      <c r="H138" s="278"/>
      <c r="I138" s="18">
        <f>'Monthly Data'!CG138</f>
        <v>0</v>
      </c>
      <c r="J138" s="4">
        <f t="shared" si="20"/>
        <v>31</v>
      </c>
      <c r="K138" s="24">
        <f>'Customer Count'!G51</f>
        <v>4517.1351665264692</v>
      </c>
      <c r="M138" s="18">
        <f>'GS&lt;50 Predicted Monthly'!$V$8</f>
        <v>-5629453.6994364997</v>
      </c>
      <c r="N138" s="18">
        <f ca="1">E138*'GS&lt;50 Predicted Monthly'!$V$9</f>
        <v>557690.20574517769</v>
      </c>
      <c r="O138" s="18">
        <f ca="1">F138*'GS&lt;50 Predicted Monthly'!$V$10</f>
        <v>662308.64000739844</v>
      </c>
      <c r="P138" s="18">
        <f>I138*'GS&lt;50 Predicted Monthly'!$V$11</f>
        <v>0</v>
      </c>
      <c r="Q138" s="18">
        <f>J138*'GS&lt;50 Predicted Monthly'!$V$12</f>
        <v>8349205.4233871475</v>
      </c>
      <c r="R138" s="18">
        <f>K138*'GS&lt;50 Predicted Monthly'!$V$13</f>
        <v>6895054.2679752316</v>
      </c>
      <c r="S138" s="280">
        <f t="shared" ca="1" si="19"/>
        <v>10834804.837678455</v>
      </c>
    </row>
    <row r="139" spans="1:19" x14ac:dyDescent="0.25">
      <c r="A139" s="3">
        <v>46174</v>
      </c>
      <c r="B139" s="1">
        <f t="shared" si="22"/>
        <v>2026</v>
      </c>
      <c r="C139" s="1">
        <f t="shared" si="23"/>
        <v>6</v>
      </c>
      <c r="E139" s="289">
        <f t="shared" ca="1" si="21"/>
        <v>11.89069871794872</v>
      </c>
      <c r="F139" s="289">
        <f t="shared" ca="1" si="21"/>
        <v>137.65451754405018</v>
      </c>
      <c r="G139" s="278"/>
      <c r="H139" s="278"/>
      <c r="I139" s="18">
        <f>'Monthly Data'!CG139</f>
        <v>0</v>
      </c>
      <c r="J139" s="4">
        <f t="shared" si="20"/>
        <v>30</v>
      </c>
      <c r="K139" s="24">
        <f>'Customer Count'!G52</f>
        <v>4521.1729769097838</v>
      </c>
      <c r="M139" s="18">
        <f>'GS&lt;50 Predicted Monthly'!$V$8</f>
        <v>-5629453.6994364997</v>
      </c>
      <c r="N139" s="18">
        <f ca="1">E139*'GS&lt;50 Predicted Monthly'!$V$9</f>
        <v>64220.077779106323</v>
      </c>
      <c r="O139" s="18">
        <f ca="1">F139*'GS&lt;50 Predicted Monthly'!$V$10</f>
        <v>1736982.8834783668</v>
      </c>
      <c r="P139" s="18">
        <f>I139*'GS&lt;50 Predicted Monthly'!$V$11</f>
        <v>0</v>
      </c>
      <c r="Q139" s="18">
        <f>J139*'GS&lt;50 Predicted Monthly'!$V$12</f>
        <v>8079876.2161811106</v>
      </c>
      <c r="R139" s="18">
        <f>K139*'GS&lt;50 Predicted Monthly'!$V$13</f>
        <v>6901217.6703730747</v>
      </c>
      <c r="S139" s="280">
        <f t="shared" ca="1" si="19"/>
        <v>11152843.148375157</v>
      </c>
    </row>
    <row r="140" spans="1:19" x14ac:dyDescent="0.25">
      <c r="A140" s="3">
        <v>46204</v>
      </c>
      <c r="B140" s="1">
        <f t="shared" si="22"/>
        <v>2026</v>
      </c>
      <c r="C140" s="1">
        <f t="shared" si="23"/>
        <v>7</v>
      </c>
      <c r="E140" s="289">
        <f t="shared" ca="1" si="21"/>
        <v>7.4583333333333002E-2</v>
      </c>
      <c r="F140" s="289">
        <f t="shared" ca="1" si="21"/>
        <v>235.94737858727848</v>
      </c>
      <c r="G140" s="278"/>
      <c r="H140" s="278"/>
      <c r="I140" s="18">
        <f>'Monthly Data'!CG140</f>
        <v>0</v>
      </c>
      <c r="J140" s="4">
        <f t="shared" si="20"/>
        <v>31</v>
      </c>
      <c r="K140" s="24">
        <f>'Customer Count'!G53</f>
        <v>4525.2143966410795</v>
      </c>
      <c r="M140" s="18">
        <f>'GS&lt;50 Predicted Monthly'!$V$8</f>
        <v>-5629453.6994364997</v>
      </c>
      <c r="N140" s="18">
        <f ca="1">E140*'GS&lt;50 Predicted Monthly'!$V$9</f>
        <v>402.81463531336908</v>
      </c>
      <c r="O140" s="18">
        <f ca="1">F140*'GS&lt;50 Predicted Monthly'!$V$10</f>
        <v>2977283.7486175704</v>
      </c>
      <c r="P140" s="18">
        <f>I140*'GS&lt;50 Predicted Monthly'!$V$11</f>
        <v>0</v>
      </c>
      <c r="Q140" s="18">
        <f>J140*'GS&lt;50 Predicted Monthly'!$V$12</f>
        <v>8349205.4233871475</v>
      </c>
      <c r="R140" s="18">
        <f>K140*'GS&lt;50 Predicted Monthly'!$V$13</f>
        <v>6907386.5821588999</v>
      </c>
      <c r="S140" s="280">
        <f t="shared" ca="1" si="19"/>
        <v>12604824.869362433</v>
      </c>
    </row>
    <row r="141" spans="1:19" x14ac:dyDescent="0.25">
      <c r="A141" s="3">
        <v>46235</v>
      </c>
      <c r="B141" s="1">
        <f t="shared" si="22"/>
        <v>2026</v>
      </c>
      <c r="C141" s="1">
        <f t="shared" si="23"/>
        <v>8</v>
      </c>
      <c r="E141" s="289">
        <f t="shared" ca="1" si="21"/>
        <v>0.75041666666666718</v>
      </c>
      <c r="F141" s="289">
        <f t="shared" ca="1" si="21"/>
        <v>210.96558794466404</v>
      </c>
      <c r="G141" s="278"/>
      <c r="H141" s="278"/>
      <c r="I141" s="18">
        <f>'Monthly Data'!CG141</f>
        <v>0</v>
      </c>
      <c r="J141" s="4">
        <f t="shared" si="20"/>
        <v>31</v>
      </c>
      <c r="K141" s="24">
        <f>'Customer Count'!G54</f>
        <v>4529.2594289467061</v>
      </c>
      <c r="M141" s="18">
        <f>'GS&lt;50 Predicted Monthly'!$V$8</f>
        <v>-5629453.6994364997</v>
      </c>
      <c r="N141" s="18">
        <f ca="1">E141*'GS&lt;50 Predicted Monthly'!$V$9</f>
        <v>4052.9003251362087</v>
      </c>
      <c r="O141" s="18">
        <f ca="1">F141*'GS&lt;50 Predicted Monthly'!$V$10</f>
        <v>2662052.9554765075</v>
      </c>
      <c r="P141" s="18">
        <f>I141*'GS&lt;50 Predicted Monthly'!$V$11</f>
        <v>0</v>
      </c>
      <c r="Q141" s="18">
        <f>J141*'GS&lt;50 Predicted Monthly'!$V$12</f>
        <v>8349205.4233871475</v>
      </c>
      <c r="R141" s="18">
        <f>K141*'GS&lt;50 Predicted Monthly'!$V$13</f>
        <v>6913561.0082574785</v>
      </c>
      <c r="S141" s="280">
        <f t="shared" ca="1" si="19"/>
        <v>12299418.588009771</v>
      </c>
    </row>
    <row r="142" spans="1:19" x14ac:dyDescent="0.25">
      <c r="A142" s="3">
        <v>46266</v>
      </c>
      <c r="B142" s="1">
        <f t="shared" si="22"/>
        <v>2026</v>
      </c>
      <c r="C142" s="1">
        <f t="shared" si="23"/>
        <v>9</v>
      </c>
      <c r="E142" s="289">
        <f t="shared" ca="1" si="21"/>
        <v>26.342536231884061</v>
      </c>
      <c r="F142" s="289">
        <f t="shared" ca="1" si="21"/>
        <v>106.4160119047619</v>
      </c>
      <c r="G142" s="278"/>
      <c r="H142" s="278"/>
      <c r="I142" s="18">
        <f>'Monthly Data'!CG142</f>
        <v>0</v>
      </c>
      <c r="J142" s="4">
        <f t="shared" si="20"/>
        <v>30</v>
      </c>
      <c r="K142" s="24">
        <f>'Customer Count'!G55</f>
        <v>4533.308077055899</v>
      </c>
      <c r="M142" s="18">
        <f>'GS&lt;50 Predicted Monthly'!$V$8</f>
        <v>-5629453.6994364997</v>
      </c>
      <c r="N142" s="18">
        <f ca="1">E142*'GS&lt;50 Predicted Monthly'!$V$9</f>
        <v>142272.52458738282</v>
      </c>
      <c r="O142" s="18">
        <f ca="1">F142*'GS&lt;50 Predicted Monthly'!$V$10</f>
        <v>1342802.2160438786</v>
      </c>
      <c r="P142" s="18">
        <f>I142*'GS&lt;50 Predicted Monthly'!$V$11</f>
        <v>0</v>
      </c>
      <c r="Q142" s="18">
        <f>J142*'GS&lt;50 Predicted Monthly'!$V$12</f>
        <v>8079876.2161811106</v>
      </c>
      <c r="R142" s="18">
        <f>K142*'GS&lt;50 Predicted Monthly'!$V$13</f>
        <v>6919740.9535979861</v>
      </c>
      <c r="S142" s="280">
        <f t="shared" ca="1" si="19"/>
        <v>10855238.210973859</v>
      </c>
    </row>
    <row r="143" spans="1:19" x14ac:dyDescent="0.25">
      <c r="A143" s="3">
        <v>46296</v>
      </c>
      <c r="B143" s="1">
        <f t="shared" si="22"/>
        <v>2026</v>
      </c>
      <c r="C143" s="1">
        <f t="shared" si="23"/>
        <v>10</v>
      </c>
      <c r="E143" s="289">
        <f t="shared" ca="1" si="21"/>
        <v>181.36347826086953</v>
      </c>
      <c r="F143" s="289">
        <f t="shared" ca="1" si="21"/>
        <v>17.987083333333334</v>
      </c>
      <c r="G143" s="278"/>
      <c r="H143" s="278"/>
      <c r="I143" s="18">
        <f>'Monthly Data'!CG143</f>
        <v>0</v>
      </c>
      <c r="J143" s="4">
        <f t="shared" si="20"/>
        <v>31</v>
      </c>
      <c r="K143" s="24">
        <f>'Customer Count'!G56</f>
        <v>4537.3603442007798</v>
      </c>
      <c r="M143" s="18">
        <f>'GS&lt;50 Predicted Monthly'!$V$8</f>
        <v>-5629453.6994364997</v>
      </c>
      <c r="N143" s="18">
        <f ca="1">E143*'GS&lt;50 Predicted Monthly'!$V$9</f>
        <v>979519.95559530659</v>
      </c>
      <c r="O143" s="18">
        <f ca="1">F143*'GS&lt;50 Predicted Monthly'!$V$10</f>
        <v>226968.61992706486</v>
      </c>
      <c r="P143" s="18">
        <f>I143*'GS&lt;50 Predicted Monthly'!$V$11</f>
        <v>0</v>
      </c>
      <c r="Q143" s="18">
        <f>J143*'GS&lt;50 Predicted Monthly'!$V$12</f>
        <v>8349205.4233871475</v>
      </c>
      <c r="R143" s="18">
        <f>K143*'GS&lt;50 Predicted Monthly'!$V$13</f>
        <v>6925926.4231140045</v>
      </c>
      <c r="S143" s="280">
        <f t="shared" ca="1" si="19"/>
        <v>10852166.722587023</v>
      </c>
    </row>
    <row r="144" spans="1:19" x14ac:dyDescent="0.25">
      <c r="A144" s="3">
        <v>46327</v>
      </c>
      <c r="B144" s="1">
        <f t="shared" si="22"/>
        <v>2026</v>
      </c>
      <c r="C144" s="1">
        <f t="shared" si="23"/>
        <v>11</v>
      </c>
      <c r="E144" s="289">
        <f t="shared" ca="1" si="21"/>
        <v>366.78033055712399</v>
      </c>
      <c r="F144" s="289">
        <f t="shared" ca="1" si="21"/>
        <v>0.8083333333333329</v>
      </c>
      <c r="G144" s="278"/>
      <c r="H144" s="278"/>
      <c r="I144" s="18">
        <f>'Monthly Data'!CG144</f>
        <v>0</v>
      </c>
      <c r="J144" s="4">
        <f t="shared" si="20"/>
        <v>30</v>
      </c>
      <c r="K144" s="24">
        <f>'Customer Count'!G57</f>
        <v>4541.416233616359</v>
      </c>
      <c r="M144" s="18">
        <f>'GS&lt;50 Predicted Monthly'!$V$8</f>
        <v>-5629453.6994364997</v>
      </c>
      <c r="N144" s="18">
        <f ca="1">E144*'GS&lt;50 Predicted Monthly'!$V$9</f>
        <v>1980931.6437115376</v>
      </c>
      <c r="O144" s="18">
        <f ca="1">F144*'GS&lt;50 Predicted Monthly'!$V$10</f>
        <v>10199.891650455318</v>
      </c>
      <c r="P144" s="18">
        <f>I144*'GS&lt;50 Predicted Monthly'!$V$11</f>
        <v>0</v>
      </c>
      <c r="Q144" s="18">
        <f>J144*'GS&lt;50 Predicted Monthly'!$V$12</f>
        <v>8079876.2161811106</v>
      </c>
      <c r="R144" s="18">
        <f>K144*'GS&lt;50 Predicted Monthly'!$V$13</f>
        <v>6932117.4217435261</v>
      </c>
      <c r="S144" s="280">
        <f t="shared" ca="1" si="19"/>
        <v>11373671.473850131</v>
      </c>
    </row>
    <row r="145" spans="1:22" x14ac:dyDescent="0.25">
      <c r="A145" s="3">
        <v>46357</v>
      </c>
      <c r="B145" s="1">
        <f t="shared" si="22"/>
        <v>2026</v>
      </c>
      <c r="C145" s="1">
        <f t="shared" si="23"/>
        <v>12</v>
      </c>
      <c r="E145" s="289">
        <f t="shared" ca="1" si="21"/>
        <v>515.92800724637686</v>
      </c>
      <c r="F145" s="289">
        <f t="shared" ca="1" si="21"/>
        <v>0</v>
      </c>
      <c r="G145" s="278"/>
      <c r="H145" s="278"/>
      <c r="I145" s="18">
        <f>'Monthly Data'!CG145</f>
        <v>0</v>
      </c>
      <c r="J145" s="4">
        <f t="shared" si="20"/>
        <v>31</v>
      </c>
      <c r="K145" s="24">
        <f>'Customer Count'!G58</f>
        <v>4545.4757485405389</v>
      </c>
      <c r="M145" s="18">
        <f>'GS&lt;50 Predicted Monthly'!$V$8</f>
        <v>-5629453.6994364997</v>
      </c>
      <c r="N145" s="18">
        <f ca="1">E145*'GS&lt;50 Predicted Monthly'!$V$9</f>
        <v>2786458.3520031748</v>
      </c>
      <c r="O145" s="18">
        <f ca="1">F145*'GS&lt;50 Predicted Monthly'!$V$10</f>
        <v>0</v>
      </c>
      <c r="P145" s="18">
        <f>I145*'GS&lt;50 Predicted Monthly'!$V$11</f>
        <v>0</v>
      </c>
      <c r="Q145" s="18">
        <f>J145*'GS&lt;50 Predicted Monthly'!$V$12</f>
        <v>8349205.4233871475</v>
      </c>
      <c r="R145" s="18">
        <f>K145*'GS&lt;50 Predicted Monthly'!$V$13</f>
        <v>6938313.9544289531</v>
      </c>
      <c r="S145" s="280">
        <f t="shared" ca="1" si="19"/>
        <v>12444524.030382775</v>
      </c>
    </row>
    <row r="148" spans="1:22" x14ac:dyDescent="0.25">
      <c r="U148" s="4"/>
      <c r="V148" s="18"/>
    </row>
    <row r="149" spans="1:22" x14ac:dyDescent="0.25">
      <c r="U149" s="4"/>
      <c r="V149" s="18"/>
    </row>
    <row r="150" spans="1:22" x14ac:dyDescent="0.25">
      <c r="U150" s="4"/>
      <c r="V150" s="4"/>
    </row>
    <row r="195" spans="9:19" x14ac:dyDescent="0.25">
      <c r="J195" s="18"/>
      <c r="L195" s="18"/>
      <c r="N195" s="18"/>
      <c r="O195" s="18"/>
      <c r="P195" s="18"/>
      <c r="Q195" s="18"/>
      <c r="R195" s="18"/>
      <c r="S195" s="18"/>
    </row>
    <row r="196" spans="9:19" x14ac:dyDescent="0.25">
      <c r="J196" s="18"/>
      <c r="L196" s="18"/>
      <c r="N196" s="18"/>
      <c r="O196" s="18"/>
      <c r="P196" s="18"/>
      <c r="Q196" s="18"/>
      <c r="R196" s="18"/>
      <c r="S196" s="18"/>
    </row>
    <row r="197" spans="9:19" x14ac:dyDescent="0.25">
      <c r="J197" s="18"/>
      <c r="L197" s="18"/>
      <c r="N197" s="18"/>
      <c r="O197" s="18"/>
      <c r="P197" s="18"/>
      <c r="Q197" s="18"/>
      <c r="R197" s="18"/>
      <c r="S197" s="18"/>
    </row>
    <row r="198" spans="9:19" x14ac:dyDescent="0.25">
      <c r="J198" s="18"/>
      <c r="L198" s="18"/>
      <c r="N198" s="18"/>
      <c r="O198" s="18"/>
      <c r="P198" s="18"/>
      <c r="Q198" s="18"/>
      <c r="R198" s="18"/>
      <c r="S198" s="18"/>
    </row>
    <row r="199" spans="9:19" x14ac:dyDescent="0.25">
      <c r="J199" s="18"/>
      <c r="L199" s="18"/>
      <c r="N199" s="18"/>
      <c r="O199" s="18"/>
      <c r="P199" s="18"/>
      <c r="Q199" s="18"/>
      <c r="R199" s="18"/>
      <c r="S199" s="18"/>
    </row>
    <row r="200" spans="9:19" x14ac:dyDescent="0.25">
      <c r="J200" s="18"/>
      <c r="L200" s="18"/>
      <c r="N200" s="18"/>
      <c r="O200" s="18"/>
      <c r="P200" s="18"/>
      <c r="Q200" s="18"/>
      <c r="R200" s="18"/>
      <c r="S200" s="18"/>
    </row>
    <row r="201" spans="9:19" x14ac:dyDescent="0.25">
      <c r="J201" s="18"/>
      <c r="L201" s="18"/>
      <c r="N201" s="18"/>
      <c r="O201" s="18"/>
      <c r="P201" s="18"/>
      <c r="Q201" s="18"/>
      <c r="R201" s="18"/>
      <c r="S201" s="18"/>
    </row>
    <row r="202" spans="9:19" x14ac:dyDescent="0.25">
      <c r="J202" s="18"/>
      <c r="L202" s="18"/>
      <c r="N202" s="18"/>
      <c r="O202" s="18"/>
      <c r="P202" s="18"/>
      <c r="Q202" s="18"/>
      <c r="R202" s="18"/>
      <c r="S202" s="18"/>
    </row>
    <row r="203" spans="9:19" x14ac:dyDescent="0.25">
      <c r="I203" s="1"/>
    </row>
    <row r="204" spans="9:19" x14ac:dyDescent="0.25">
      <c r="I204" s="1"/>
      <c r="L204" s="24"/>
      <c r="M204" s="24"/>
      <c r="N204" s="24"/>
      <c r="O204" s="24"/>
      <c r="P204" s="24"/>
      <c r="Q204" s="24"/>
      <c r="R204" s="24"/>
      <c r="S204" s="2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7" tint="0.79998168889431442"/>
  </sheetPr>
  <dimension ref="A2:AL235"/>
  <sheetViews>
    <sheetView topLeftCell="A97" workbookViewId="0">
      <selection activeCell="H117" sqref="H117"/>
    </sheetView>
  </sheetViews>
  <sheetFormatPr defaultColWidth="9.33203125" defaultRowHeight="13.2" customHeight="1" x14ac:dyDescent="0.25"/>
  <cols>
    <col min="1" max="1" width="11.33203125" style="1" bestFit="1" customWidth="1"/>
    <col min="2" max="3" width="9.33203125" style="1"/>
    <col min="4" max="7" width="10.33203125" style="1" bestFit="1" customWidth="1"/>
    <col min="8" max="8" width="12.6640625" style="1" bestFit="1" customWidth="1"/>
    <col min="9" max="9" width="15.44140625" style="1" bestFit="1" customWidth="1"/>
    <col min="10" max="10" width="19.44140625" style="1" bestFit="1" customWidth="1"/>
    <col min="11" max="19" width="11" style="1" customWidth="1"/>
    <col min="20" max="21" width="9.33203125" style="1"/>
    <col min="22" max="22" width="12" style="1" customWidth="1"/>
    <col min="23" max="23" width="8.33203125" style="1" customWidth="1"/>
    <col min="24" max="24" width="14" style="1" bestFit="1" customWidth="1"/>
    <col min="25" max="25" width="13.44140625" style="1" bestFit="1" customWidth="1"/>
    <col min="26" max="26" width="13" style="1" bestFit="1" customWidth="1"/>
    <col min="27" max="27" width="18.77734375" style="1" customWidth="1"/>
    <col min="28" max="28" width="12.109375" style="1" customWidth="1"/>
    <col min="29" max="29" width="13.109375" style="1" customWidth="1"/>
    <col min="30" max="30" width="12.44140625" style="1" customWidth="1"/>
    <col min="31" max="31" width="7.77734375" style="1" customWidth="1"/>
    <col min="32" max="32" width="11.33203125" style="1" customWidth="1"/>
    <col min="33" max="34" width="14.33203125" style="1" bestFit="1" customWidth="1"/>
    <col min="35" max="36" width="9.44140625" style="1" bestFit="1" customWidth="1"/>
    <col min="37" max="16384" width="9.33203125" style="1"/>
  </cols>
  <sheetData>
    <row r="2" spans="1:38" ht="13.2" customHeight="1" x14ac:dyDescent="0.25">
      <c r="A2" s="1" t="s">
        <v>0</v>
      </c>
      <c r="B2" s="1" t="s">
        <v>1</v>
      </c>
      <c r="D2" s="1" t="s">
        <v>40</v>
      </c>
      <c r="E2" s="1" t="s">
        <v>41</v>
      </c>
      <c r="F2" s="1" t="s">
        <v>42</v>
      </c>
      <c r="G2" s="1" t="s">
        <v>43</v>
      </c>
      <c r="H2" s="1" t="s">
        <v>34</v>
      </c>
      <c r="I2" s="1" t="s">
        <v>35</v>
      </c>
      <c r="J2" s="1" t="s">
        <v>36</v>
      </c>
      <c r="K2" s="1" t="s">
        <v>37</v>
      </c>
      <c r="L2" s="1" t="s">
        <v>38</v>
      </c>
      <c r="M2" s="1" t="s">
        <v>39</v>
      </c>
      <c r="N2" s="1" t="str">
        <f>D2</f>
        <v>Ont_FTEAdj</v>
      </c>
      <c r="O2" s="1" t="str">
        <f>E2</f>
        <v>Ont_FTE</v>
      </c>
      <c r="P2" s="1" t="str">
        <f>F2</f>
        <v>Osh_FTEAdj</v>
      </c>
      <c r="Q2" s="1" t="str">
        <f>G2</f>
        <v>Osh_FTE</v>
      </c>
      <c r="R2" s="1" t="str">
        <f>H2</f>
        <v>ON GDP</v>
      </c>
      <c r="S2" s="1" t="str">
        <f>K2</f>
        <v>OEA_GDP</v>
      </c>
      <c r="T2" s="1" t="str">
        <f>L2</f>
        <v>OEA_Services</v>
      </c>
      <c r="U2" s="1" t="str">
        <f>M2</f>
        <v>OEA_Transport&amp;WH</v>
      </c>
      <c r="AC2" s="422"/>
      <c r="AD2" s="3"/>
      <c r="AE2" s="3"/>
      <c r="AF2" s="3"/>
      <c r="AG2" s="3"/>
      <c r="AH2" s="3"/>
      <c r="AI2" s="3"/>
      <c r="AJ2" s="3"/>
      <c r="AK2" s="3"/>
      <c r="AL2" s="3"/>
    </row>
    <row r="3" spans="1:38" ht="13.2" customHeight="1" x14ac:dyDescent="0.25">
      <c r="D3" s="469" t="s">
        <v>118</v>
      </c>
      <c r="E3" s="469"/>
      <c r="F3" s="469"/>
      <c r="G3" s="469"/>
      <c r="H3" s="470" t="s">
        <v>119</v>
      </c>
      <c r="I3" s="470"/>
      <c r="J3" s="470"/>
      <c r="K3" s="470" t="s">
        <v>120</v>
      </c>
      <c r="L3" s="470"/>
      <c r="M3" s="470"/>
      <c r="N3" s="424" t="s">
        <v>121</v>
      </c>
      <c r="O3" s="424" t="s">
        <v>121</v>
      </c>
      <c r="P3" s="424" t="s">
        <v>121</v>
      </c>
      <c r="Q3" s="424" t="s">
        <v>121</v>
      </c>
      <c r="R3" s="424" t="s">
        <v>121</v>
      </c>
      <c r="S3" s="424"/>
      <c r="T3" s="424"/>
      <c r="U3" s="424"/>
      <c r="AC3" s="422"/>
      <c r="AD3" s="3"/>
      <c r="AE3" s="3"/>
      <c r="AF3" s="3"/>
      <c r="AG3" s="3"/>
      <c r="AH3" s="3"/>
      <c r="AI3" s="3"/>
      <c r="AJ3" s="3"/>
      <c r="AK3" s="3"/>
      <c r="AL3" s="3"/>
    </row>
    <row r="4" spans="1:38" ht="13.2" customHeight="1" x14ac:dyDescent="0.25">
      <c r="A4" s="3">
        <v>42005</v>
      </c>
      <c r="B4" s="1">
        <f t="shared" ref="B4:B51" si="0">YEAR(A4)</f>
        <v>2015</v>
      </c>
      <c r="C4" s="1" t="s">
        <v>122</v>
      </c>
      <c r="D4" s="18">
        <v>6851.1</v>
      </c>
      <c r="E4" s="18">
        <v>6809.7</v>
      </c>
      <c r="F4" s="18">
        <v>201.9</v>
      </c>
      <c r="G4" s="18">
        <v>201.6</v>
      </c>
      <c r="H4" s="18">
        <v>727609.6</v>
      </c>
      <c r="I4" s="18">
        <v>557474</v>
      </c>
      <c r="J4" s="18">
        <v>49299.3</v>
      </c>
      <c r="K4" s="4">
        <v>718587</v>
      </c>
      <c r="L4" s="4">
        <v>551679</v>
      </c>
      <c r="M4" s="18">
        <v>28860</v>
      </c>
      <c r="N4" s="18"/>
      <c r="O4" s="18"/>
      <c r="P4" s="18"/>
      <c r="Q4" s="18"/>
      <c r="R4" s="24"/>
      <c r="S4" s="18"/>
      <c r="T4" s="18"/>
      <c r="U4" s="18"/>
      <c r="AD4" s="3"/>
    </row>
    <row r="5" spans="1:38" ht="13.2" customHeight="1" x14ac:dyDescent="0.25">
      <c r="A5" s="3">
        <v>42036</v>
      </c>
      <c r="B5" s="1">
        <f t="shared" si="0"/>
        <v>2015</v>
      </c>
      <c r="C5" s="1" t="s">
        <v>122</v>
      </c>
      <c r="D5" s="18">
        <v>6859.2</v>
      </c>
      <c r="E5" s="18">
        <v>6782.7</v>
      </c>
      <c r="F5" s="18">
        <v>200.2</v>
      </c>
      <c r="G5" s="18">
        <v>198.8</v>
      </c>
      <c r="H5" s="18">
        <v>727609.6</v>
      </c>
      <c r="I5" s="18">
        <v>557474</v>
      </c>
      <c r="J5" s="18">
        <v>49299.3</v>
      </c>
      <c r="K5" s="4">
        <v>718587</v>
      </c>
      <c r="L5" s="4">
        <v>551679</v>
      </c>
      <c r="M5" s="18">
        <v>28860</v>
      </c>
      <c r="N5" s="18"/>
      <c r="O5" s="18"/>
      <c r="P5" s="18"/>
      <c r="Q5" s="18"/>
      <c r="R5" s="24"/>
      <c r="S5" s="18"/>
      <c r="T5" s="18"/>
      <c r="U5" s="18"/>
      <c r="Y5" s="1" t="s">
        <v>123</v>
      </c>
    </row>
    <row r="6" spans="1:38" ht="13.2" customHeight="1" x14ac:dyDescent="0.25">
      <c r="A6" s="3">
        <v>42064</v>
      </c>
      <c r="B6" s="1">
        <f t="shared" si="0"/>
        <v>2015</v>
      </c>
      <c r="C6" s="1" t="s">
        <v>122</v>
      </c>
      <c r="D6" s="18">
        <v>6870</v>
      </c>
      <c r="E6" s="18">
        <v>6761.8</v>
      </c>
      <c r="F6" s="18">
        <v>198.4</v>
      </c>
      <c r="G6" s="18">
        <v>196</v>
      </c>
      <c r="H6" s="18">
        <v>727609.6</v>
      </c>
      <c r="I6" s="18">
        <v>557474</v>
      </c>
      <c r="J6" s="18">
        <v>49299.3</v>
      </c>
      <c r="K6" s="4">
        <v>718587</v>
      </c>
      <c r="L6" s="4">
        <v>551679</v>
      </c>
      <c r="M6" s="18">
        <v>28860</v>
      </c>
      <c r="N6" s="18"/>
      <c r="O6" s="18"/>
      <c r="P6" s="18"/>
      <c r="Q6" s="18"/>
      <c r="R6" s="24"/>
      <c r="S6" s="18"/>
      <c r="T6" s="18"/>
      <c r="U6" s="18"/>
      <c r="AC6" s="1" t="s">
        <v>124</v>
      </c>
      <c r="AF6" s="425"/>
    </row>
    <row r="7" spans="1:38" ht="13.2" customHeight="1" x14ac:dyDescent="0.25">
      <c r="A7" s="3">
        <v>42095</v>
      </c>
      <c r="B7" s="1">
        <f t="shared" si="0"/>
        <v>2015</v>
      </c>
      <c r="C7" s="1" t="s">
        <v>125</v>
      </c>
      <c r="D7" s="18">
        <v>6876.8</v>
      </c>
      <c r="E7" s="18">
        <v>6786.4</v>
      </c>
      <c r="F7" s="18">
        <v>195.5</v>
      </c>
      <c r="G7" s="18">
        <v>193.2</v>
      </c>
      <c r="H7" s="18">
        <v>727609.6</v>
      </c>
      <c r="I7" s="18">
        <v>557474</v>
      </c>
      <c r="J7" s="18">
        <v>49299.3</v>
      </c>
      <c r="K7" s="4">
        <v>723726</v>
      </c>
      <c r="L7" s="4">
        <v>555651</v>
      </c>
      <c r="M7" s="18">
        <v>28915</v>
      </c>
      <c r="N7" s="18"/>
      <c r="O7" s="18"/>
      <c r="P7" s="18"/>
      <c r="Q7" s="18"/>
      <c r="R7" s="24"/>
      <c r="S7" s="18">
        <f>K7-K4</f>
        <v>5139</v>
      </c>
      <c r="T7" s="18">
        <f t="shared" ref="T7:T23" si="1">L7-L4</f>
        <v>3972</v>
      </c>
      <c r="U7" s="18">
        <f t="shared" ref="U7:U23" si="2">M7-M4</f>
        <v>55</v>
      </c>
      <c r="X7" s="426"/>
      <c r="Y7" s="427" t="s">
        <v>126</v>
      </c>
      <c r="Z7" s="428" t="s">
        <v>127</v>
      </c>
      <c r="AA7" s="428" t="s">
        <v>128</v>
      </c>
      <c r="AB7" s="428" t="s">
        <v>129</v>
      </c>
      <c r="AC7" s="427" t="s">
        <v>130</v>
      </c>
      <c r="AD7" s="428"/>
      <c r="AE7" s="428" t="s">
        <v>131</v>
      </c>
      <c r="AF7" s="429"/>
    </row>
    <row r="8" spans="1:38" ht="13.2" customHeight="1" x14ac:dyDescent="0.25">
      <c r="A8" s="3">
        <v>42125</v>
      </c>
      <c r="B8" s="1">
        <f t="shared" si="0"/>
        <v>2015</v>
      </c>
      <c r="C8" s="1" t="s">
        <v>125</v>
      </c>
      <c r="D8" s="18">
        <v>6883.3</v>
      </c>
      <c r="E8" s="18">
        <v>6848.1</v>
      </c>
      <c r="F8" s="18">
        <v>193.3</v>
      </c>
      <c r="G8" s="18">
        <v>192.6</v>
      </c>
      <c r="H8" s="18">
        <v>727609.6</v>
      </c>
      <c r="I8" s="18">
        <v>557474</v>
      </c>
      <c r="J8" s="18">
        <v>49299.3</v>
      </c>
      <c r="K8" s="4">
        <v>723726</v>
      </c>
      <c r="L8" s="4">
        <v>555651</v>
      </c>
      <c r="M8" s="18">
        <v>28915</v>
      </c>
      <c r="N8" s="18"/>
      <c r="O8" s="18"/>
      <c r="P8" s="18"/>
      <c r="Q8" s="18"/>
      <c r="R8" s="24"/>
      <c r="S8" s="18">
        <f>K8-K5</f>
        <v>5139</v>
      </c>
      <c r="T8" s="18">
        <f t="shared" si="1"/>
        <v>3972</v>
      </c>
      <c r="U8" s="18">
        <f t="shared" si="2"/>
        <v>55</v>
      </c>
      <c r="X8" s="430"/>
      <c r="Y8" s="431">
        <v>45744</v>
      </c>
      <c r="Z8" s="431">
        <v>45729</v>
      </c>
      <c r="AA8" s="431">
        <v>45734</v>
      </c>
      <c r="AB8" s="431">
        <v>45735</v>
      </c>
      <c r="AC8" s="431">
        <v>45377</v>
      </c>
      <c r="AD8" s="432"/>
      <c r="AF8" s="433"/>
    </row>
    <row r="9" spans="1:38" ht="13.2" customHeight="1" x14ac:dyDescent="0.25">
      <c r="A9" s="3">
        <v>42156</v>
      </c>
      <c r="B9" s="1">
        <f t="shared" si="0"/>
        <v>2015</v>
      </c>
      <c r="C9" s="1" t="s">
        <v>125</v>
      </c>
      <c r="D9" s="18">
        <v>6883.6</v>
      </c>
      <c r="E9" s="18">
        <v>6930.1</v>
      </c>
      <c r="F9" s="18">
        <v>190.8</v>
      </c>
      <c r="G9" s="18">
        <v>191.9</v>
      </c>
      <c r="H9" s="18">
        <v>727609.6</v>
      </c>
      <c r="I9" s="18">
        <v>557474</v>
      </c>
      <c r="J9" s="18">
        <v>49299.3</v>
      </c>
      <c r="K9" s="4">
        <v>723726</v>
      </c>
      <c r="L9" s="4">
        <v>555651</v>
      </c>
      <c r="M9" s="18">
        <v>28915</v>
      </c>
      <c r="N9" s="18"/>
      <c r="O9" s="18"/>
      <c r="P9" s="18"/>
      <c r="Q9" s="18"/>
      <c r="R9" s="24"/>
      <c r="S9" s="18">
        <f t="shared" ref="S9:S72" si="3">K9-K6</f>
        <v>5139</v>
      </c>
      <c r="T9" s="18">
        <f t="shared" si="1"/>
        <v>3972</v>
      </c>
      <c r="U9" s="18">
        <f t="shared" si="2"/>
        <v>55</v>
      </c>
      <c r="W9" s="255"/>
      <c r="X9" s="430">
        <v>2023</v>
      </c>
      <c r="Y9" s="404">
        <v>1.7000000000000001E-2</v>
      </c>
      <c r="Z9" s="404">
        <v>1.7000000000000001E-2</v>
      </c>
      <c r="AA9" s="404">
        <v>1.7000000000000001E-2</v>
      </c>
      <c r="AB9" s="404"/>
      <c r="AC9" s="404"/>
      <c r="AD9" s="404"/>
      <c r="AE9" s="286">
        <f>AVERAGE(Y9:AB9)</f>
        <v>1.7000000000000001E-2</v>
      </c>
      <c r="AF9" s="434"/>
    </row>
    <row r="10" spans="1:38" ht="13.2" customHeight="1" x14ac:dyDescent="0.25">
      <c r="A10" s="3">
        <v>42186</v>
      </c>
      <c r="B10" s="1">
        <f t="shared" si="0"/>
        <v>2015</v>
      </c>
      <c r="C10" s="1" t="s">
        <v>132</v>
      </c>
      <c r="D10" s="18">
        <v>6891.7</v>
      </c>
      <c r="E10" s="18">
        <v>6986.1</v>
      </c>
      <c r="F10" s="18">
        <v>185.9</v>
      </c>
      <c r="G10" s="18">
        <v>188.5</v>
      </c>
      <c r="H10" s="18">
        <v>727609.6</v>
      </c>
      <c r="I10" s="18">
        <v>557474</v>
      </c>
      <c r="J10" s="18">
        <v>49299.3</v>
      </c>
      <c r="K10" s="4">
        <v>730341</v>
      </c>
      <c r="L10" s="4">
        <v>558510</v>
      </c>
      <c r="M10" s="18">
        <v>29147</v>
      </c>
      <c r="N10" s="18"/>
      <c r="O10" s="18"/>
      <c r="P10" s="18"/>
      <c r="Q10" s="18"/>
      <c r="R10" s="24"/>
      <c r="S10" s="18">
        <f t="shared" si="3"/>
        <v>6615</v>
      </c>
      <c r="T10" s="18">
        <f t="shared" si="1"/>
        <v>2859</v>
      </c>
      <c r="U10" s="18">
        <f t="shared" si="2"/>
        <v>232</v>
      </c>
      <c r="W10" s="255" t="s">
        <v>133</v>
      </c>
      <c r="X10" s="430">
        <v>2024</v>
      </c>
      <c r="Y10" s="404">
        <v>1.4999999999999999E-2</v>
      </c>
      <c r="Z10" s="404">
        <v>1.4999999999999999E-2</v>
      </c>
      <c r="AA10" s="404">
        <v>1.4999999999999999E-2</v>
      </c>
      <c r="AB10" s="404">
        <v>1.2999999999999999E-2</v>
      </c>
      <c r="AC10" s="404"/>
      <c r="AD10" s="404"/>
      <c r="AE10" s="286">
        <f>AVERAGE(Y10:AB10)</f>
        <v>1.4499999999999999E-2</v>
      </c>
      <c r="AF10" s="434"/>
    </row>
    <row r="11" spans="1:38" ht="13.2" customHeight="1" x14ac:dyDescent="0.25">
      <c r="A11" s="3">
        <v>42217</v>
      </c>
      <c r="B11" s="1">
        <f t="shared" si="0"/>
        <v>2015</v>
      </c>
      <c r="C11" s="1" t="s">
        <v>132</v>
      </c>
      <c r="D11" s="18">
        <v>6896.8</v>
      </c>
      <c r="E11" s="18">
        <v>7000.2</v>
      </c>
      <c r="F11" s="18">
        <v>183</v>
      </c>
      <c r="G11" s="18">
        <v>185.8</v>
      </c>
      <c r="H11" s="18">
        <v>727609.6</v>
      </c>
      <c r="I11" s="18">
        <v>557474</v>
      </c>
      <c r="J11" s="18">
        <v>49299.3</v>
      </c>
      <c r="K11" s="4">
        <v>730341</v>
      </c>
      <c r="L11" s="4">
        <v>558510</v>
      </c>
      <c r="M11" s="18">
        <v>29147</v>
      </c>
      <c r="N11" s="18"/>
      <c r="O11" s="18"/>
      <c r="P11" s="18"/>
      <c r="Q11" s="18"/>
      <c r="R11" s="24"/>
      <c r="S11" s="18">
        <f t="shared" si="3"/>
        <v>6615</v>
      </c>
      <c r="T11" s="18">
        <f t="shared" si="1"/>
        <v>2859</v>
      </c>
      <c r="U11" s="18">
        <f t="shared" si="2"/>
        <v>232</v>
      </c>
      <c r="W11" s="255"/>
      <c r="X11" s="430">
        <v>2025</v>
      </c>
      <c r="Y11" s="435">
        <v>-2E-3</v>
      </c>
      <c r="Z11" s="435">
        <v>1.2E-2</v>
      </c>
      <c r="AA11" s="435">
        <v>1.6E-2</v>
      </c>
      <c r="AB11" s="435">
        <v>0.01</v>
      </c>
      <c r="AC11" s="435">
        <v>1.9E-2</v>
      </c>
      <c r="AE11" s="286">
        <f>AVERAGE(Y11:AB11)</f>
        <v>9.0000000000000011E-3</v>
      </c>
      <c r="AF11" s="434"/>
    </row>
    <row r="12" spans="1:38" ht="13.2" customHeight="1" x14ac:dyDescent="0.25">
      <c r="A12" s="3">
        <v>42248</v>
      </c>
      <c r="B12" s="1">
        <f t="shared" si="0"/>
        <v>2015</v>
      </c>
      <c r="C12" s="1" t="s">
        <v>132</v>
      </c>
      <c r="D12" s="18">
        <v>6893.1</v>
      </c>
      <c r="E12" s="18">
        <v>6953.7</v>
      </c>
      <c r="F12" s="18">
        <v>181.7</v>
      </c>
      <c r="G12" s="18">
        <v>183</v>
      </c>
      <c r="H12" s="18">
        <v>727609.6</v>
      </c>
      <c r="I12" s="18">
        <v>557474</v>
      </c>
      <c r="J12" s="18">
        <v>49299.3</v>
      </c>
      <c r="K12" s="4">
        <v>730341</v>
      </c>
      <c r="L12" s="4">
        <v>558510</v>
      </c>
      <c r="M12" s="18">
        <v>29147</v>
      </c>
      <c r="N12" s="18"/>
      <c r="O12" s="18"/>
      <c r="P12" s="18"/>
      <c r="Q12" s="18"/>
      <c r="R12" s="24"/>
      <c r="S12" s="18">
        <f t="shared" si="3"/>
        <v>6615</v>
      </c>
      <c r="T12" s="18">
        <f t="shared" si="1"/>
        <v>2859</v>
      </c>
      <c r="U12" s="18">
        <f t="shared" si="2"/>
        <v>232</v>
      </c>
      <c r="X12" s="430">
        <v>2026</v>
      </c>
      <c r="Y12" s="436">
        <v>2E-3</v>
      </c>
      <c r="Z12" s="436">
        <v>1.2E-2</v>
      </c>
      <c r="AA12" s="436">
        <v>1.2999999999999999E-2</v>
      </c>
      <c r="AB12" s="436">
        <v>8.9999999999999993E-3</v>
      </c>
      <c r="AC12" s="404">
        <v>2.1999999999999999E-2</v>
      </c>
      <c r="AE12" s="286">
        <f>AVERAGE(Y12:AB12)</f>
        <v>8.9999999999999993E-3</v>
      </c>
      <c r="AF12" s="433"/>
    </row>
    <row r="13" spans="1:38" ht="13.2" customHeight="1" x14ac:dyDescent="0.25">
      <c r="A13" s="3">
        <v>42278</v>
      </c>
      <c r="B13" s="1">
        <f t="shared" si="0"/>
        <v>2015</v>
      </c>
      <c r="C13" s="1" t="s">
        <v>134</v>
      </c>
      <c r="D13" s="18">
        <v>6892.9</v>
      </c>
      <c r="E13" s="18">
        <v>6932.8</v>
      </c>
      <c r="F13" s="18">
        <v>187.1</v>
      </c>
      <c r="G13" s="18">
        <v>187.5</v>
      </c>
      <c r="H13" s="18">
        <v>727609.6</v>
      </c>
      <c r="I13" s="18">
        <v>557474</v>
      </c>
      <c r="J13" s="18">
        <v>49299.3</v>
      </c>
      <c r="K13" s="4">
        <v>737784</v>
      </c>
      <c r="L13" s="4">
        <v>564056</v>
      </c>
      <c r="M13" s="18">
        <v>29355</v>
      </c>
      <c r="N13" s="18"/>
      <c r="O13" s="18"/>
      <c r="P13" s="18"/>
      <c r="Q13" s="18"/>
      <c r="R13" s="24"/>
      <c r="S13" s="18">
        <f t="shared" si="3"/>
        <v>7443</v>
      </c>
      <c r="T13" s="18">
        <f t="shared" si="1"/>
        <v>5546</v>
      </c>
      <c r="U13" s="18">
        <f t="shared" si="2"/>
        <v>208</v>
      </c>
      <c r="X13" s="430"/>
      <c r="AC13" s="404"/>
      <c r="AE13" s="286"/>
      <c r="AF13" s="433"/>
    </row>
    <row r="14" spans="1:38" ht="13.2" customHeight="1" x14ac:dyDescent="0.25">
      <c r="A14" s="3">
        <v>42309</v>
      </c>
      <c r="B14" s="1">
        <f t="shared" si="0"/>
        <v>2015</v>
      </c>
      <c r="C14" s="1" t="s">
        <v>134</v>
      </c>
      <c r="D14" s="18">
        <v>6886.2</v>
      </c>
      <c r="E14" s="18">
        <v>6898.2</v>
      </c>
      <c r="F14" s="18">
        <v>192.5</v>
      </c>
      <c r="G14" s="18">
        <v>192.1</v>
      </c>
      <c r="H14" s="18">
        <v>727609.6</v>
      </c>
      <c r="I14" s="18">
        <v>557474</v>
      </c>
      <c r="J14" s="18">
        <v>49299.3</v>
      </c>
      <c r="K14" s="4">
        <v>737784</v>
      </c>
      <c r="L14" s="4">
        <v>564056</v>
      </c>
      <c r="M14" s="18">
        <v>29355</v>
      </c>
      <c r="N14" s="18"/>
      <c r="O14" s="18"/>
      <c r="P14" s="18"/>
      <c r="Q14" s="18"/>
      <c r="R14" s="24"/>
      <c r="S14" s="18">
        <f t="shared" si="3"/>
        <v>7443</v>
      </c>
      <c r="T14" s="18">
        <f t="shared" si="1"/>
        <v>5546</v>
      </c>
      <c r="U14" s="18">
        <f t="shared" si="2"/>
        <v>208</v>
      </c>
      <c r="X14" s="437"/>
      <c r="AC14" s="286"/>
      <c r="AE14" s="286"/>
      <c r="AF14" s="433"/>
    </row>
    <row r="15" spans="1:38" ht="13.2" customHeight="1" x14ac:dyDescent="0.25">
      <c r="A15" s="3">
        <v>42339</v>
      </c>
      <c r="B15" s="1">
        <f t="shared" si="0"/>
        <v>2015</v>
      </c>
      <c r="C15" s="1" t="s">
        <v>134</v>
      </c>
      <c r="D15" s="18">
        <v>6895.6</v>
      </c>
      <c r="E15" s="18">
        <v>6902.3</v>
      </c>
      <c r="F15" s="18">
        <v>199.4</v>
      </c>
      <c r="G15" s="18">
        <v>199.5</v>
      </c>
      <c r="H15" s="18">
        <v>727609.6</v>
      </c>
      <c r="I15" s="18">
        <v>557474</v>
      </c>
      <c r="J15" s="18">
        <v>49299.3</v>
      </c>
      <c r="K15" s="4">
        <v>737784</v>
      </c>
      <c r="L15" s="4">
        <v>564056</v>
      </c>
      <c r="M15" s="18">
        <v>29355</v>
      </c>
      <c r="N15" s="18"/>
      <c r="O15" s="18"/>
      <c r="P15" s="18"/>
      <c r="Q15" s="18"/>
      <c r="R15" s="24"/>
      <c r="S15" s="18">
        <f t="shared" si="3"/>
        <v>7443</v>
      </c>
      <c r="T15" s="18">
        <f t="shared" si="1"/>
        <v>5546</v>
      </c>
      <c r="U15" s="18">
        <f t="shared" si="2"/>
        <v>208</v>
      </c>
      <c r="W15" s="255"/>
      <c r="X15" s="430"/>
      <c r="Y15" s="431">
        <v>45744</v>
      </c>
      <c r="Z15" s="431">
        <v>45729</v>
      </c>
      <c r="AA15" s="431">
        <v>45734</v>
      </c>
      <c r="AB15" s="431">
        <v>45735</v>
      </c>
      <c r="AC15" s="431"/>
      <c r="AD15" s="432"/>
      <c r="AF15" s="434"/>
    </row>
    <row r="16" spans="1:38" ht="13.2" customHeight="1" x14ac:dyDescent="0.25">
      <c r="A16" s="3">
        <v>42370</v>
      </c>
      <c r="B16" s="1">
        <f t="shared" si="0"/>
        <v>2016</v>
      </c>
      <c r="C16" s="1" t="str">
        <f>C4</f>
        <v>Q1</v>
      </c>
      <c r="D16" s="18">
        <v>6908.4</v>
      </c>
      <c r="E16" s="18">
        <v>6871.2</v>
      </c>
      <c r="F16" s="18">
        <v>204.2</v>
      </c>
      <c r="G16" s="18">
        <v>203.8</v>
      </c>
      <c r="H16" s="18">
        <v>743976.2</v>
      </c>
      <c r="I16" s="18">
        <v>571846.40000000002</v>
      </c>
      <c r="J16" s="18">
        <v>51922</v>
      </c>
      <c r="K16" s="4">
        <v>743287</v>
      </c>
      <c r="L16" s="4">
        <v>568664</v>
      </c>
      <c r="M16" s="18">
        <v>29546</v>
      </c>
      <c r="N16" s="18">
        <f t="shared" ref="N16:N47" si="4">D16-D4</f>
        <v>57.299999999999272</v>
      </c>
      <c r="O16" s="18">
        <f t="shared" ref="O16:O47" si="5">E16-E4</f>
        <v>61.5</v>
      </c>
      <c r="P16" s="18">
        <f t="shared" ref="P16:P47" si="6">F16-F4</f>
        <v>2.2999999999999829</v>
      </c>
      <c r="Q16" s="18">
        <f t="shared" ref="Q16:Q47" si="7">G16-G4</f>
        <v>2.2000000000000171</v>
      </c>
      <c r="R16" s="24">
        <f t="shared" ref="R16:R72" si="8">H16-H4</f>
        <v>16366.599999999977</v>
      </c>
      <c r="S16" s="18">
        <f t="shared" si="3"/>
        <v>5503</v>
      </c>
      <c r="T16" s="18">
        <f t="shared" si="1"/>
        <v>4608</v>
      </c>
      <c r="U16" s="18">
        <f t="shared" si="2"/>
        <v>191</v>
      </c>
      <c r="W16" s="255"/>
      <c r="X16" s="430">
        <v>2023</v>
      </c>
      <c r="Y16" s="404">
        <v>2.4E-2</v>
      </c>
      <c r="Z16" s="404">
        <v>2.4E-2</v>
      </c>
      <c r="AA16" s="404">
        <v>3.1E-2</v>
      </c>
      <c r="AB16" s="404"/>
      <c r="AC16" s="404">
        <v>2.4E-2</v>
      </c>
      <c r="AD16" s="404"/>
      <c r="AE16" s="286">
        <f>AVERAGE(Y16:AB16)</f>
        <v>2.6333333333333334E-2</v>
      </c>
      <c r="AF16" s="434"/>
    </row>
    <row r="17" spans="1:32" ht="13.2" customHeight="1" x14ac:dyDescent="0.25">
      <c r="A17" s="3">
        <v>42401</v>
      </c>
      <c r="B17" s="1">
        <f t="shared" si="0"/>
        <v>2016</v>
      </c>
      <c r="C17" s="1" t="str">
        <f t="shared" ref="C17:C80" si="9">C5</f>
        <v>Q1</v>
      </c>
      <c r="D17" s="18">
        <v>6922.3</v>
      </c>
      <c r="E17" s="18">
        <v>6850.4</v>
      </c>
      <c r="F17" s="18">
        <v>205.6</v>
      </c>
      <c r="G17" s="18">
        <v>204.2</v>
      </c>
      <c r="H17" s="18">
        <v>743976.2</v>
      </c>
      <c r="I17" s="18">
        <v>571846.40000000002</v>
      </c>
      <c r="J17" s="18">
        <v>51922</v>
      </c>
      <c r="K17" s="4">
        <v>743287</v>
      </c>
      <c r="L17" s="4">
        <v>568664</v>
      </c>
      <c r="M17" s="18">
        <v>29546</v>
      </c>
      <c r="N17" s="18">
        <f t="shared" si="4"/>
        <v>63.100000000000364</v>
      </c>
      <c r="O17" s="18">
        <f t="shared" si="5"/>
        <v>67.699999999999818</v>
      </c>
      <c r="P17" s="18">
        <f t="shared" si="6"/>
        <v>5.4000000000000057</v>
      </c>
      <c r="Q17" s="18">
        <f t="shared" si="7"/>
        <v>5.3999999999999773</v>
      </c>
      <c r="R17" s="24">
        <f t="shared" si="8"/>
        <v>16366.599999999977</v>
      </c>
      <c r="S17" s="18">
        <f t="shared" si="3"/>
        <v>5503</v>
      </c>
      <c r="T17" s="18">
        <f t="shared" si="1"/>
        <v>4608</v>
      </c>
      <c r="U17" s="18">
        <f t="shared" si="2"/>
        <v>191</v>
      </c>
      <c r="W17" s="255" t="s">
        <v>135</v>
      </c>
      <c r="X17" s="430">
        <v>2024</v>
      </c>
      <c r="Y17" s="404">
        <v>1.6E-2</v>
      </c>
      <c r="Z17" s="404">
        <v>1.7000000000000001E-2</v>
      </c>
      <c r="AA17" s="404">
        <v>1.7000000000000001E-2</v>
      </c>
      <c r="AB17" s="404">
        <v>1.7000000000000001E-2</v>
      </c>
      <c r="AC17" s="404">
        <v>8.0000000000000002E-3</v>
      </c>
      <c r="AD17" s="295"/>
      <c r="AE17" s="286">
        <f>AVERAGE(Y17:AB17)</f>
        <v>1.6750000000000001E-2</v>
      </c>
      <c r="AF17" s="434"/>
    </row>
    <row r="18" spans="1:32" ht="13.2" customHeight="1" x14ac:dyDescent="0.25">
      <c r="A18" s="3">
        <v>42430</v>
      </c>
      <c r="B18" s="1">
        <f t="shared" si="0"/>
        <v>2016</v>
      </c>
      <c r="C18" s="1" t="str">
        <f t="shared" si="9"/>
        <v>Q1</v>
      </c>
      <c r="D18" s="18">
        <v>6930.2</v>
      </c>
      <c r="E18" s="18">
        <v>6827.3</v>
      </c>
      <c r="F18" s="18">
        <v>206.5</v>
      </c>
      <c r="G18" s="18">
        <v>204.2</v>
      </c>
      <c r="H18" s="18">
        <v>743976.2</v>
      </c>
      <c r="I18" s="18">
        <v>571846.40000000002</v>
      </c>
      <c r="J18" s="18">
        <v>51922</v>
      </c>
      <c r="K18" s="4">
        <v>743287</v>
      </c>
      <c r="L18" s="4">
        <v>568664</v>
      </c>
      <c r="M18" s="18">
        <v>29546</v>
      </c>
      <c r="N18" s="18">
        <f t="shared" si="4"/>
        <v>60.199999999999818</v>
      </c>
      <c r="O18" s="18">
        <f t="shared" si="5"/>
        <v>65.5</v>
      </c>
      <c r="P18" s="18">
        <f t="shared" si="6"/>
        <v>8.0999999999999943</v>
      </c>
      <c r="Q18" s="18">
        <f t="shared" si="7"/>
        <v>8.1999999999999886</v>
      </c>
      <c r="R18" s="24">
        <f t="shared" si="8"/>
        <v>16366.599999999977</v>
      </c>
      <c r="S18" s="18">
        <f t="shared" si="3"/>
        <v>5503</v>
      </c>
      <c r="T18" s="18">
        <f t="shared" si="1"/>
        <v>4608</v>
      </c>
      <c r="U18" s="18">
        <f t="shared" si="2"/>
        <v>191</v>
      </c>
      <c r="W18" s="255"/>
      <c r="X18" s="430">
        <v>2025</v>
      </c>
      <c r="Y18" s="404">
        <v>6.0000000000000001E-3</v>
      </c>
      <c r="Z18" s="404">
        <v>1.4E-2</v>
      </c>
      <c r="AA18" s="404">
        <v>1.2999999999999999E-2</v>
      </c>
      <c r="AB18" s="404">
        <v>1.4E-2</v>
      </c>
      <c r="AC18" s="404">
        <v>1.7000000000000001E-2</v>
      </c>
      <c r="AD18" s="404"/>
      <c r="AE18" s="286">
        <f>AVERAGE(Y18:AB18)</f>
        <v>1.175E-2</v>
      </c>
      <c r="AF18" s="434"/>
    </row>
    <row r="19" spans="1:32" ht="13.2" customHeight="1" x14ac:dyDescent="0.25">
      <c r="A19" s="3">
        <v>42461</v>
      </c>
      <c r="B19" s="1">
        <f t="shared" si="0"/>
        <v>2016</v>
      </c>
      <c r="C19" s="1" t="str">
        <f t="shared" si="9"/>
        <v>Q2</v>
      </c>
      <c r="D19" s="18">
        <v>6931.9</v>
      </c>
      <c r="E19" s="18">
        <v>6843.7</v>
      </c>
      <c r="F19" s="18">
        <v>205.8</v>
      </c>
      <c r="G19" s="18">
        <v>204</v>
      </c>
      <c r="H19" s="18">
        <v>743976.2</v>
      </c>
      <c r="I19" s="18">
        <v>571846.40000000002</v>
      </c>
      <c r="J19" s="18">
        <v>51922</v>
      </c>
      <c r="K19" s="4">
        <v>740632</v>
      </c>
      <c r="L19" s="4">
        <v>569815</v>
      </c>
      <c r="M19" s="18">
        <v>29474</v>
      </c>
      <c r="N19" s="18">
        <f t="shared" si="4"/>
        <v>55.099999999999454</v>
      </c>
      <c r="O19" s="18">
        <f t="shared" si="5"/>
        <v>57.300000000000182</v>
      </c>
      <c r="P19" s="18">
        <f t="shared" si="6"/>
        <v>10.300000000000011</v>
      </c>
      <c r="Q19" s="18">
        <f t="shared" si="7"/>
        <v>10.800000000000011</v>
      </c>
      <c r="R19" s="24">
        <f t="shared" si="8"/>
        <v>16366.599999999977</v>
      </c>
      <c r="S19" s="18">
        <f t="shared" si="3"/>
        <v>-2655</v>
      </c>
      <c r="T19" s="18">
        <f t="shared" si="1"/>
        <v>1151</v>
      </c>
      <c r="U19" s="18">
        <f t="shared" si="2"/>
        <v>-72</v>
      </c>
      <c r="W19" s="255"/>
      <c r="X19" s="430">
        <v>2026</v>
      </c>
      <c r="Y19" s="404">
        <v>6.0000000000000001E-3</v>
      </c>
      <c r="Z19" s="404">
        <v>2E-3</v>
      </c>
      <c r="AA19" s="404">
        <v>7.0000000000000001E-3</v>
      </c>
      <c r="AB19" s="404">
        <v>3.0000000000000001E-3</v>
      </c>
      <c r="AC19" s="404">
        <v>1.4E-2</v>
      </c>
      <c r="AD19" s="404"/>
      <c r="AE19" s="286">
        <f>AVERAGE(Y19:AB19)</f>
        <v>4.4999999999999997E-3</v>
      </c>
      <c r="AF19" s="434"/>
    </row>
    <row r="20" spans="1:32" ht="13.2" customHeight="1" x14ac:dyDescent="0.25">
      <c r="A20" s="3">
        <v>42491</v>
      </c>
      <c r="B20" s="1">
        <f t="shared" si="0"/>
        <v>2016</v>
      </c>
      <c r="C20" s="1" t="str">
        <f t="shared" si="9"/>
        <v>Q2</v>
      </c>
      <c r="D20" s="18">
        <v>6944.7</v>
      </c>
      <c r="E20" s="18">
        <v>6913.7</v>
      </c>
      <c r="F20" s="18">
        <v>206.1</v>
      </c>
      <c r="G20" s="18">
        <v>206.1</v>
      </c>
      <c r="H20" s="18">
        <v>743976.2</v>
      </c>
      <c r="I20" s="18">
        <v>571846.40000000002</v>
      </c>
      <c r="J20" s="18">
        <v>51922</v>
      </c>
      <c r="K20" s="4">
        <v>740632</v>
      </c>
      <c r="L20" s="4">
        <v>569815</v>
      </c>
      <c r="M20" s="18">
        <v>29474</v>
      </c>
      <c r="N20" s="18">
        <f t="shared" si="4"/>
        <v>61.399999999999636</v>
      </c>
      <c r="O20" s="18">
        <f t="shared" si="5"/>
        <v>65.599999999999454</v>
      </c>
      <c r="P20" s="18">
        <f t="shared" si="6"/>
        <v>12.799999999999983</v>
      </c>
      <c r="Q20" s="18">
        <f t="shared" si="7"/>
        <v>13.5</v>
      </c>
      <c r="R20" s="24">
        <f t="shared" si="8"/>
        <v>16366.599999999977</v>
      </c>
      <c r="S20" s="18">
        <f t="shared" si="3"/>
        <v>-2655</v>
      </c>
      <c r="T20" s="18">
        <f t="shared" si="1"/>
        <v>1151</v>
      </c>
      <c r="U20" s="18">
        <f t="shared" si="2"/>
        <v>-72</v>
      </c>
      <c r="X20" s="438"/>
      <c r="Y20" s="439"/>
      <c r="Z20" s="439"/>
      <c r="AA20" s="439"/>
      <c r="AB20" s="439"/>
      <c r="AC20" s="439"/>
      <c r="AD20" s="440"/>
      <c r="AE20" s="441"/>
      <c r="AF20" s="442"/>
    </row>
    <row r="21" spans="1:32" ht="13.2" customHeight="1" x14ac:dyDescent="0.25">
      <c r="A21" s="3">
        <v>42522</v>
      </c>
      <c r="B21" s="1">
        <f t="shared" si="0"/>
        <v>2016</v>
      </c>
      <c r="C21" s="1" t="str">
        <f t="shared" si="9"/>
        <v>Q2</v>
      </c>
      <c r="D21" s="18">
        <v>6955.5</v>
      </c>
      <c r="E21" s="18">
        <v>7000.2</v>
      </c>
      <c r="F21" s="18">
        <v>204.7</v>
      </c>
      <c r="G21" s="18">
        <v>206.7</v>
      </c>
      <c r="H21" s="18">
        <v>743976.2</v>
      </c>
      <c r="I21" s="18">
        <v>571846.40000000002</v>
      </c>
      <c r="J21" s="18">
        <v>51922</v>
      </c>
      <c r="K21" s="4">
        <v>740632</v>
      </c>
      <c r="L21" s="4">
        <v>569815</v>
      </c>
      <c r="M21" s="18">
        <v>29474</v>
      </c>
      <c r="N21" s="18">
        <f t="shared" si="4"/>
        <v>71.899999999999636</v>
      </c>
      <c r="O21" s="18">
        <f t="shared" si="5"/>
        <v>70.099999999999454</v>
      </c>
      <c r="P21" s="18">
        <f t="shared" si="6"/>
        <v>13.899999999999977</v>
      </c>
      <c r="Q21" s="18">
        <f t="shared" si="7"/>
        <v>14.799999999999983</v>
      </c>
      <c r="R21" s="24">
        <f t="shared" si="8"/>
        <v>16366.599999999977</v>
      </c>
      <c r="S21" s="18">
        <f t="shared" si="3"/>
        <v>-2655</v>
      </c>
      <c r="T21" s="18">
        <f t="shared" si="1"/>
        <v>1151</v>
      </c>
      <c r="U21" s="18">
        <f t="shared" si="2"/>
        <v>-72</v>
      </c>
    </row>
    <row r="22" spans="1:32" ht="13.2" customHeight="1" x14ac:dyDescent="0.25">
      <c r="A22" s="3">
        <v>42552</v>
      </c>
      <c r="B22" s="1">
        <f t="shared" si="0"/>
        <v>2016</v>
      </c>
      <c r="C22" s="1" t="str">
        <f t="shared" si="9"/>
        <v>Q3</v>
      </c>
      <c r="D22" s="18">
        <v>6956.3</v>
      </c>
      <c r="E22" s="18">
        <v>7049.5</v>
      </c>
      <c r="F22" s="18">
        <v>206.5</v>
      </c>
      <c r="G22" s="18">
        <v>209.2</v>
      </c>
      <c r="H22" s="18">
        <v>743976.2</v>
      </c>
      <c r="I22" s="18">
        <v>571846.40000000002</v>
      </c>
      <c r="J22" s="18">
        <v>51922</v>
      </c>
      <c r="K22" s="4">
        <v>746606</v>
      </c>
      <c r="L22" s="4">
        <v>574136</v>
      </c>
      <c r="M22" s="18">
        <v>30035</v>
      </c>
      <c r="N22" s="18">
        <f t="shared" si="4"/>
        <v>64.600000000000364</v>
      </c>
      <c r="O22" s="18">
        <f t="shared" si="5"/>
        <v>63.399999999999636</v>
      </c>
      <c r="P22" s="18">
        <f t="shared" si="6"/>
        <v>20.599999999999994</v>
      </c>
      <c r="Q22" s="18">
        <f t="shared" si="7"/>
        <v>20.699999999999989</v>
      </c>
      <c r="R22" s="24">
        <f t="shared" si="8"/>
        <v>16366.599999999977</v>
      </c>
      <c r="S22" s="18">
        <f t="shared" si="3"/>
        <v>5974</v>
      </c>
      <c r="T22" s="18">
        <f t="shared" si="1"/>
        <v>4321</v>
      </c>
      <c r="U22" s="18">
        <f t="shared" si="2"/>
        <v>561</v>
      </c>
      <c r="W22" s="443"/>
      <c r="X22" s="444"/>
      <c r="Y22" s="445" t="s">
        <v>136</v>
      </c>
      <c r="Z22" s="446" t="s">
        <v>137</v>
      </c>
      <c r="AA22" s="446" t="s">
        <v>138</v>
      </c>
      <c r="AB22" s="446" t="s">
        <v>139</v>
      </c>
      <c r="AC22" s="446"/>
      <c r="AD22" s="446" t="s">
        <v>140</v>
      </c>
      <c r="AE22" s="446"/>
      <c r="AF22" s="446"/>
    </row>
    <row r="23" spans="1:32" ht="13.2" customHeight="1" x14ac:dyDescent="0.25">
      <c r="A23" s="3">
        <v>42583</v>
      </c>
      <c r="B23" s="1">
        <f t="shared" si="0"/>
        <v>2016</v>
      </c>
      <c r="C23" s="1" t="str">
        <f t="shared" si="9"/>
        <v>Q3</v>
      </c>
      <c r="D23" s="18">
        <v>6953.5</v>
      </c>
      <c r="E23" s="18">
        <v>7045.6</v>
      </c>
      <c r="F23" s="18">
        <v>209.3</v>
      </c>
      <c r="G23" s="18">
        <v>211.2</v>
      </c>
      <c r="H23" s="18">
        <v>743976.2</v>
      </c>
      <c r="I23" s="18">
        <v>571846.40000000002</v>
      </c>
      <c r="J23" s="18">
        <v>51922</v>
      </c>
      <c r="K23" s="4">
        <v>746606</v>
      </c>
      <c r="L23" s="4">
        <v>574136</v>
      </c>
      <c r="M23" s="18">
        <v>30035</v>
      </c>
      <c r="N23" s="18">
        <f t="shared" si="4"/>
        <v>56.699999999999818</v>
      </c>
      <c r="O23" s="18">
        <f t="shared" si="5"/>
        <v>45.400000000000546</v>
      </c>
      <c r="P23" s="18">
        <f t="shared" si="6"/>
        <v>26.300000000000011</v>
      </c>
      <c r="Q23" s="18">
        <f t="shared" si="7"/>
        <v>25.399999999999977</v>
      </c>
      <c r="R23" s="24">
        <f t="shared" si="8"/>
        <v>16366.599999999977</v>
      </c>
      <c r="S23" s="18">
        <f t="shared" si="3"/>
        <v>5974</v>
      </c>
      <c r="T23" s="18">
        <f t="shared" si="1"/>
        <v>4321</v>
      </c>
      <c r="U23" s="18">
        <f t="shared" si="2"/>
        <v>561</v>
      </c>
      <c r="X23" s="447"/>
      <c r="Y23" s="446"/>
      <c r="Z23" s="446"/>
      <c r="AA23" s="446"/>
      <c r="AB23" s="446"/>
      <c r="AC23" s="446"/>
      <c r="AD23" s="446" t="s">
        <v>141</v>
      </c>
      <c r="AE23" s="446"/>
      <c r="AF23" s="446"/>
    </row>
    <row r="24" spans="1:32" ht="13.2" customHeight="1" x14ac:dyDescent="0.25">
      <c r="A24" s="3">
        <v>42614</v>
      </c>
      <c r="B24" s="1">
        <f t="shared" si="0"/>
        <v>2016</v>
      </c>
      <c r="C24" s="1" t="str">
        <f t="shared" si="9"/>
        <v>Q3</v>
      </c>
      <c r="D24" s="18">
        <v>6950.1</v>
      </c>
      <c r="E24" s="18">
        <v>6998.1</v>
      </c>
      <c r="F24" s="18">
        <v>213.5</v>
      </c>
      <c r="G24" s="18">
        <v>213.3</v>
      </c>
      <c r="H24" s="18">
        <v>743976.2</v>
      </c>
      <c r="I24" s="18">
        <v>571846.40000000002</v>
      </c>
      <c r="J24" s="18">
        <v>51922</v>
      </c>
      <c r="K24" s="4">
        <v>746606</v>
      </c>
      <c r="L24" s="4">
        <v>574136</v>
      </c>
      <c r="M24" s="18">
        <v>30035</v>
      </c>
      <c r="N24" s="18">
        <f t="shared" si="4"/>
        <v>57</v>
      </c>
      <c r="O24" s="18">
        <f t="shared" si="5"/>
        <v>44.400000000000546</v>
      </c>
      <c r="P24" s="18">
        <f t="shared" si="6"/>
        <v>31.800000000000011</v>
      </c>
      <c r="Q24" s="18">
        <f t="shared" si="7"/>
        <v>30.300000000000011</v>
      </c>
      <c r="R24" s="24">
        <f t="shared" si="8"/>
        <v>16366.599999999977</v>
      </c>
      <c r="S24" s="18">
        <f t="shared" si="3"/>
        <v>5974</v>
      </c>
      <c r="T24" s="18">
        <f t="shared" ref="T24:T87" si="10">L24-L21</f>
        <v>4321</v>
      </c>
      <c r="U24" s="18">
        <f t="shared" ref="U24:U87" si="11">M24-M21</f>
        <v>561</v>
      </c>
      <c r="W24" s="295"/>
      <c r="X24" s="448"/>
      <c r="Y24" s="446"/>
      <c r="Z24" s="446"/>
      <c r="AA24" s="446"/>
      <c r="AB24" s="446"/>
      <c r="AC24" s="446"/>
      <c r="AD24" s="446"/>
      <c r="AE24" s="446"/>
      <c r="AF24" s="446"/>
    </row>
    <row r="25" spans="1:32" ht="13.2" customHeight="1" x14ac:dyDescent="0.25">
      <c r="A25" s="3">
        <v>42644</v>
      </c>
      <c r="B25" s="1">
        <f t="shared" si="0"/>
        <v>2016</v>
      </c>
      <c r="C25" s="1" t="str">
        <f t="shared" si="9"/>
        <v>Q4</v>
      </c>
      <c r="D25" s="18">
        <v>6963.9</v>
      </c>
      <c r="E25" s="18">
        <v>6990.5</v>
      </c>
      <c r="F25" s="18">
        <v>214.3</v>
      </c>
      <c r="G25" s="18">
        <v>213.5</v>
      </c>
      <c r="H25" s="18">
        <v>743976.2</v>
      </c>
      <c r="I25" s="18">
        <v>571846.40000000002</v>
      </c>
      <c r="J25" s="18">
        <v>51922</v>
      </c>
      <c r="K25" s="4">
        <v>745380</v>
      </c>
      <c r="L25" s="4">
        <v>574771</v>
      </c>
      <c r="M25" s="18">
        <v>30202</v>
      </c>
      <c r="N25" s="18">
        <f t="shared" si="4"/>
        <v>71</v>
      </c>
      <c r="O25" s="18">
        <f t="shared" si="5"/>
        <v>57.699999999999818</v>
      </c>
      <c r="P25" s="18">
        <f t="shared" si="6"/>
        <v>27.200000000000017</v>
      </c>
      <c r="Q25" s="18">
        <f t="shared" si="7"/>
        <v>26</v>
      </c>
      <c r="R25" s="24">
        <f t="shared" si="8"/>
        <v>16366.599999999977</v>
      </c>
      <c r="S25" s="18">
        <f t="shared" si="3"/>
        <v>-1226</v>
      </c>
      <c r="T25" s="18">
        <f t="shared" si="10"/>
        <v>635</v>
      </c>
      <c r="U25" s="18">
        <f t="shared" si="11"/>
        <v>167</v>
      </c>
    </row>
    <row r="26" spans="1:32" ht="13.2" customHeight="1" x14ac:dyDescent="0.25">
      <c r="A26" s="3">
        <v>42675</v>
      </c>
      <c r="B26" s="1">
        <f t="shared" si="0"/>
        <v>2016</v>
      </c>
      <c r="C26" s="1" t="str">
        <f t="shared" si="9"/>
        <v>Q4</v>
      </c>
      <c r="D26" s="18">
        <v>6977.8</v>
      </c>
      <c r="E26" s="18">
        <v>6983.4</v>
      </c>
      <c r="F26" s="18">
        <v>215.1</v>
      </c>
      <c r="G26" s="18">
        <v>214.1</v>
      </c>
      <c r="H26" s="18">
        <v>743976.2</v>
      </c>
      <c r="I26" s="18">
        <v>571846.40000000002</v>
      </c>
      <c r="J26" s="18">
        <v>51922</v>
      </c>
      <c r="K26" s="4">
        <v>745380</v>
      </c>
      <c r="L26" s="4">
        <v>574771</v>
      </c>
      <c r="M26" s="18">
        <v>30202</v>
      </c>
      <c r="N26" s="18">
        <f t="shared" si="4"/>
        <v>91.600000000000364</v>
      </c>
      <c r="O26" s="18">
        <f t="shared" si="5"/>
        <v>85.199999999999818</v>
      </c>
      <c r="P26" s="18">
        <f t="shared" si="6"/>
        <v>22.599999999999994</v>
      </c>
      <c r="Q26" s="18">
        <f t="shared" si="7"/>
        <v>22</v>
      </c>
      <c r="R26" s="24">
        <f t="shared" si="8"/>
        <v>16366.599999999977</v>
      </c>
      <c r="S26" s="18">
        <f t="shared" si="3"/>
        <v>-1226</v>
      </c>
      <c r="T26" s="18">
        <f t="shared" si="10"/>
        <v>635</v>
      </c>
      <c r="U26" s="18">
        <f t="shared" si="11"/>
        <v>167</v>
      </c>
      <c r="AE26" s="449"/>
    </row>
    <row r="27" spans="1:32" ht="13.2" customHeight="1" x14ac:dyDescent="0.25">
      <c r="A27" s="3">
        <v>42705</v>
      </c>
      <c r="B27" s="1">
        <f t="shared" si="0"/>
        <v>2016</v>
      </c>
      <c r="C27" s="1" t="str">
        <f t="shared" si="9"/>
        <v>Q4</v>
      </c>
      <c r="D27" s="18">
        <v>6992.4</v>
      </c>
      <c r="E27" s="18">
        <v>6999.9</v>
      </c>
      <c r="F27" s="18">
        <v>215.7</v>
      </c>
      <c r="G27" s="18">
        <v>215.4</v>
      </c>
      <c r="H27" s="18">
        <v>743976.2</v>
      </c>
      <c r="I27" s="18">
        <v>571846.40000000002</v>
      </c>
      <c r="J27" s="18">
        <v>51922</v>
      </c>
      <c r="K27" s="4">
        <v>745380</v>
      </c>
      <c r="L27" s="4">
        <v>574771</v>
      </c>
      <c r="M27" s="18">
        <v>30202</v>
      </c>
      <c r="N27" s="18">
        <f t="shared" si="4"/>
        <v>96.799999999999272</v>
      </c>
      <c r="O27" s="18">
        <f t="shared" si="5"/>
        <v>97.599999999999454</v>
      </c>
      <c r="P27" s="18">
        <f t="shared" si="6"/>
        <v>16.299999999999983</v>
      </c>
      <c r="Q27" s="18">
        <f t="shared" si="7"/>
        <v>15.900000000000006</v>
      </c>
      <c r="R27" s="24">
        <f t="shared" si="8"/>
        <v>16366.599999999977</v>
      </c>
      <c r="S27" s="18">
        <f t="shared" si="3"/>
        <v>-1226</v>
      </c>
      <c r="T27" s="18">
        <f t="shared" si="10"/>
        <v>635</v>
      </c>
      <c r="U27" s="18">
        <f t="shared" si="11"/>
        <v>167</v>
      </c>
    </row>
    <row r="28" spans="1:32" ht="13.2" customHeight="1" x14ac:dyDescent="0.25">
      <c r="A28" s="3">
        <v>42736</v>
      </c>
      <c r="B28" s="1">
        <f t="shared" si="0"/>
        <v>2017</v>
      </c>
      <c r="C28" s="1" t="str">
        <f t="shared" si="9"/>
        <v>Q1</v>
      </c>
      <c r="D28" s="18">
        <v>7014.6</v>
      </c>
      <c r="E28" s="18">
        <v>6982.5</v>
      </c>
      <c r="F28" s="18">
        <v>215.5</v>
      </c>
      <c r="G28" s="18">
        <v>214.4</v>
      </c>
      <c r="H28" s="18">
        <v>764464.8</v>
      </c>
      <c r="I28" s="18">
        <v>590729.4</v>
      </c>
      <c r="J28" s="18">
        <v>53985.7</v>
      </c>
      <c r="K28" s="4">
        <v>756702</v>
      </c>
      <c r="L28" s="4">
        <v>583158</v>
      </c>
      <c r="M28" s="18">
        <v>30665</v>
      </c>
      <c r="N28" s="18">
        <f t="shared" si="4"/>
        <v>106.20000000000073</v>
      </c>
      <c r="O28" s="18">
        <f t="shared" si="5"/>
        <v>111.30000000000018</v>
      </c>
      <c r="P28" s="18">
        <f t="shared" si="6"/>
        <v>11.300000000000011</v>
      </c>
      <c r="Q28" s="18">
        <f t="shared" si="7"/>
        <v>10.599999999999994</v>
      </c>
      <c r="R28" s="24">
        <f t="shared" si="8"/>
        <v>20488.600000000093</v>
      </c>
      <c r="S28" s="18">
        <f t="shared" si="3"/>
        <v>11322</v>
      </c>
      <c r="T28" s="18">
        <f t="shared" si="10"/>
        <v>8387</v>
      </c>
      <c r="U28" s="18">
        <f t="shared" si="11"/>
        <v>463</v>
      </c>
      <c r="AD28" s="3"/>
    </row>
    <row r="29" spans="1:32" ht="13.2" customHeight="1" x14ac:dyDescent="0.25">
      <c r="A29" s="3">
        <v>42767</v>
      </c>
      <c r="B29" s="1">
        <f t="shared" si="0"/>
        <v>2017</v>
      </c>
      <c r="C29" s="1" t="str">
        <f t="shared" si="9"/>
        <v>Q1</v>
      </c>
      <c r="D29" s="18">
        <v>7031.3</v>
      </c>
      <c r="E29" s="18">
        <v>6962.5</v>
      </c>
      <c r="F29" s="18">
        <v>209.8</v>
      </c>
      <c r="G29" s="18">
        <v>208</v>
      </c>
      <c r="H29" s="18">
        <v>764464.8</v>
      </c>
      <c r="I29" s="18">
        <v>590729.4</v>
      </c>
      <c r="J29" s="18">
        <v>53985.7</v>
      </c>
      <c r="K29" s="4">
        <v>756702</v>
      </c>
      <c r="L29" s="4">
        <v>583158</v>
      </c>
      <c r="M29" s="18">
        <v>30665</v>
      </c>
      <c r="N29" s="18">
        <f t="shared" si="4"/>
        <v>109</v>
      </c>
      <c r="O29" s="18">
        <f t="shared" si="5"/>
        <v>112.10000000000036</v>
      </c>
      <c r="P29" s="18">
        <f t="shared" si="6"/>
        <v>4.2000000000000171</v>
      </c>
      <c r="Q29" s="18">
        <f t="shared" si="7"/>
        <v>3.8000000000000114</v>
      </c>
      <c r="R29" s="24">
        <f t="shared" si="8"/>
        <v>20488.600000000093</v>
      </c>
      <c r="S29" s="18">
        <f t="shared" si="3"/>
        <v>11322</v>
      </c>
      <c r="T29" s="18">
        <f t="shared" si="10"/>
        <v>8387</v>
      </c>
      <c r="U29" s="18">
        <f t="shared" si="11"/>
        <v>463</v>
      </c>
      <c r="AD29" s="3"/>
    </row>
    <row r="30" spans="1:32" ht="13.2" customHeight="1" x14ac:dyDescent="0.25">
      <c r="A30" s="3">
        <v>42795</v>
      </c>
      <c r="B30" s="1">
        <f t="shared" si="0"/>
        <v>2017</v>
      </c>
      <c r="C30" s="1" t="str">
        <f t="shared" si="9"/>
        <v>Q1</v>
      </c>
      <c r="D30" s="18">
        <v>7049</v>
      </c>
      <c r="E30" s="18">
        <v>6946</v>
      </c>
      <c r="F30" s="18">
        <v>203.2</v>
      </c>
      <c r="G30" s="18">
        <v>200.9</v>
      </c>
      <c r="H30" s="18">
        <v>764464.8</v>
      </c>
      <c r="I30" s="18">
        <v>590729.4</v>
      </c>
      <c r="J30" s="18">
        <v>53985.7</v>
      </c>
      <c r="K30" s="4">
        <v>756702</v>
      </c>
      <c r="L30" s="4">
        <v>583158</v>
      </c>
      <c r="M30" s="18">
        <v>30665</v>
      </c>
      <c r="N30" s="18">
        <f t="shared" si="4"/>
        <v>118.80000000000018</v>
      </c>
      <c r="O30" s="18">
        <f t="shared" si="5"/>
        <v>118.69999999999982</v>
      </c>
      <c r="P30" s="18">
        <f t="shared" si="6"/>
        <v>-3.3000000000000114</v>
      </c>
      <c r="Q30" s="18">
        <f t="shared" si="7"/>
        <v>-3.2999999999999829</v>
      </c>
      <c r="R30" s="24">
        <f t="shared" si="8"/>
        <v>20488.600000000093</v>
      </c>
      <c r="S30" s="18">
        <f t="shared" si="3"/>
        <v>11322</v>
      </c>
      <c r="T30" s="18">
        <f t="shared" si="10"/>
        <v>8387</v>
      </c>
      <c r="U30" s="18">
        <f t="shared" si="11"/>
        <v>463</v>
      </c>
      <c r="AD30" s="3"/>
    </row>
    <row r="31" spans="1:32" ht="13.2" customHeight="1" x14ac:dyDescent="0.25">
      <c r="A31" s="3">
        <v>42826</v>
      </c>
      <c r="B31" s="1">
        <f t="shared" si="0"/>
        <v>2017</v>
      </c>
      <c r="C31" s="1" t="str">
        <f t="shared" si="9"/>
        <v>Q2</v>
      </c>
      <c r="D31" s="18">
        <v>7055.1</v>
      </c>
      <c r="E31" s="18">
        <v>6963.6</v>
      </c>
      <c r="F31" s="18">
        <v>200</v>
      </c>
      <c r="G31" s="18">
        <v>198.9</v>
      </c>
      <c r="H31" s="18">
        <v>764464.8</v>
      </c>
      <c r="I31" s="18">
        <v>590729.4</v>
      </c>
      <c r="J31" s="18">
        <v>53985.7</v>
      </c>
      <c r="K31" s="4">
        <v>764644</v>
      </c>
      <c r="L31" s="4">
        <v>590485</v>
      </c>
      <c r="M31" s="18">
        <v>31148</v>
      </c>
      <c r="N31" s="18">
        <f t="shared" si="4"/>
        <v>123.20000000000073</v>
      </c>
      <c r="O31" s="18">
        <f t="shared" si="5"/>
        <v>119.90000000000055</v>
      </c>
      <c r="P31" s="18">
        <f t="shared" si="6"/>
        <v>-5.8000000000000114</v>
      </c>
      <c r="Q31" s="18">
        <f t="shared" si="7"/>
        <v>-5.0999999999999943</v>
      </c>
      <c r="R31" s="24">
        <f t="shared" si="8"/>
        <v>20488.600000000093</v>
      </c>
      <c r="S31" s="18">
        <f t="shared" si="3"/>
        <v>7942</v>
      </c>
      <c r="T31" s="18">
        <f t="shared" si="10"/>
        <v>7327</v>
      </c>
      <c r="U31" s="18">
        <f t="shared" si="11"/>
        <v>483</v>
      </c>
      <c r="AD31" s="3"/>
    </row>
    <row r="32" spans="1:32" ht="13.2" customHeight="1" x14ac:dyDescent="0.25">
      <c r="A32" s="3">
        <v>42856</v>
      </c>
      <c r="B32" s="1">
        <f t="shared" si="0"/>
        <v>2017</v>
      </c>
      <c r="C32" s="1" t="str">
        <f t="shared" si="9"/>
        <v>Q2</v>
      </c>
      <c r="D32" s="18">
        <v>7066.7</v>
      </c>
      <c r="E32" s="18">
        <v>7033.4</v>
      </c>
      <c r="F32" s="18">
        <v>202.9</v>
      </c>
      <c r="G32" s="18">
        <v>203.9</v>
      </c>
      <c r="H32" s="18">
        <v>764464.8</v>
      </c>
      <c r="I32" s="18">
        <v>590729.4</v>
      </c>
      <c r="J32" s="18">
        <v>53985.7</v>
      </c>
      <c r="K32" s="4">
        <v>764644</v>
      </c>
      <c r="L32" s="4">
        <v>590485</v>
      </c>
      <c r="M32" s="18">
        <v>31148</v>
      </c>
      <c r="N32" s="18">
        <f t="shared" si="4"/>
        <v>122</v>
      </c>
      <c r="O32" s="18">
        <f t="shared" si="5"/>
        <v>119.69999999999982</v>
      </c>
      <c r="P32" s="18">
        <f t="shared" si="6"/>
        <v>-3.1999999999999886</v>
      </c>
      <c r="Q32" s="18">
        <f t="shared" si="7"/>
        <v>-2.1999999999999886</v>
      </c>
      <c r="R32" s="24">
        <f t="shared" si="8"/>
        <v>20488.600000000093</v>
      </c>
      <c r="S32" s="18">
        <f t="shared" si="3"/>
        <v>7942</v>
      </c>
      <c r="T32" s="18">
        <f t="shared" si="10"/>
        <v>7327</v>
      </c>
      <c r="U32" s="18">
        <f t="shared" si="11"/>
        <v>483</v>
      </c>
      <c r="AD32" s="3"/>
    </row>
    <row r="33" spans="1:30" ht="13.2" customHeight="1" x14ac:dyDescent="0.25">
      <c r="A33" s="3">
        <v>42887</v>
      </c>
      <c r="B33" s="1">
        <f t="shared" si="0"/>
        <v>2017</v>
      </c>
      <c r="C33" s="1" t="str">
        <f t="shared" si="9"/>
        <v>Q2</v>
      </c>
      <c r="D33" s="18">
        <v>7079.8</v>
      </c>
      <c r="E33" s="18">
        <v>7123</v>
      </c>
      <c r="F33" s="18">
        <v>206.7</v>
      </c>
      <c r="G33" s="18">
        <v>209.8</v>
      </c>
      <c r="H33" s="18">
        <v>764464.8</v>
      </c>
      <c r="I33" s="18">
        <v>590729.4</v>
      </c>
      <c r="J33" s="18">
        <v>53985.7</v>
      </c>
      <c r="K33" s="4">
        <v>764644</v>
      </c>
      <c r="L33" s="4">
        <v>590485</v>
      </c>
      <c r="M33" s="18">
        <v>31148</v>
      </c>
      <c r="N33" s="18">
        <f t="shared" si="4"/>
        <v>124.30000000000018</v>
      </c>
      <c r="O33" s="18">
        <f t="shared" si="5"/>
        <v>122.80000000000018</v>
      </c>
      <c r="P33" s="18">
        <f t="shared" si="6"/>
        <v>2</v>
      </c>
      <c r="Q33" s="18">
        <f t="shared" si="7"/>
        <v>3.1000000000000227</v>
      </c>
      <c r="R33" s="24">
        <f t="shared" si="8"/>
        <v>20488.600000000093</v>
      </c>
      <c r="S33" s="18">
        <f t="shared" si="3"/>
        <v>7942</v>
      </c>
      <c r="T33" s="18">
        <f t="shared" si="10"/>
        <v>7327</v>
      </c>
      <c r="U33" s="18">
        <f t="shared" si="11"/>
        <v>483</v>
      </c>
      <c r="AD33" s="3"/>
    </row>
    <row r="34" spans="1:30" ht="13.2" customHeight="1" x14ac:dyDescent="0.25">
      <c r="A34" s="3">
        <v>42917</v>
      </c>
      <c r="B34" s="1">
        <f t="shared" si="0"/>
        <v>2017</v>
      </c>
      <c r="C34" s="1" t="str">
        <f t="shared" si="9"/>
        <v>Q3</v>
      </c>
      <c r="D34" s="18">
        <v>7101.9</v>
      </c>
      <c r="E34" s="18">
        <v>7196</v>
      </c>
      <c r="F34" s="18">
        <v>207</v>
      </c>
      <c r="G34" s="18">
        <v>209.9</v>
      </c>
      <c r="H34" s="18">
        <v>764464.8</v>
      </c>
      <c r="I34" s="18">
        <v>590729.4</v>
      </c>
      <c r="J34" s="18">
        <v>53985.7</v>
      </c>
      <c r="K34" s="4">
        <v>765060</v>
      </c>
      <c r="L34" s="4">
        <v>592461</v>
      </c>
      <c r="M34" s="18">
        <v>31156</v>
      </c>
      <c r="N34" s="18">
        <f t="shared" si="4"/>
        <v>145.59999999999945</v>
      </c>
      <c r="O34" s="18">
        <f t="shared" si="5"/>
        <v>146.5</v>
      </c>
      <c r="P34" s="18">
        <f t="shared" si="6"/>
        <v>0.5</v>
      </c>
      <c r="Q34" s="18">
        <f t="shared" si="7"/>
        <v>0.70000000000001705</v>
      </c>
      <c r="R34" s="24">
        <f t="shared" si="8"/>
        <v>20488.600000000093</v>
      </c>
      <c r="S34" s="18">
        <f t="shared" si="3"/>
        <v>416</v>
      </c>
      <c r="T34" s="18">
        <f t="shared" si="10"/>
        <v>1976</v>
      </c>
      <c r="U34" s="18">
        <f t="shared" si="11"/>
        <v>8</v>
      </c>
      <c r="AD34" s="3"/>
    </row>
    <row r="35" spans="1:30" ht="13.2" customHeight="1" x14ac:dyDescent="0.25">
      <c r="A35" s="3">
        <v>42948</v>
      </c>
      <c r="B35" s="1">
        <f t="shared" si="0"/>
        <v>2017</v>
      </c>
      <c r="C35" s="1" t="str">
        <f t="shared" si="9"/>
        <v>Q3</v>
      </c>
      <c r="D35" s="18">
        <v>7121.1</v>
      </c>
      <c r="E35" s="18">
        <v>7216.7</v>
      </c>
      <c r="F35" s="18">
        <v>208.1</v>
      </c>
      <c r="G35" s="18">
        <v>210</v>
      </c>
      <c r="H35" s="18">
        <v>764464.8</v>
      </c>
      <c r="I35" s="18">
        <v>590729.4</v>
      </c>
      <c r="J35" s="18">
        <v>53985.7</v>
      </c>
      <c r="K35" s="4">
        <v>765060</v>
      </c>
      <c r="L35" s="4">
        <v>592461</v>
      </c>
      <c r="M35" s="18">
        <v>31156</v>
      </c>
      <c r="N35" s="18">
        <f t="shared" si="4"/>
        <v>167.60000000000036</v>
      </c>
      <c r="O35" s="18">
        <f t="shared" si="5"/>
        <v>171.09999999999945</v>
      </c>
      <c r="P35" s="18">
        <f t="shared" si="6"/>
        <v>-1.2000000000000171</v>
      </c>
      <c r="Q35" s="18">
        <f t="shared" si="7"/>
        <v>-1.1999999999999886</v>
      </c>
      <c r="R35" s="24">
        <f t="shared" si="8"/>
        <v>20488.600000000093</v>
      </c>
      <c r="S35" s="18">
        <f t="shared" si="3"/>
        <v>416</v>
      </c>
      <c r="T35" s="18">
        <f t="shared" si="10"/>
        <v>1976</v>
      </c>
      <c r="U35" s="18">
        <f t="shared" si="11"/>
        <v>8</v>
      </c>
      <c r="AD35" s="3"/>
    </row>
    <row r="36" spans="1:30" ht="13.2" customHeight="1" x14ac:dyDescent="0.25">
      <c r="A36" s="3">
        <v>42979</v>
      </c>
      <c r="B36" s="1">
        <f t="shared" si="0"/>
        <v>2017</v>
      </c>
      <c r="C36" s="1" t="str">
        <f t="shared" si="9"/>
        <v>Q3</v>
      </c>
      <c r="D36" s="18">
        <v>7144.8</v>
      </c>
      <c r="E36" s="18">
        <v>7193.4</v>
      </c>
      <c r="F36" s="18">
        <v>208.1</v>
      </c>
      <c r="G36" s="18">
        <v>207.7</v>
      </c>
      <c r="H36" s="18">
        <v>764464.8</v>
      </c>
      <c r="I36" s="18">
        <v>590729.4</v>
      </c>
      <c r="J36" s="18">
        <v>53985.7</v>
      </c>
      <c r="K36" s="4">
        <v>765060</v>
      </c>
      <c r="L36" s="4">
        <v>592461</v>
      </c>
      <c r="M36" s="18">
        <v>31156</v>
      </c>
      <c r="N36" s="18">
        <f t="shared" si="4"/>
        <v>194.69999999999982</v>
      </c>
      <c r="O36" s="18">
        <f t="shared" si="5"/>
        <v>195.29999999999927</v>
      </c>
      <c r="P36" s="18">
        <f t="shared" si="6"/>
        <v>-5.4000000000000057</v>
      </c>
      <c r="Q36" s="18">
        <f t="shared" si="7"/>
        <v>-5.6000000000000227</v>
      </c>
      <c r="R36" s="24">
        <f t="shared" si="8"/>
        <v>20488.600000000093</v>
      </c>
      <c r="S36" s="18">
        <f t="shared" si="3"/>
        <v>416</v>
      </c>
      <c r="T36" s="18">
        <f t="shared" si="10"/>
        <v>1976</v>
      </c>
      <c r="U36" s="18">
        <f t="shared" si="11"/>
        <v>8</v>
      </c>
      <c r="AD36" s="3"/>
    </row>
    <row r="37" spans="1:30" ht="13.2" customHeight="1" x14ac:dyDescent="0.25">
      <c r="A37" s="3">
        <v>43009</v>
      </c>
      <c r="B37" s="1">
        <f t="shared" si="0"/>
        <v>2017</v>
      </c>
      <c r="C37" s="1" t="str">
        <f t="shared" si="9"/>
        <v>Q4</v>
      </c>
      <c r="D37" s="18">
        <v>7161</v>
      </c>
      <c r="E37" s="18">
        <v>7185.2</v>
      </c>
      <c r="F37" s="18">
        <v>209.9</v>
      </c>
      <c r="G37" s="18">
        <v>208.8</v>
      </c>
      <c r="H37" s="18">
        <v>764464.8</v>
      </c>
      <c r="I37" s="18">
        <v>590729.4</v>
      </c>
      <c r="J37" s="18">
        <v>53985.7</v>
      </c>
      <c r="K37" s="4">
        <v>771453</v>
      </c>
      <c r="L37" s="4">
        <v>596813</v>
      </c>
      <c r="M37" s="18">
        <v>31522</v>
      </c>
      <c r="N37" s="18">
        <f t="shared" si="4"/>
        <v>197.10000000000036</v>
      </c>
      <c r="O37" s="18">
        <f t="shared" si="5"/>
        <v>194.69999999999982</v>
      </c>
      <c r="P37" s="18">
        <f t="shared" si="6"/>
        <v>-4.4000000000000057</v>
      </c>
      <c r="Q37" s="18">
        <f t="shared" si="7"/>
        <v>-4.6999999999999886</v>
      </c>
      <c r="R37" s="24">
        <f t="shared" si="8"/>
        <v>20488.600000000093</v>
      </c>
      <c r="S37" s="18">
        <f t="shared" si="3"/>
        <v>6393</v>
      </c>
      <c r="T37" s="18">
        <f t="shared" si="10"/>
        <v>4352</v>
      </c>
      <c r="U37" s="18">
        <f t="shared" si="11"/>
        <v>366</v>
      </c>
      <c r="AD37" s="3"/>
    </row>
    <row r="38" spans="1:30" ht="13.2" customHeight="1" x14ac:dyDescent="0.25">
      <c r="A38" s="3">
        <v>43040</v>
      </c>
      <c r="B38" s="1">
        <f t="shared" si="0"/>
        <v>2017</v>
      </c>
      <c r="C38" s="1" t="str">
        <f t="shared" si="9"/>
        <v>Q4</v>
      </c>
      <c r="D38" s="18">
        <v>7184.7</v>
      </c>
      <c r="E38" s="18">
        <v>7186</v>
      </c>
      <c r="F38" s="18">
        <v>209</v>
      </c>
      <c r="G38" s="18">
        <v>207.6</v>
      </c>
      <c r="H38" s="18">
        <v>764464.8</v>
      </c>
      <c r="I38" s="18">
        <v>590729.4</v>
      </c>
      <c r="J38" s="18">
        <v>53985.7</v>
      </c>
      <c r="K38" s="4">
        <v>771453</v>
      </c>
      <c r="L38" s="4">
        <v>596813</v>
      </c>
      <c r="M38" s="18">
        <v>31522</v>
      </c>
      <c r="N38" s="18">
        <f t="shared" si="4"/>
        <v>206.89999999999964</v>
      </c>
      <c r="O38" s="18">
        <f t="shared" si="5"/>
        <v>202.60000000000036</v>
      </c>
      <c r="P38" s="18">
        <f t="shared" si="6"/>
        <v>-6.0999999999999943</v>
      </c>
      <c r="Q38" s="18">
        <f t="shared" si="7"/>
        <v>-6.5</v>
      </c>
      <c r="R38" s="24">
        <f t="shared" si="8"/>
        <v>20488.600000000093</v>
      </c>
      <c r="S38" s="18">
        <f t="shared" si="3"/>
        <v>6393</v>
      </c>
      <c r="T38" s="18">
        <f t="shared" si="10"/>
        <v>4352</v>
      </c>
      <c r="U38" s="18">
        <f t="shared" si="11"/>
        <v>366</v>
      </c>
      <c r="AD38" s="3"/>
    </row>
    <row r="39" spans="1:30" ht="13.2" customHeight="1" x14ac:dyDescent="0.25">
      <c r="A39" s="3">
        <v>43070</v>
      </c>
      <c r="B39" s="1">
        <f t="shared" si="0"/>
        <v>2017</v>
      </c>
      <c r="C39" s="1" t="str">
        <f t="shared" si="9"/>
        <v>Q4</v>
      </c>
      <c r="D39" s="18">
        <v>7199.5</v>
      </c>
      <c r="E39" s="18">
        <v>7206.8</v>
      </c>
      <c r="F39" s="18">
        <v>208</v>
      </c>
      <c r="G39" s="18">
        <v>207.1</v>
      </c>
      <c r="H39" s="18">
        <v>764464.8</v>
      </c>
      <c r="I39" s="18">
        <v>590729.4</v>
      </c>
      <c r="J39" s="18">
        <v>53985.7</v>
      </c>
      <c r="K39" s="4">
        <v>771453</v>
      </c>
      <c r="L39" s="4">
        <v>596813</v>
      </c>
      <c r="M39" s="18">
        <v>31522</v>
      </c>
      <c r="N39" s="18">
        <f t="shared" si="4"/>
        <v>207.10000000000036</v>
      </c>
      <c r="O39" s="18">
        <f t="shared" si="5"/>
        <v>206.90000000000055</v>
      </c>
      <c r="P39" s="18">
        <f t="shared" si="6"/>
        <v>-7.6999999999999886</v>
      </c>
      <c r="Q39" s="18">
        <f t="shared" si="7"/>
        <v>-8.3000000000000114</v>
      </c>
      <c r="R39" s="24">
        <f t="shared" si="8"/>
        <v>20488.600000000093</v>
      </c>
      <c r="S39" s="18">
        <f t="shared" si="3"/>
        <v>6393</v>
      </c>
      <c r="T39" s="18">
        <f t="shared" si="10"/>
        <v>4352</v>
      </c>
      <c r="U39" s="18">
        <f t="shared" si="11"/>
        <v>366</v>
      </c>
      <c r="AD39" s="3"/>
    </row>
    <row r="40" spans="1:30" ht="13.2" customHeight="1" x14ac:dyDescent="0.25">
      <c r="A40" s="3">
        <v>43101</v>
      </c>
      <c r="B40" s="1">
        <f t="shared" si="0"/>
        <v>2018</v>
      </c>
      <c r="C40" s="1" t="str">
        <f t="shared" si="9"/>
        <v>Q1</v>
      </c>
      <c r="D40" s="18">
        <v>7199.4</v>
      </c>
      <c r="E40" s="18">
        <v>7167.3</v>
      </c>
      <c r="F40" s="18">
        <v>206.9</v>
      </c>
      <c r="G40" s="18">
        <v>205.4</v>
      </c>
      <c r="H40" s="18">
        <v>789531.6</v>
      </c>
      <c r="I40" s="18">
        <v>608429.30000000005</v>
      </c>
      <c r="J40" s="18">
        <v>57334.6</v>
      </c>
      <c r="K40" s="4">
        <v>779459</v>
      </c>
      <c r="L40" s="4">
        <v>600187</v>
      </c>
      <c r="M40" s="18">
        <v>31723</v>
      </c>
      <c r="N40" s="18">
        <f t="shared" si="4"/>
        <v>184.79999999999927</v>
      </c>
      <c r="O40" s="18">
        <f t="shared" si="5"/>
        <v>184.80000000000018</v>
      </c>
      <c r="P40" s="18">
        <f t="shared" si="6"/>
        <v>-8.5999999999999943</v>
      </c>
      <c r="Q40" s="18">
        <f t="shared" si="7"/>
        <v>-9</v>
      </c>
      <c r="R40" s="24">
        <f t="shared" si="8"/>
        <v>25066.79999999993</v>
      </c>
      <c r="S40" s="18">
        <f t="shared" si="3"/>
        <v>8006</v>
      </c>
      <c r="T40" s="18">
        <f t="shared" si="10"/>
        <v>3374</v>
      </c>
      <c r="U40" s="18">
        <f t="shared" si="11"/>
        <v>201</v>
      </c>
      <c r="AD40" s="3"/>
    </row>
    <row r="41" spans="1:30" ht="13.2" customHeight="1" x14ac:dyDescent="0.25">
      <c r="A41" s="3">
        <v>43132</v>
      </c>
      <c r="B41" s="1">
        <f t="shared" si="0"/>
        <v>2018</v>
      </c>
      <c r="C41" s="1" t="str">
        <f t="shared" si="9"/>
        <v>Q1</v>
      </c>
      <c r="D41" s="18">
        <v>7188.9</v>
      </c>
      <c r="E41" s="18">
        <v>7120.1</v>
      </c>
      <c r="F41" s="18">
        <v>207.4</v>
      </c>
      <c r="G41" s="18">
        <v>205.6</v>
      </c>
      <c r="H41" s="18">
        <v>789531.6</v>
      </c>
      <c r="I41" s="18">
        <v>608429.30000000005</v>
      </c>
      <c r="J41" s="18">
        <v>57334.6</v>
      </c>
      <c r="K41" s="4">
        <v>779459</v>
      </c>
      <c r="L41" s="4">
        <v>600187</v>
      </c>
      <c r="M41" s="18">
        <v>31723</v>
      </c>
      <c r="N41" s="18">
        <f t="shared" si="4"/>
        <v>157.59999999999945</v>
      </c>
      <c r="O41" s="18">
        <f t="shared" si="5"/>
        <v>157.60000000000036</v>
      </c>
      <c r="P41" s="18">
        <f t="shared" si="6"/>
        <v>-2.4000000000000057</v>
      </c>
      <c r="Q41" s="18">
        <f t="shared" si="7"/>
        <v>-2.4000000000000057</v>
      </c>
      <c r="R41" s="24">
        <f t="shared" si="8"/>
        <v>25066.79999999993</v>
      </c>
      <c r="S41" s="18">
        <f t="shared" si="3"/>
        <v>8006</v>
      </c>
      <c r="T41" s="18">
        <f t="shared" si="10"/>
        <v>3374</v>
      </c>
      <c r="U41" s="18">
        <f t="shared" si="11"/>
        <v>201</v>
      </c>
      <c r="AD41" s="3"/>
    </row>
    <row r="42" spans="1:30" ht="13.2" customHeight="1" x14ac:dyDescent="0.25">
      <c r="A42" s="3">
        <v>43160</v>
      </c>
      <c r="B42" s="1">
        <f t="shared" si="0"/>
        <v>2018</v>
      </c>
      <c r="C42" s="1" t="str">
        <f t="shared" si="9"/>
        <v>Q1</v>
      </c>
      <c r="D42" s="18">
        <v>7188.8</v>
      </c>
      <c r="E42" s="18">
        <v>7084.1</v>
      </c>
      <c r="F42" s="18">
        <v>210.4</v>
      </c>
      <c r="G42" s="18">
        <v>208.3</v>
      </c>
      <c r="H42" s="18">
        <v>789531.6</v>
      </c>
      <c r="I42" s="18">
        <v>608429.30000000005</v>
      </c>
      <c r="J42" s="18">
        <v>57334.6</v>
      </c>
      <c r="K42" s="4">
        <v>779459</v>
      </c>
      <c r="L42" s="4">
        <v>600187</v>
      </c>
      <c r="M42" s="18">
        <v>31723</v>
      </c>
      <c r="N42" s="18">
        <f t="shared" si="4"/>
        <v>139.80000000000018</v>
      </c>
      <c r="O42" s="18">
        <f t="shared" si="5"/>
        <v>138.10000000000036</v>
      </c>
      <c r="P42" s="18">
        <f t="shared" si="6"/>
        <v>7.2000000000000171</v>
      </c>
      <c r="Q42" s="18">
        <f t="shared" si="7"/>
        <v>7.4000000000000057</v>
      </c>
      <c r="R42" s="24">
        <f t="shared" si="8"/>
        <v>25066.79999999993</v>
      </c>
      <c r="S42" s="18">
        <f t="shared" si="3"/>
        <v>8006</v>
      </c>
      <c r="T42" s="18">
        <f t="shared" si="10"/>
        <v>3374</v>
      </c>
      <c r="U42" s="18">
        <f t="shared" si="11"/>
        <v>201</v>
      </c>
      <c r="AD42" s="3"/>
    </row>
    <row r="43" spans="1:30" ht="13.2" customHeight="1" x14ac:dyDescent="0.25">
      <c r="A43" s="3">
        <v>43191</v>
      </c>
      <c r="B43" s="1">
        <f t="shared" si="0"/>
        <v>2018</v>
      </c>
      <c r="C43" s="1" t="str">
        <f t="shared" si="9"/>
        <v>Q2</v>
      </c>
      <c r="D43" s="18">
        <v>7201.1</v>
      </c>
      <c r="E43" s="18">
        <v>7111.6</v>
      </c>
      <c r="F43" s="18">
        <v>214.5</v>
      </c>
      <c r="G43" s="18">
        <v>213.3</v>
      </c>
      <c r="H43" s="18">
        <v>789531.6</v>
      </c>
      <c r="I43" s="18">
        <v>608429.30000000005</v>
      </c>
      <c r="J43" s="18">
        <v>57334.6</v>
      </c>
      <c r="K43" s="4">
        <v>784896</v>
      </c>
      <c r="L43" s="4">
        <v>604446</v>
      </c>
      <c r="M43" s="18">
        <v>31589</v>
      </c>
      <c r="N43" s="18">
        <f t="shared" si="4"/>
        <v>146</v>
      </c>
      <c r="O43" s="18">
        <f t="shared" si="5"/>
        <v>148</v>
      </c>
      <c r="P43" s="18">
        <f t="shared" si="6"/>
        <v>14.5</v>
      </c>
      <c r="Q43" s="18">
        <f t="shared" si="7"/>
        <v>14.400000000000006</v>
      </c>
      <c r="R43" s="24">
        <f t="shared" si="8"/>
        <v>25066.79999999993</v>
      </c>
      <c r="S43" s="18">
        <f t="shared" si="3"/>
        <v>5437</v>
      </c>
      <c r="T43" s="18">
        <f t="shared" si="10"/>
        <v>4259</v>
      </c>
      <c r="U43" s="18">
        <f t="shared" si="11"/>
        <v>-134</v>
      </c>
      <c r="AD43" s="3"/>
    </row>
    <row r="44" spans="1:30" ht="13.2" customHeight="1" x14ac:dyDescent="0.25">
      <c r="A44" s="3">
        <v>43221</v>
      </c>
      <c r="B44" s="1">
        <f t="shared" si="0"/>
        <v>2018</v>
      </c>
      <c r="C44" s="1" t="str">
        <f t="shared" si="9"/>
        <v>Q2</v>
      </c>
      <c r="D44" s="18">
        <v>7208.5</v>
      </c>
      <c r="E44" s="18">
        <v>7176</v>
      </c>
      <c r="F44" s="18">
        <v>218.3</v>
      </c>
      <c r="G44" s="18">
        <v>219.3</v>
      </c>
      <c r="H44" s="18">
        <v>789531.6</v>
      </c>
      <c r="I44" s="18">
        <v>608429.30000000005</v>
      </c>
      <c r="J44" s="18">
        <v>57334.6</v>
      </c>
      <c r="K44" s="4">
        <v>784896</v>
      </c>
      <c r="L44" s="4">
        <v>604446</v>
      </c>
      <c r="M44" s="18">
        <v>31589</v>
      </c>
      <c r="N44" s="18">
        <f t="shared" si="4"/>
        <v>141.80000000000018</v>
      </c>
      <c r="O44" s="18">
        <f t="shared" si="5"/>
        <v>142.60000000000036</v>
      </c>
      <c r="P44" s="18">
        <f t="shared" si="6"/>
        <v>15.400000000000006</v>
      </c>
      <c r="Q44" s="18">
        <f t="shared" si="7"/>
        <v>15.400000000000006</v>
      </c>
      <c r="R44" s="24">
        <f t="shared" si="8"/>
        <v>25066.79999999993</v>
      </c>
      <c r="S44" s="18">
        <f t="shared" si="3"/>
        <v>5437</v>
      </c>
      <c r="T44" s="18">
        <f t="shared" si="10"/>
        <v>4259</v>
      </c>
      <c r="U44" s="18">
        <f t="shared" si="11"/>
        <v>-134</v>
      </c>
      <c r="AD44" s="3"/>
    </row>
    <row r="45" spans="1:30" ht="13.2" customHeight="1" x14ac:dyDescent="0.25">
      <c r="A45" s="3">
        <v>43252</v>
      </c>
      <c r="B45" s="1">
        <f t="shared" si="0"/>
        <v>2018</v>
      </c>
      <c r="C45" s="1" t="str">
        <f t="shared" si="9"/>
        <v>Q2</v>
      </c>
      <c r="D45" s="18">
        <v>7221.1</v>
      </c>
      <c r="E45" s="18">
        <v>7264.3</v>
      </c>
      <c r="F45" s="18">
        <v>220.4</v>
      </c>
      <c r="G45" s="18">
        <v>223.6</v>
      </c>
      <c r="H45" s="18">
        <v>789531.6</v>
      </c>
      <c r="I45" s="18">
        <v>608429.30000000005</v>
      </c>
      <c r="J45" s="18">
        <v>57334.6</v>
      </c>
      <c r="K45" s="4">
        <v>784896</v>
      </c>
      <c r="L45" s="4">
        <v>604446</v>
      </c>
      <c r="M45" s="18">
        <v>31589</v>
      </c>
      <c r="N45" s="18">
        <f t="shared" si="4"/>
        <v>141.30000000000018</v>
      </c>
      <c r="O45" s="18">
        <f t="shared" si="5"/>
        <v>141.30000000000018</v>
      </c>
      <c r="P45" s="18">
        <f t="shared" si="6"/>
        <v>13.700000000000017</v>
      </c>
      <c r="Q45" s="18">
        <f t="shared" si="7"/>
        <v>13.799999999999983</v>
      </c>
      <c r="R45" s="24">
        <f t="shared" si="8"/>
        <v>25066.79999999993</v>
      </c>
      <c r="S45" s="18">
        <f t="shared" si="3"/>
        <v>5437</v>
      </c>
      <c r="T45" s="18">
        <f t="shared" si="10"/>
        <v>4259</v>
      </c>
      <c r="U45" s="18">
        <f t="shared" si="11"/>
        <v>-134</v>
      </c>
      <c r="AD45" s="3"/>
    </row>
    <row r="46" spans="1:30" ht="13.2" customHeight="1" x14ac:dyDescent="0.25">
      <c r="A46" s="3">
        <v>43282</v>
      </c>
      <c r="B46" s="1">
        <f t="shared" si="0"/>
        <v>2018</v>
      </c>
      <c r="C46" s="1" t="str">
        <f t="shared" si="9"/>
        <v>Q3</v>
      </c>
      <c r="D46" s="18">
        <v>7255</v>
      </c>
      <c r="E46" s="18">
        <v>7345.7</v>
      </c>
      <c r="F46" s="18">
        <v>219.9</v>
      </c>
      <c r="G46" s="18">
        <v>224.7</v>
      </c>
      <c r="H46" s="18">
        <v>789531.6</v>
      </c>
      <c r="I46" s="18">
        <v>608429.30000000005</v>
      </c>
      <c r="J46" s="18">
        <v>57334.6</v>
      </c>
      <c r="K46" s="4">
        <v>794140</v>
      </c>
      <c r="L46" s="4">
        <v>611579</v>
      </c>
      <c r="M46" s="18">
        <v>31769</v>
      </c>
      <c r="N46" s="18">
        <f t="shared" si="4"/>
        <v>153.10000000000036</v>
      </c>
      <c r="O46" s="18">
        <f t="shared" si="5"/>
        <v>149.69999999999982</v>
      </c>
      <c r="P46" s="18">
        <f t="shared" si="6"/>
        <v>12.900000000000006</v>
      </c>
      <c r="Q46" s="18">
        <f t="shared" si="7"/>
        <v>14.799999999999983</v>
      </c>
      <c r="R46" s="24">
        <f t="shared" si="8"/>
        <v>25066.79999999993</v>
      </c>
      <c r="S46" s="18">
        <f t="shared" si="3"/>
        <v>9244</v>
      </c>
      <c r="T46" s="18">
        <f t="shared" si="10"/>
        <v>7133</v>
      </c>
      <c r="U46" s="18">
        <f t="shared" si="11"/>
        <v>180</v>
      </c>
      <c r="AD46" s="3"/>
    </row>
    <row r="47" spans="1:30" ht="13.2" customHeight="1" x14ac:dyDescent="0.25">
      <c r="A47" s="3">
        <v>43313</v>
      </c>
      <c r="B47" s="1">
        <f t="shared" si="0"/>
        <v>2018</v>
      </c>
      <c r="C47" s="1" t="str">
        <f t="shared" si="9"/>
        <v>Q3</v>
      </c>
      <c r="D47" s="18">
        <v>7266.2</v>
      </c>
      <c r="E47" s="18">
        <v>7359.5</v>
      </c>
      <c r="F47" s="18">
        <v>218.3</v>
      </c>
      <c r="G47" s="18">
        <v>221.7</v>
      </c>
      <c r="H47" s="18">
        <v>789531.6</v>
      </c>
      <c r="I47" s="18">
        <v>608429.30000000005</v>
      </c>
      <c r="J47" s="18">
        <v>57334.6</v>
      </c>
      <c r="K47" s="4">
        <v>794140</v>
      </c>
      <c r="L47" s="4">
        <v>611579</v>
      </c>
      <c r="M47" s="18">
        <v>31769</v>
      </c>
      <c r="N47" s="18">
        <f t="shared" si="4"/>
        <v>145.09999999999945</v>
      </c>
      <c r="O47" s="18">
        <f t="shared" si="5"/>
        <v>142.80000000000018</v>
      </c>
      <c r="P47" s="18">
        <f t="shared" si="6"/>
        <v>10.200000000000017</v>
      </c>
      <c r="Q47" s="18">
        <f t="shared" si="7"/>
        <v>11.699999999999989</v>
      </c>
      <c r="R47" s="24">
        <f t="shared" si="8"/>
        <v>25066.79999999993</v>
      </c>
      <c r="S47" s="18">
        <f t="shared" si="3"/>
        <v>9244</v>
      </c>
      <c r="T47" s="18">
        <f t="shared" si="10"/>
        <v>7133</v>
      </c>
      <c r="U47" s="18">
        <f t="shared" si="11"/>
        <v>180</v>
      </c>
      <c r="AD47" s="3"/>
    </row>
    <row r="48" spans="1:30" ht="13.2" customHeight="1" x14ac:dyDescent="0.25">
      <c r="A48" s="3">
        <v>43344</v>
      </c>
      <c r="B48" s="1">
        <f t="shared" si="0"/>
        <v>2018</v>
      </c>
      <c r="C48" s="1" t="str">
        <f t="shared" si="9"/>
        <v>Q3</v>
      </c>
      <c r="D48" s="18">
        <v>7279.6</v>
      </c>
      <c r="E48" s="18">
        <v>7324.4</v>
      </c>
      <c r="F48" s="18">
        <v>216.6</v>
      </c>
      <c r="G48" s="18">
        <v>217.3</v>
      </c>
      <c r="H48" s="18">
        <v>789531.6</v>
      </c>
      <c r="I48" s="18">
        <v>608429.30000000005</v>
      </c>
      <c r="J48" s="18">
        <v>57334.6</v>
      </c>
      <c r="K48" s="4">
        <v>794140</v>
      </c>
      <c r="L48" s="4">
        <v>611579</v>
      </c>
      <c r="M48" s="18">
        <v>31769</v>
      </c>
      <c r="N48" s="18">
        <f t="shared" ref="N48:N79" si="12">D48-D36</f>
        <v>134.80000000000018</v>
      </c>
      <c r="O48" s="18">
        <f t="shared" ref="O48:O79" si="13">E48-E36</f>
        <v>131</v>
      </c>
      <c r="P48" s="18">
        <f t="shared" ref="P48:P79" si="14">F48-F36</f>
        <v>8.5</v>
      </c>
      <c r="Q48" s="18">
        <f t="shared" ref="Q48:Q79" si="15">G48-G36</f>
        <v>9.6000000000000227</v>
      </c>
      <c r="R48" s="24">
        <f t="shared" si="8"/>
        <v>25066.79999999993</v>
      </c>
      <c r="S48" s="18">
        <f t="shared" si="3"/>
        <v>9244</v>
      </c>
      <c r="T48" s="18">
        <f t="shared" si="10"/>
        <v>7133</v>
      </c>
      <c r="U48" s="18">
        <f t="shared" si="11"/>
        <v>180</v>
      </c>
      <c r="AD48" s="3"/>
    </row>
    <row r="49" spans="1:38" ht="13.2" customHeight="1" x14ac:dyDescent="0.25">
      <c r="A49" s="3">
        <v>43374</v>
      </c>
      <c r="B49" s="1">
        <f t="shared" si="0"/>
        <v>2018</v>
      </c>
      <c r="C49" s="1" t="str">
        <f t="shared" si="9"/>
        <v>Q4</v>
      </c>
      <c r="D49" s="18">
        <v>7270.3</v>
      </c>
      <c r="E49" s="18">
        <v>7290.6</v>
      </c>
      <c r="F49" s="18">
        <v>215.2</v>
      </c>
      <c r="G49" s="18">
        <v>214</v>
      </c>
      <c r="H49" s="18">
        <v>789531.6</v>
      </c>
      <c r="I49" s="18">
        <v>608429.30000000005</v>
      </c>
      <c r="J49" s="18">
        <v>57334.6</v>
      </c>
      <c r="K49" s="4">
        <v>799632</v>
      </c>
      <c r="L49" s="4">
        <v>617505</v>
      </c>
      <c r="M49" s="18">
        <v>31552</v>
      </c>
      <c r="N49" s="18">
        <f t="shared" si="12"/>
        <v>109.30000000000018</v>
      </c>
      <c r="O49" s="18">
        <f t="shared" si="13"/>
        <v>105.40000000000055</v>
      </c>
      <c r="P49" s="18">
        <f t="shared" si="14"/>
        <v>5.2999999999999829</v>
      </c>
      <c r="Q49" s="18">
        <f t="shared" si="15"/>
        <v>5.1999999999999886</v>
      </c>
      <c r="R49" s="24">
        <f t="shared" si="8"/>
        <v>25066.79999999993</v>
      </c>
      <c r="S49" s="18">
        <f t="shared" si="3"/>
        <v>5492</v>
      </c>
      <c r="T49" s="18">
        <f t="shared" si="10"/>
        <v>5926</v>
      </c>
      <c r="U49" s="18">
        <f t="shared" si="11"/>
        <v>-217</v>
      </c>
      <c r="AD49" s="3"/>
    </row>
    <row r="50" spans="1:38" ht="13.2" customHeight="1" x14ac:dyDescent="0.25">
      <c r="A50" s="3">
        <v>43405</v>
      </c>
      <c r="B50" s="1">
        <f t="shared" si="0"/>
        <v>2018</v>
      </c>
      <c r="C50" s="1" t="str">
        <f t="shared" si="9"/>
        <v>Q4</v>
      </c>
      <c r="D50" s="18">
        <v>7290</v>
      </c>
      <c r="E50" s="18">
        <v>7288.9</v>
      </c>
      <c r="F50" s="18">
        <v>215.3</v>
      </c>
      <c r="G50" s="18">
        <v>213.5</v>
      </c>
      <c r="H50" s="18">
        <v>789531.6</v>
      </c>
      <c r="I50" s="18">
        <v>608429.30000000005</v>
      </c>
      <c r="J50" s="18">
        <v>57334.6</v>
      </c>
      <c r="K50" s="4">
        <v>799632</v>
      </c>
      <c r="L50" s="4">
        <v>617505</v>
      </c>
      <c r="M50" s="18">
        <v>31552</v>
      </c>
      <c r="N50" s="18">
        <f t="shared" si="12"/>
        <v>105.30000000000018</v>
      </c>
      <c r="O50" s="18">
        <f t="shared" si="13"/>
        <v>102.89999999999964</v>
      </c>
      <c r="P50" s="18">
        <f t="shared" si="14"/>
        <v>6.3000000000000114</v>
      </c>
      <c r="Q50" s="18">
        <f t="shared" si="15"/>
        <v>5.9000000000000057</v>
      </c>
      <c r="R50" s="24">
        <f t="shared" si="8"/>
        <v>25066.79999999993</v>
      </c>
      <c r="S50" s="18">
        <f t="shared" si="3"/>
        <v>5492</v>
      </c>
      <c r="T50" s="18">
        <f t="shared" si="10"/>
        <v>5926</v>
      </c>
      <c r="U50" s="18">
        <f t="shared" si="11"/>
        <v>-217</v>
      </c>
      <c r="AD50" s="3"/>
    </row>
    <row r="51" spans="1:38" ht="13.2" customHeight="1" x14ac:dyDescent="0.25">
      <c r="A51" s="3">
        <v>43435</v>
      </c>
      <c r="B51" s="1">
        <f t="shared" si="0"/>
        <v>2018</v>
      </c>
      <c r="C51" s="1" t="str">
        <f t="shared" si="9"/>
        <v>Q4</v>
      </c>
      <c r="D51" s="18">
        <v>7300.1</v>
      </c>
      <c r="E51" s="18">
        <v>7310.7</v>
      </c>
      <c r="F51" s="18">
        <v>214.3</v>
      </c>
      <c r="G51" s="18">
        <v>212.8</v>
      </c>
      <c r="H51" s="18">
        <v>789531.6</v>
      </c>
      <c r="I51" s="18">
        <v>608429.30000000005</v>
      </c>
      <c r="J51" s="18">
        <v>57334.6</v>
      </c>
      <c r="K51" s="4">
        <v>799632</v>
      </c>
      <c r="L51" s="4">
        <v>617505</v>
      </c>
      <c r="M51" s="18">
        <v>31552</v>
      </c>
      <c r="N51" s="18">
        <f t="shared" si="12"/>
        <v>100.60000000000036</v>
      </c>
      <c r="O51" s="18">
        <f t="shared" si="13"/>
        <v>103.89999999999964</v>
      </c>
      <c r="P51" s="18">
        <f t="shared" si="14"/>
        <v>6.3000000000000114</v>
      </c>
      <c r="Q51" s="18">
        <f t="shared" si="15"/>
        <v>5.7000000000000171</v>
      </c>
      <c r="R51" s="24">
        <f t="shared" si="8"/>
        <v>25066.79999999993</v>
      </c>
      <c r="S51" s="18">
        <f t="shared" si="3"/>
        <v>5492</v>
      </c>
      <c r="T51" s="18">
        <f t="shared" si="10"/>
        <v>5926</v>
      </c>
      <c r="U51" s="18">
        <f t="shared" si="11"/>
        <v>-217</v>
      </c>
      <c r="AD51" s="3"/>
    </row>
    <row r="52" spans="1:38" ht="13.2" customHeight="1" x14ac:dyDescent="0.25">
      <c r="A52" s="3">
        <v>43466</v>
      </c>
      <c r="B52" s="1">
        <f t="shared" ref="B52:B111" si="16">YEAR(A52)</f>
        <v>2019</v>
      </c>
      <c r="C52" s="1" t="str">
        <f t="shared" si="9"/>
        <v>Q1</v>
      </c>
      <c r="D52" s="18">
        <v>7318</v>
      </c>
      <c r="E52" s="18">
        <v>7289.4</v>
      </c>
      <c r="F52" s="18">
        <v>217.1</v>
      </c>
      <c r="G52" s="18">
        <v>215</v>
      </c>
      <c r="H52" s="18">
        <v>807274.5</v>
      </c>
      <c r="I52" s="18">
        <v>626103.1</v>
      </c>
      <c r="J52" s="18">
        <v>59751.3</v>
      </c>
      <c r="K52" s="4">
        <v>800724</v>
      </c>
      <c r="L52" s="4">
        <v>619045</v>
      </c>
      <c r="M52" s="18">
        <v>31743</v>
      </c>
      <c r="N52" s="18">
        <f t="shared" si="12"/>
        <v>118.60000000000036</v>
      </c>
      <c r="O52" s="18">
        <f t="shared" si="13"/>
        <v>122.09999999999945</v>
      </c>
      <c r="P52" s="18">
        <f t="shared" si="14"/>
        <v>10.199999999999989</v>
      </c>
      <c r="Q52" s="18">
        <f t="shared" si="15"/>
        <v>9.5999999999999943</v>
      </c>
      <c r="R52" s="24">
        <f t="shared" si="8"/>
        <v>17742.900000000023</v>
      </c>
      <c r="S52" s="18">
        <f t="shared" si="3"/>
        <v>1092</v>
      </c>
      <c r="T52" s="18">
        <f t="shared" si="10"/>
        <v>1540</v>
      </c>
      <c r="U52" s="18">
        <f t="shared" si="11"/>
        <v>191</v>
      </c>
      <c r="AD52" s="3"/>
    </row>
    <row r="53" spans="1:38" ht="13.2" customHeight="1" x14ac:dyDescent="0.25">
      <c r="A53" s="3">
        <v>43497</v>
      </c>
      <c r="B53" s="1">
        <f t="shared" si="16"/>
        <v>2019</v>
      </c>
      <c r="C53" s="1" t="str">
        <f t="shared" si="9"/>
        <v>Q1</v>
      </c>
      <c r="D53" s="18">
        <v>7345.4</v>
      </c>
      <c r="E53" s="18">
        <v>7278.4</v>
      </c>
      <c r="F53" s="18">
        <v>219.1</v>
      </c>
      <c r="G53" s="18">
        <v>217</v>
      </c>
      <c r="H53" s="18">
        <v>807274.5</v>
      </c>
      <c r="I53" s="18">
        <v>626103.1</v>
      </c>
      <c r="J53" s="18">
        <v>59751.3</v>
      </c>
      <c r="K53" s="4">
        <v>800724</v>
      </c>
      <c r="L53" s="4">
        <v>619045</v>
      </c>
      <c r="M53" s="18">
        <v>31743</v>
      </c>
      <c r="N53" s="18">
        <f t="shared" si="12"/>
        <v>156.5</v>
      </c>
      <c r="O53" s="18">
        <f t="shared" si="13"/>
        <v>158.29999999999927</v>
      </c>
      <c r="P53" s="18">
        <f t="shared" si="14"/>
        <v>11.699999999999989</v>
      </c>
      <c r="Q53" s="18">
        <f t="shared" si="15"/>
        <v>11.400000000000006</v>
      </c>
      <c r="R53" s="24">
        <f t="shared" si="8"/>
        <v>17742.900000000023</v>
      </c>
      <c r="S53" s="18">
        <f t="shared" si="3"/>
        <v>1092</v>
      </c>
      <c r="T53" s="18">
        <f t="shared" si="10"/>
        <v>1540</v>
      </c>
      <c r="U53" s="18">
        <f t="shared" si="11"/>
        <v>191</v>
      </c>
      <c r="AD53" s="3"/>
    </row>
    <row r="54" spans="1:38" ht="13.2" customHeight="1" x14ac:dyDescent="0.25">
      <c r="A54" s="3">
        <v>43525</v>
      </c>
      <c r="B54" s="1">
        <f t="shared" si="16"/>
        <v>2019</v>
      </c>
      <c r="C54" s="1" t="str">
        <f t="shared" si="9"/>
        <v>Q1</v>
      </c>
      <c r="D54" s="18">
        <v>7361.3</v>
      </c>
      <c r="E54" s="18">
        <v>7256.9</v>
      </c>
      <c r="F54" s="18">
        <v>221.6</v>
      </c>
      <c r="G54" s="18">
        <v>219.6</v>
      </c>
      <c r="H54" s="18">
        <v>807274.5</v>
      </c>
      <c r="I54" s="18">
        <v>626103.1</v>
      </c>
      <c r="J54" s="18">
        <v>59751.3</v>
      </c>
      <c r="K54" s="4">
        <v>800724</v>
      </c>
      <c r="L54" s="4">
        <v>619045</v>
      </c>
      <c r="M54" s="18">
        <v>31743</v>
      </c>
      <c r="N54" s="18">
        <f t="shared" si="12"/>
        <v>172.5</v>
      </c>
      <c r="O54" s="18">
        <f t="shared" si="13"/>
        <v>172.79999999999927</v>
      </c>
      <c r="P54" s="18">
        <f t="shared" si="14"/>
        <v>11.199999999999989</v>
      </c>
      <c r="Q54" s="18">
        <f t="shared" si="15"/>
        <v>11.299999999999983</v>
      </c>
      <c r="R54" s="24">
        <f t="shared" si="8"/>
        <v>17742.900000000023</v>
      </c>
      <c r="S54" s="18">
        <f t="shared" si="3"/>
        <v>1092</v>
      </c>
      <c r="T54" s="18">
        <f t="shared" si="10"/>
        <v>1540</v>
      </c>
      <c r="U54" s="18">
        <f t="shared" si="11"/>
        <v>191</v>
      </c>
      <c r="AD54" s="3"/>
    </row>
    <row r="55" spans="1:38" ht="13.2" customHeight="1" x14ac:dyDescent="0.25">
      <c r="A55" s="3">
        <v>43556</v>
      </c>
      <c r="B55" s="1">
        <f t="shared" si="16"/>
        <v>2019</v>
      </c>
      <c r="C55" s="1" t="str">
        <f t="shared" si="9"/>
        <v>Q2</v>
      </c>
      <c r="D55" s="18">
        <v>7382.3</v>
      </c>
      <c r="E55" s="18">
        <v>7294</v>
      </c>
      <c r="F55" s="18">
        <v>220.7</v>
      </c>
      <c r="G55" s="18">
        <v>220.1</v>
      </c>
      <c r="H55" s="18">
        <v>807274.5</v>
      </c>
      <c r="I55" s="18">
        <v>626103.1</v>
      </c>
      <c r="J55" s="18">
        <v>59751.3</v>
      </c>
      <c r="K55" s="4">
        <v>806630</v>
      </c>
      <c r="L55" s="4">
        <v>624723</v>
      </c>
      <c r="M55" s="18">
        <v>32769</v>
      </c>
      <c r="N55" s="18">
        <f t="shared" si="12"/>
        <v>181.19999999999982</v>
      </c>
      <c r="O55" s="18">
        <f t="shared" si="13"/>
        <v>182.39999999999964</v>
      </c>
      <c r="P55" s="18">
        <f t="shared" si="14"/>
        <v>6.1999999999999886</v>
      </c>
      <c r="Q55" s="18">
        <f t="shared" si="15"/>
        <v>6.7999999999999829</v>
      </c>
      <c r="R55" s="24">
        <f t="shared" si="8"/>
        <v>17742.900000000023</v>
      </c>
      <c r="S55" s="18">
        <f t="shared" si="3"/>
        <v>5906</v>
      </c>
      <c r="T55" s="18">
        <f t="shared" si="10"/>
        <v>5678</v>
      </c>
      <c r="U55" s="18">
        <f t="shared" si="11"/>
        <v>1026</v>
      </c>
      <c r="W55" s="450"/>
      <c r="AD55" s="3"/>
    </row>
    <row r="56" spans="1:38" ht="13.2" customHeight="1" x14ac:dyDescent="0.25">
      <c r="A56" s="3">
        <v>43586</v>
      </c>
      <c r="B56" s="1">
        <f t="shared" si="16"/>
        <v>2019</v>
      </c>
      <c r="C56" s="1" t="str">
        <f t="shared" si="9"/>
        <v>Q2</v>
      </c>
      <c r="D56" s="18">
        <v>7398.9</v>
      </c>
      <c r="E56" s="18">
        <v>7366.8</v>
      </c>
      <c r="F56" s="18">
        <v>219.3</v>
      </c>
      <c r="G56" s="18">
        <v>220.9</v>
      </c>
      <c r="H56" s="18">
        <v>807274.5</v>
      </c>
      <c r="I56" s="18">
        <v>626103.1</v>
      </c>
      <c r="J56" s="18">
        <v>59751.3</v>
      </c>
      <c r="K56" s="4">
        <v>806630</v>
      </c>
      <c r="L56" s="4">
        <v>624723</v>
      </c>
      <c r="M56" s="18">
        <v>32769</v>
      </c>
      <c r="N56" s="18">
        <f t="shared" si="12"/>
        <v>190.39999999999964</v>
      </c>
      <c r="O56" s="18">
        <f t="shared" si="13"/>
        <v>190.80000000000018</v>
      </c>
      <c r="P56" s="18">
        <f t="shared" si="14"/>
        <v>1</v>
      </c>
      <c r="Q56" s="18">
        <f t="shared" si="15"/>
        <v>1.5999999999999943</v>
      </c>
      <c r="R56" s="24">
        <f t="shared" si="8"/>
        <v>17742.900000000023</v>
      </c>
      <c r="S56" s="18">
        <f t="shared" si="3"/>
        <v>5906</v>
      </c>
      <c r="T56" s="18">
        <f t="shared" si="10"/>
        <v>5678</v>
      </c>
      <c r="U56" s="18">
        <f t="shared" si="11"/>
        <v>1026</v>
      </c>
      <c r="W56" s="450"/>
      <c r="AD56" s="3"/>
    </row>
    <row r="57" spans="1:38" ht="13.2" customHeight="1" x14ac:dyDescent="0.25">
      <c r="A57" s="3">
        <v>43617</v>
      </c>
      <c r="B57" s="1">
        <f t="shared" si="16"/>
        <v>2019</v>
      </c>
      <c r="C57" s="1" t="str">
        <f t="shared" si="9"/>
        <v>Q2</v>
      </c>
      <c r="D57" s="18">
        <v>7420.3</v>
      </c>
      <c r="E57" s="18">
        <v>7460.9</v>
      </c>
      <c r="F57" s="18">
        <v>218.5</v>
      </c>
      <c r="G57" s="18">
        <v>222.2</v>
      </c>
      <c r="H57" s="18">
        <v>807274.5</v>
      </c>
      <c r="I57" s="18">
        <v>626103.1</v>
      </c>
      <c r="J57" s="18">
        <v>59751.3</v>
      </c>
      <c r="K57" s="4">
        <v>806630</v>
      </c>
      <c r="L57" s="4">
        <v>624723</v>
      </c>
      <c r="M57" s="18">
        <v>32769</v>
      </c>
      <c r="N57" s="18">
        <f t="shared" si="12"/>
        <v>199.19999999999982</v>
      </c>
      <c r="O57" s="18">
        <f t="shared" si="13"/>
        <v>196.59999999999945</v>
      </c>
      <c r="P57" s="18">
        <f t="shared" si="14"/>
        <v>-1.9000000000000057</v>
      </c>
      <c r="Q57" s="18">
        <f t="shared" si="15"/>
        <v>-1.4000000000000057</v>
      </c>
      <c r="R57" s="24">
        <f t="shared" si="8"/>
        <v>17742.900000000023</v>
      </c>
      <c r="S57" s="18">
        <f t="shared" si="3"/>
        <v>5906</v>
      </c>
      <c r="T57" s="18">
        <f t="shared" si="10"/>
        <v>5678</v>
      </c>
      <c r="U57" s="18">
        <f t="shared" si="11"/>
        <v>1026</v>
      </c>
      <c r="W57" s="450"/>
      <c r="AD57" s="3"/>
    </row>
    <row r="58" spans="1:38" ht="13.2" customHeight="1" x14ac:dyDescent="0.25">
      <c r="A58" s="3">
        <v>43647</v>
      </c>
      <c r="B58" s="1">
        <f t="shared" si="16"/>
        <v>2019</v>
      </c>
      <c r="C58" s="1" t="str">
        <f t="shared" si="9"/>
        <v>Q3</v>
      </c>
      <c r="D58" s="18">
        <v>7423.6</v>
      </c>
      <c r="E58" s="18">
        <v>7509.9</v>
      </c>
      <c r="F58" s="18">
        <v>217</v>
      </c>
      <c r="G58" s="18">
        <v>221.7</v>
      </c>
      <c r="H58" s="18">
        <v>807274.5</v>
      </c>
      <c r="I58" s="18">
        <v>626103.1</v>
      </c>
      <c r="J58" s="18">
        <v>59751.3</v>
      </c>
      <c r="K58" s="4">
        <v>810347</v>
      </c>
      <c r="L58" s="4">
        <v>628879</v>
      </c>
      <c r="M58" s="18">
        <v>33162</v>
      </c>
      <c r="N58" s="18">
        <f t="shared" si="12"/>
        <v>168.60000000000036</v>
      </c>
      <c r="O58" s="18">
        <f t="shared" si="13"/>
        <v>164.19999999999982</v>
      </c>
      <c r="P58" s="18">
        <f t="shared" si="14"/>
        <v>-2.9000000000000057</v>
      </c>
      <c r="Q58" s="18">
        <f t="shared" si="15"/>
        <v>-3</v>
      </c>
      <c r="R58" s="24">
        <f t="shared" si="8"/>
        <v>17742.900000000023</v>
      </c>
      <c r="S58" s="18">
        <f t="shared" si="3"/>
        <v>3717</v>
      </c>
      <c r="T58" s="18">
        <f t="shared" si="10"/>
        <v>4156</v>
      </c>
      <c r="U58" s="18">
        <f t="shared" si="11"/>
        <v>393</v>
      </c>
      <c r="AD58" s="3"/>
    </row>
    <row r="59" spans="1:38" ht="13.2" customHeight="1" x14ac:dyDescent="0.25">
      <c r="A59" s="3">
        <v>43678</v>
      </c>
      <c r="B59" s="1">
        <f t="shared" si="16"/>
        <v>2019</v>
      </c>
      <c r="C59" s="1" t="str">
        <f t="shared" si="9"/>
        <v>Q3</v>
      </c>
      <c r="D59" s="18">
        <v>7433.8</v>
      </c>
      <c r="E59" s="18">
        <v>7523.3</v>
      </c>
      <c r="F59" s="18">
        <v>214.2</v>
      </c>
      <c r="G59" s="18">
        <v>217.2</v>
      </c>
      <c r="H59" s="18">
        <v>807274.5</v>
      </c>
      <c r="I59" s="18">
        <v>626103.1</v>
      </c>
      <c r="J59" s="18">
        <v>59751.3</v>
      </c>
      <c r="K59" s="4">
        <v>810347</v>
      </c>
      <c r="L59" s="4">
        <v>628879</v>
      </c>
      <c r="M59" s="18">
        <v>33162</v>
      </c>
      <c r="N59" s="18">
        <f t="shared" si="12"/>
        <v>167.60000000000036</v>
      </c>
      <c r="O59" s="18">
        <f t="shared" si="13"/>
        <v>163.80000000000018</v>
      </c>
      <c r="P59" s="18">
        <f t="shared" si="14"/>
        <v>-4.1000000000000227</v>
      </c>
      <c r="Q59" s="18">
        <f t="shared" si="15"/>
        <v>-4.5</v>
      </c>
      <c r="R59" s="24">
        <f t="shared" si="8"/>
        <v>17742.900000000023</v>
      </c>
      <c r="S59" s="18">
        <f t="shared" si="3"/>
        <v>3717</v>
      </c>
      <c r="T59" s="18">
        <f t="shared" si="10"/>
        <v>4156</v>
      </c>
      <c r="U59" s="18">
        <f t="shared" si="11"/>
        <v>393</v>
      </c>
      <c r="AD59" s="3"/>
    </row>
    <row r="60" spans="1:38" ht="13.2" customHeight="1" x14ac:dyDescent="0.25">
      <c r="A60" s="3">
        <v>43709</v>
      </c>
      <c r="B60" s="1">
        <f t="shared" si="16"/>
        <v>2019</v>
      </c>
      <c r="C60" s="1" t="str">
        <f t="shared" si="9"/>
        <v>Q3</v>
      </c>
      <c r="D60" s="18">
        <v>7448.5</v>
      </c>
      <c r="E60" s="18">
        <v>7505.1</v>
      </c>
      <c r="F60" s="18">
        <v>210</v>
      </c>
      <c r="G60" s="18">
        <v>210.7</v>
      </c>
      <c r="H60" s="18">
        <v>807274.5</v>
      </c>
      <c r="I60" s="18">
        <v>626103.1</v>
      </c>
      <c r="J60" s="18">
        <v>59751.3</v>
      </c>
      <c r="K60" s="4">
        <v>810347</v>
      </c>
      <c r="L60" s="4">
        <v>628879</v>
      </c>
      <c r="M60" s="18">
        <v>33162</v>
      </c>
      <c r="N60" s="18">
        <f t="shared" si="12"/>
        <v>168.89999999999964</v>
      </c>
      <c r="O60" s="18">
        <f t="shared" si="13"/>
        <v>180.70000000000073</v>
      </c>
      <c r="P60" s="18">
        <f t="shared" si="14"/>
        <v>-6.5999999999999943</v>
      </c>
      <c r="Q60" s="18">
        <f t="shared" si="15"/>
        <v>-6.6000000000000227</v>
      </c>
      <c r="R60" s="24">
        <f t="shared" si="8"/>
        <v>17742.900000000023</v>
      </c>
      <c r="S60" s="18">
        <f t="shared" si="3"/>
        <v>3717</v>
      </c>
      <c r="T60" s="18">
        <f t="shared" si="10"/>
        <v>4156</v>
      </c>
      <c r="U60" s="18">
        <f t="shared" si="11"/>
        <v>393</v>
      </c>
      <c r="AD60" s="3"/>
    </row>
    <row r="61" spans="1:38" ht="13.2" customHeight="1" x14ac:dyDescent="0.25">
      <c r="A61" s="3">
        <v>43739</v>
      </c>
      <c r="B61" s="1">
        <f t="shared" si="16"/>
        <v>2019</v>
      </c>
      <c r="C61" s="1" t="str">
        <f t="shared" si="9"/>
        <v>Q4</v>
      </c>
      <c r="D61" s="18">
        <v>7462.2</v>
      </c>
      <c r="E61" s="18">
        <v>7501.2</v>
      </c>
      <c r="F61" s="18">
        <v>207.5</v>
      </c>
      <c r="G61" s="18">
        <v>206.1</v>
      </c>
      <c r="H61" s="18">
        <v>807274.5</v>
      </c>
      <c r="I61" s="18">
        <v>626103.1</v>
      </c>
      <c r="J61" s="18">
        <v>59751.3</v>
      </c>
      <c r="K61" s="4">
        <v>811397</v>
      </c>
      <c r="L61" s="4">
        <v>631766</v>
      </c>
      <c r="M61" s="18">
        <v>33770</v>
      </c>
      <c r="N61" s="18">
        <f t="shared" si="12"/>
        <v>191.89999999999964</v>
      </c>
      <c r="O61" s="18">
        <f t="shared" si="13"/>
        <v>210.59999999999945</v>
      </c>
      <c r="P61" s="18">
        <f t="shared" si="14"/>
        <v>-7.6999999999999886</v>
      </c>
      <c r="Q61" s="18">
        <f t="shared" si="15"/>
        <v>-7.9000000000000057</v>
      </c>
      <c r="R61" s="24">
        <f t="shared" si="8"/>
        <v>17742.900000000023</v>
      </c>
      <c r="S61" s="18">
        <f t="shared" si="3"/>
        <v>1050</v>
      </c>
      <c r="T61" s="18">
        <f t="shared" si="10"/>
        <v>2887</v>
      </c>
      <c r="U61" s="18">
        <f t="shared" si="11"/>
        <v>608</v>
      </c>
      <c r="AD61" s="3"/>
    </row>
    <row r="62" spans="1:38" ht="13.2" customHeight="1" x14ac:dyDescent="0.25">
      <c r="A62" s="3">
        <v>43770</v>
      </c>
      <c r="B62" s="1">
        <f t="shared" si="16"/>
        <v>2019</v>
      </c>
      <c r="C62" s="1" t="str">
        <f t="shared" si="9"/>
        <v>Q4</v>
      </c>
      <c r="D62" s="18">
        <v>7470.1</v>
      </c>
      <c r="E62" s="18">
        <v>7488.3</v>
      </c>
      <c r="F62" s="18">
        <v>206.3</v>
      </c>
      <c r="G62" s="18">
        <v>203.6</v>
      </c>
      <c r="H62" s="18">
        <v>807274.5</v>
      </c>
      <c r="I62" s="18">
        <v>626103.1</v>
      </c>
      <c r="J62" s="18">
        <v>59751.3</v>
      </c>
      <c r="K62" s="4">
        <v>811397</v>
      </c>
      <c r="L62" s="4">
        <v>631766</v>
      </c>
      <c r="M62" s="18">
        <v>33770</v>
      </c>
      <c r="N62" s="18">
        <f t="shared" si="12"/>
        <v>180.10000000000036</v>
      </c>
      <c r="O62" s="18">
        <f t="shared" si="13"/>
        <v>199.40000000000055</v>
      </c>
      <c r="P62" s="18">
        <f t="shared" si="14"/>
        <v>-9</v>
      </c>
      <c r="Q62" s="18">
        <f t="shared" si="15"/>
        <v>-9.9000000000000057</v>
      </c>
      <c r="R62" s="24">
        <f t="shared" si="8"/>
        <v>17742.900000000023</v>
      </c>
      <c r="S62" s="18">
        <f t="shared" si="3"/>
        <v>1050</v>
      </c>
      <c r="T62" s="18">
        <f t="shared" si="10"/>
        <v>2887</v>
      </c>
      <c r="U62" s="18">
        <f t="shared" si="11"/>
        <v>608</v>
      </c>
      <c r="AD62" s="3"/>
    </row>
    <row r="63" spans="1:38" ht="13.2" customHeight="1" x14ac:dyDescent="0.25">
      <c r="A63" s="3">
        <v>43800</v>
      </c>
      <c r="B63" s="1">
        <f t="shared" si="16"/>
        <v>2019</v>
      </c>
      <c r="C63" s="1" t="str">
        <f t="shared" si="9"/>
        <v>Q4</v>
      </c>
      <c r="D63" s="18">
        <v>7482.6</v>
      </c>
      <c r="E63" s="18">
        <v>7493.8</v>
      </c>
      <c r="F63" s="18">
        <v>207.6</v>
      </c>
      <c r="G63" s="18">
        <v>204.9</v>
      </c>
      <c r="H63" s="18">
        <v>807274.5</v>
      </c>
      <c r="I63" s="18">
        <v>626103.1</v>
      </c>
      <c r="J63" s="18">
        <v>59751.3</v>
      </c>
      <c r="K63" s="4">
        <v>811397</v>
      </c>
      <c r="L63" s="4">
        <v>631766</v>
      </c>
      <c r="M63" s="18">
        <v>33770</v>
      </c>
      <c r="N63" s="18">
        <f t="shared" si="12"/>
        <v>182.5</v>
      </c>
      <c r="O63" s="18">
        <f t="shared" si="13"/>
        <v>183.10000000000036</v>
      </c>
      <c r="P63" s="18">
        <f t="shared" si="14"/>
        <v>-6.7000000000000171</v>
      </c>
      <c r="Q63" s="18">
        <f t="shared" si="15"/>
        <v>-7.9000000000000057</v>
      </c>
      <c r="R63" s="24">
        <f t="shared" si="8"/>
        <v>17742.900000000023</v>
      </c>
      <c r="S63" s="18">
        <f t="shared" si="3"/>
        <v>1050</v>
      </c>
      <c r="T63" s="18">
        <f t="shared" si="10"/>
        <v>2887</v>
      </c>
      <c r="U63" s="18">
        <f t="shared" si="11"/>
        <v>608</v>
      </c>
      <c r="AD63" s="3"/>
    </row>
    <row r="64" spans="1:38" ht="13.2" customHeight="1" x14ac:dyDescent="0.25">
      <c r="A64" s="3">
        <v>43831</v>
      </c>
      <c r="B64" s="1">
        <f t="shared" si="16"/>
        <v>2020</v>
      </c>
      <c r="C64" s="1" t="str">
        <f t="shared" si="9"/>
        <v>Q1</v>
      </c>
      <c r="D64" s="18">
        <v>7504.9</v>
      </c>
      <c r="E64" s="18">
        <v>7471.6</v>
      </c>
      <c r="F64" s="18">
        <v>208.1</v>
      </c>
      <c r="G64" s="18">
        <v>205.5</v>
      </c>
      <c r="H64" s="18">
        <v>769942</v>
      </c>
      <c r="I64" s="18">
        <v>596521.6</v>
      </c>
      <c r="J64" s="18">
        <v>58159</v>
      </c>
      <c r="K64" s="4">
        <v>800126</v>
      </c>
      <c r="L64" s="4">
        <v>621238</v>
      </c>
      <c r="M64" s="18">
        <v>30738</v>
      </c>
      <c r="N64" s="18">
        <f t="shared" si="12"/>
        <v>186.89999999999964</v>
      </c>
      <c r="O64" s="18">
        <f t="shared" si="13"/>
        <v>182.20000000000073</v>
      </c>
      <c r="P64" s="18">
        <f t="shared" si="14"/>
        <v>-9</v>
      </c>
      <c r="Q64" s="18">
        <f t="shared" si="15"/>
        <v>-9.5</v>
      </c>
      <c r="R64" s="24">
        <f t="shared" si="8"/>
        <v>-37332.5</v>
      </c>
      <c r="S64" s="18">
        <f t="shared" si="3"/>
        <v>-11271</v>
      </c>
      <c r="T64" s="18">
        <f t="shared" si="10"/>
        <v>-10528</v>
      </c>
      <c r="U64" s="18">
        <f t="shared" si="11"/>
        <v>-3032</v>
      </c>
      <c r="V64" s="451"/>
      <c r="W64" s="18"/>
      <c r="X64" s="18"/>
      <c r="Y64" s="18"/>
      <c r="Z64" s="18"/>
      <c r="AA64" s="18"/>
      <c r="AD64" s="3"/>
      <c r="AF64" s="452"/>
      <c r="AG64" s="452"/>
      <c r="AH64" s="452"/>
      <c r="AI64" s="452"/>
      <c r="AJ64" s="452"/>
      <c r="AK64" s="452"/>
      <c r="AL64" s="452"/>
    </row>
    <row r="65" spans="1:38" ht="13.2" customHeight="1" x14ac:dyDescent="0.25">
      <c r="A65" s="3">
        <v>43862</v>
      </c>
      <c r="B65" s="1">
        <f t="shared" si="16"/>
        <v>2020</v>
      </c>
      <c r="C65" s="1" t="str">
        <f t="shared" si="9"/>
        <v>Q1</v>
      </c>
      <c r="D65" s="18">
        <v>7512.3</v>
      </c>
      <c r="E65" s="18">
        <v>7442.1</v>
      </c>
      <c r="F65" s="18">
        <v>210.7</v>
      </c>
      <c r="G65" s="18">
        <v>208.8</v>
      </c>
      <c r="H65" s="18">
        <v>769942</v>
      </c>
      <c r="I65" s="18">
        <v>596521.6</v>
      </c>
      <c r="J65" s="18">
        <v>58159</v>
      </c>
      <c r="K65" s="4">
        <v>800126</v>
      </c>
      <c r="L65" s="4">
        <v>621238</v>
      </c>
      <c r="M65" s="18">
        <v>30738</v>
      </c>
      <c r="N65" s="18">
        <f t="shared" si="12"/>
        <v>166.90000000000055</v>
      </c>
      <c r="O65" s="18">
        <f t="shared" si="13"/>
        <v>163.70000000000073</v>
      </c>
      <c r="P65" s="18">
        <f t="shared" si="14"/>
        <v>-8.4000000000000057</v>
      </c>
      <c r="Q65" s="18">
        <f t="shared" si="15"/>
        <v>-8.1999999999999886</v>
      </c>
      <c r="R65" s="24">
        <f t="shared" si="8"/>
        <v>-37332.5</v>
      </c>
      <c r="S65" s="18">
        <f t="shared" si="3"/>
        <v>-11271</v>
      </c>
      <c r="T65" s="18">
        <f t="shared" si="10"/>
        <v>-10528</v>
      </c>
      <c r="U65" s="18">
        <f t="shared" si="11"/>
        <v>-3032</v>
      </c>
      <c r="V65" s="451"/>
      <c r="W65" s="18"/>
      <c r="X65" s="18"/>
      <c r="Y65" s="18"/>
      <c r="Z65" s="18"/>
      <c r="AA65" s="18"/>
      <c r="AD65" s="3"/>
      <c r="AF65" s="452"/>
      <c r="AG65" s="452"/>
      <c r="AH65" s="452"/>
      <c r="AI65" s="452"/>
      <c r="AJ65" s="452"/>
      <c r="AK65" s="452"/>
      <c r="AL65" s="452"/>
    </row>
    <row r="66" spans="1:38" ht="13.2" customHeight="1" x14ac:dyDescent="0.25">
      <c r="A66" s="3">
        <v>43891</v>
      </c>
      <c r="B66" s="1">
        <f t="shared" si="16"/>
        <v>2020</v>
      </c>
      <c r="C66" s="1" t="str">
        <f t="shared" si="9"/>
        <v>Q1</v>
      </c>
      <c r="D66" s="18">
        <v>7358</v>
      </c>
      <c r="E66" s="18">
        <v>7256.2</v>
      </c>
      <c r="F66" s="18">
        <v>208.3</v>
      </c>
      <c r="G66" s="18">
        <v>207.2</v>
      </c>
      <c r="H66" s="18">
        <v>769942</v>
      </c>
      <c r="I66" s="18">
        <v>596521.6</v>
      </c>
      <c r="J66" s="18">
        <v>58159</v>
      </c>
      <c r="K66" s="4">
        <v>800126</v>
      </c>
      <c r="L66" s="4">
        <v>621238</v>
      </c>
      <c r="M66" s="18">
        <v>30738</v>
      </c>
      <c r="N66" s="18">
        <f t="shared" si="12"/>
        <v>-3.3000000000001819</v>
      </c>
      <c r="O66" s="18">
        <f t="shared" si="13"/>
        <v>-0.6999999999998181</v>
      </c>
      <c r="P66" s="18">
        <f t="shared" si="14"/>
        <v>-13.299999999999983</v>
      </c>
      <c r="Q66" s="18">
        <f t="shared" si="15"/>
        <v>-12.400000000000006</v>
      </c>
      <c r="R66" s="24">
        <f t="shared" si="8"/>
        <v>-37332.5</v>
      </c>
      <c r="S66" s="18">
        <f t="shared" si="3"/>
        <v>-11271</v>
      </c>
      <c r="T66" s="18">
        <f t="shared" si="10"/>
        <v>-10528</v>
      </c>
      <c r="U66" s="18">
        <f t="shared" si="11"/>
        <v>-3032</v>
      </c>
      <c r="V66" s="451"/>
      <c r="W66" s="18"/>
      <c r="X66" s="18"/>
      <c r="Y66" s="18"/>
      <c r="Z66" s="18"/>
      <c r="AA66" s="18"/>
      <c r="AD66" s="3"/>
      <c r="AF66" s="452"/>
      <c r="AG66" s="452"/>
      <c r="AH66" s="452"/>
      <c r="AI66" s="452"/>
      <c r="AJ66" s="452"/>
      <c r="AK66" s="452"/>
      <c r="AL66" s="452"/>
    </row>
    <row r="67" spans="1:38" ht="13.2" customHeight="1" x14ac:dyDescent="0.25">
      <c r="A67" s="3">
        <v>43922</v>
      </c>
      <c r="B67" s="1">
        <f t="shared" si="16"/>
        <v>2020</v>
      </c>
      <c r="C67" s="1" t="str">
        <f t="shared" si="9"/>
        <v>Q2</v>
      </c>
      <c r="D67" s="18">
        <v>6963.7</v>
      </c>
      <c r="E67" s="18">
        <v>6885.2</v>
      </c>
      <c r="F67" s="18">
        <v>201.9</v>
      </c>
      <c r="G67" s="18">
        <v>202.3</v>
      </c>
      <c r="H67" s="18">
        <v>769942</v>
      </c>
      <c r="I67" s="18">
        <v>596521.6</v>
      </c>
      <c r="J67" s="18">
        <v>58159</v>
      </c>
      <c r="K67" s="4">
        <v>706539</v>
      </c>
      <c r="L67" s="4">
        <v>552481</v>
      </c>
      <c r="M67" s="18">
        <v>20965</v>
      </c>
      <c r="N67" s="18">
        <f t="shared" si="12"/>
        <v>-418.60000000000036</v>
      </c>
      <c r="O67" s="18">
        <f t="shared" si="13"/>
        <v>-408.80000000000018</v>
      </c>
      <c r="P67" s="18">
        <f t="shared" si="14"/>
        <v>-18.799999999999983</v>
      </c>
      <c r="Q67" s="18">
        <f t="shared" si="15"/>
        <v>-17.799999999999983</v>
      </c>
      <c r="R67" s="24">
        <f t="shared" si="8"/>
        <v>-37332.5</v>
      </c>
      <c r="S67" s="18">
        <f t="shared" si="3"/>
        <v>-93587</v>
      </c>
      <c r="T67" s="18">
        <f t="shared" si="10"/>
        <v>-68757</v>
      </c>
      <c r="U67" s="18">
        <f t="shared" si="11"/>
        <v>-9773</v>
      </c>
      <c r="V67" s="451"/>
      <c r="W67" s="18"/>
      <c r="X67" s="18"/>
      <c r="Y67" s="18"/>
      <c r="Z67" s="18"/>
      <c r="AA67" s="18"/>
      <c r="AD67" s="3"/>
      <c r="AF67" s="452"/>
      <c r="AG67" s="452"/>
      <c r="AH67" s="452"/>
      <c r="AI67" s="452"/>
      <c r="AJ67" s="452"/>
      <c r="AK67" s="452"/>
      <c r="AL67" s="452"/>
    </row>
    <row r="68" spans="1:38" ht="13.2" customHeight="1" x14ac:dyDescent="0.25">
      <c r="A68" s="3">
        <v>43952</v>
      </c>
      <c r="B68" s="1">
        <f t="shared" si="16"/>
        <v>2020</v>
      </c>
      <c r="C68" s="1" t="str">
        <f t="shared" si="9"/>
        <v>Q2</v>
      </c>
      <c r="D68" s="18">
        <v>6568.2</v>
      </c>
      <c r="E68" s="18">
        <v>6536.7</v>
      </c>
      <c r="F68" s="18">
        <v>193.3</v>
      </c>
      <c r="G68" s="18">
        <v>195.5</v>
      </c>
      <c r="H68" s="18">
        <v>769942</v>
      </c>
      <c r="I68" s="18">
        <v>596521.6</v>
      </c>
      <c r="J68" s="18">
        <v>58159</v>
      </c>
      <c r="K68" s="4">
        <v>706539</v>
      </c>
      <c r="L68" s="4">
        <v>552481</v>
      </c>
      <c r="M68" s="18">
        <v>20965</v>
      </c>
      <c r="N68" s="18">
        <f t="shared" si="12"/>
        <v>-830.69999999999982</v>
      </c>
      <c r="O68" s="18">
        <f t="shared" si="13"/>
        <v>-830.10000000000036</v>
      </c>
      <c r="P68" s="18">
        <f t="shared" si="14"/>
        <v>-26</v>
      </c>
      <c r="Q68" s="18">
        <f t="shared" si="15"/>
        <v>-25.400000000000006</v>
      </c>
      <c r="R68" s="24">
        <f t="shared" si="8"/>
        <v>-37332.5</v>
      </c>
      <c r="S68" s="18">
        <f t="shared" si="3"/>
        <v>-93587</v>
      </c>
      <c r="T68" s="18">
        <f t="shared" si="10"/>
        <v>-68757</v>
      </c>
      <c r="U68" s="18">
        <f t="shared" si="11"/>
        <v>-9773</v>
      </c>
      <c r="V68" s="451"/>
      <c r="W68" s="18"/>
      <c r="X68" s="18"/>
      <c r="Y68" s="18"/>
      <c r="Z68" s="18"/>
      <c r="AA68" s="18"/>
      <c r="AD68" s="3"/>
      <c r="AF68" s="452"/>
      <c r="AG68" s="452"/>
      <c r="AH68" s="452"/>
      <c r="AI68" s="452"/>
      <c r="AJ68" s="452"/>
      <c r="AK68" s="452"/>
      <c r="AL68" s="452"/>
    </row>
    <row r="69" spans="1:38" ht="13.2" customHeight="1" x14ac:dyDescent="0.25">
      <c r="A69" s="3">
        <v>43983</v>
      </c>
      <c r="B69" s="1">
        <f t="shared" si="16"/>
        <v>2020</v>
      </c>
      <c r="C69" s="1" t="str">
        <f t="shared" si="9"/>
        <v>Q2</v>
      </c>
      <c r="D69" s="18">
        <v>6459.7</v>
      </c>
      <c r="E69" s="18">
        <v>6498.5</v>
      </c>
      <c r="F69" s="18">
        <v>190.3</v>
      </c>
      <c r="G69" s="18">
        <v>193.9</v>
      </c>
      <c r="H69" s="18">
        <v>769942</v>
      </c>
      <c r="I69" s="18">
        <v>596521.6</v>
      </c>
      <c r="J69" s="18">
        <v>58159</v>
      </c>
      <c r="K69" s="4">
        <v>706539</v>
      </c>
      <c r="L69" s="4">
        <v>552481</v>
      </c>
      <c r="M69" s="18">
        <v>20965</v>
      </c>
      <c r="N69" s="18">
        <f t="shared" si="12"/>
        <v>-960.60000000000036</v>
      </c>
      <c r="O69" s="18">
        <f t="shared" si="13"/>
        <v>-962.39999999999964</v>
      </c>
      <c r="P69" s="18">
        <f t="shared" si="14"/>
        <v>-28.199999999999989</v>
      </c>
      <c r="Q69" s="18">
        <f t="shared" si="15"/>
        <v>-28.299999999999983</v>
      </c>
      <c r="R69" s="24">
        <f t="shared" si="8"/>
        <v>-37332.5</v>
      </c>
      <c r="S69" s="18">
        <f t="shared" si="3"/>
        <v>-93587</v>
      </c>
      <c r="T69" s="18">
        <f t="shared" si="10"/>
        <v>-68757</v>
      </c>
      <c r="U69" s="18">
        <f t="shared" si="11"/>
        <v>-9773</v>
      </c>
      <c r="V69" s="451"/>
      <c r="W69" s="18"/>
      <c r="X69" s="18"/>
      <c r="Y69" s="18"/>
      <c r="Z69" s="18"/>
      <c r="AA69" s="18"/>
      <c r="AD69" s="3"/>
      <c r="AF69" s="452"/>
      <c r="AG69" s="452"/>
      <c r="AH69" s="452"/>
      <c r="AI69" s="452"/>
      <c r="AJ69" s="452"/>
      <c r="AK69" s="452"/>
      <c r="AL69" s="452"/>
    </row>
    <row r="70" spans="1:38" ht="13.2" customHeight="1" x14ac:dyDescent="0.25">
      <c r="A70" s="3">
        <v>44013</v>
      </c>
      <c r="B70" s="1">
        <f t="shared" si="16"/>
        <v>2020</v>
      </c>
      <c r="C70" s="1" t="str">
        <f t="shared" si="9"/>
        <v>Q3</v>
      </c>
      <c r="D70" s="18">
        <v>6643.5</v>
      </c>
      <c r="E70" s="18">
        <v>6711.9</v>
      </c>
      <c r="F70" s="18">
        <v>195.6</v>
      </c>
      <c r="G70" s="18">
        <v>199.5</v>
      </c>
      <c r="H70" s="18">
        <v>769942</v>
      </c>
      <c r="I70" s="18">
        <v>596521.6</v>
      </c>
      <c r="J70" s="18">
        <v>58159</v>
      </c>
      <c r="K70" s="4">
        <v>777225</v>
      </c>
      <c r="L70" s="4">
        <v>598852</v>
      </c>
      <c r="M70" s="18">
        <v>22145</v>
      </c>
      <c r="N70" s="18">
        <f t="shared" si="12"/>
        <v>-780.10000000000036</v>
      </c>
      <c r="O70" s="18">
        <f t="shared" si="13"/>
        <v>-798</v>
      </c>
      <c r="P70" s="18">
        <f t="shared" si="14"/>
        <v>-21.400000000000006</v>
      </c>
      <c r="Q70" s="18">
        <f t="shared" si="15"/>
        <v>-22.199999999999989</v>
      </c>
      <c r="R70" s="24">
        <f t="shared" si="8"/>
        <v>-37332.5</v>
      </c>
      <c r="S70" s="18">
        <f t="shared" si="3"/>
        <v>70686</v>
      </c>
      <c r="T70" s="18">
        <f t="shared" si="10"/>
        <v>46371</v>
      </c>
      <c r="U70" s="18">
        <f t="shared" si="11"/>
        <v>1180</v>
      </c>
      <c r="V70" s="451"/>
      <c r="W70" s="18"/>
      <c r="X70" s="18"/>
      <c r="Y70" s="18"/>
      <c r="Z70" s="18"/>
      <c r="AA70" s="18"/>
      <c r="AD70" s="3"/>
      <c r="AF70" s="452"/>
      <c r="AG70" s="452"/>
      <c r="AH70" s="452"/>
      <c r="AI70" s="452"/>
      <c r="AJ70" s="452"/>
      <c r="AK70" s="452"/>
      <c r="AL70" s="452"/>
    </row>
    <row r="71" spans="1:38" ht="13.2" customHeight="1" x14ac:dyDescent="0.25">
      <c r="A71" s="3">
        <v>44044</v>
      </c>
      <c r="B71" s="1">
        <f t="shared" si="16"/>
        <v>2020</v>
      </c>
      <c r="C71" s="1" t="str">
        <f t="shared" si="9"/>
        <v>Q3</v>
      </c>
      <c r="D71" s="18">
        <v>6879.1</v>
      </c>
      <c r="E71" s="18">
        <v>6950.9</v>
      </c>
      <c r="F71" s="18">
        <v>202.7</v>
      </c>
      <c r="G71" s="18">
        <v>205.5</v>
      </c>
      <c r="H71" s="18">
        <v>769942</v>
      </c>
      <c r="I71" s="18">
        <v>596521.6</v>
      </c>
      <c r="J71" s="18">
        <v>58159</v>
      </c>
      <c r="K71" s="4">
        <v>777225</v>
      </c>
      <c r="L71" s="4">
        <v>598852</v>
      </c>
      <c r="M71" s="18">
        <v>22145</v>
      </c>
      <c r="N71" s="18">
        <f t="shared" si="12"/>
        <v>-554.69999999999982</v>
      </c>
      <c r="O71" s="18">
        <f t="shared" si="13"/>
        <v>-572.40000000000055</v>
      </c>
      <c r="P71" s="18">
        <f t="shared" si="14"/>
        <v>-11.5</v>
      </c>
      <c r="Q71" s="18">
        <f t="shared" si="15"/>
        <v>-11.699999999999989</v>
      </c>
      <c r="R71" s="24">
        <f t="shared" si="8"/>
        <v>-37332.5</v>
      </c>
      <c r="S71" s="18">
        <f t="shared" si="3"/>
        <v>70686</v>
      </c>
      <c r="T71" s="18">
        <f t="shared" si="10"/>
        <v>46371</v>
      </c>
      <c r="U71" s="18">
        <f t="shared" si="11"/>
        <v>1180</v>
      </c>
      <c r="V71" s="451"/>
      <c r="W71" s="451"/>
      <c r="X71" s="451"/>
      <c r="Y71" s="451"/>
      <c r="Z71" s="451"/>
      <c r="AA71" s="451"/>
      <c r="AD71" s="3"/>
      <c r="AF71" s="452"/>
      <c r="AG71" s="452"/>
      <c r="AH71" s="452"/>
      <c r="AI71" s="452"/>
      <c r="AJ71" s="452"/>
      <c r="AK71" s="452"/>
      <c r="AL71" s="452"/>
    </row>
    <row r="72" spans="1:38" ht="13.2" customHeight="1" x14ac:dyDescent="0.25">
      <c r="A72" s="3">
        <v>44075</v>
      </c>
      <c r="B72" s="1">
        <f t="shared" si="16"/>
        <v>2020</v>
      </c>
      <c r="C72" s="1" t="str">
        <f t="shared" si="9"/>
        <v>Q3</v>
      </c>
      <c r="D72" s="18">
        <v>7040.8</v>
      </c>
      <c r="E72" s="18">
        <v>7075.5</v>
      </c>
      <c r="F72" s="18">
        <v>208.8</v>
      </c>
      <c r="G72" s="18">
        <v>209.1</v>
      </c>
      <c r="H72" s="18">
        <v>769942</v>
      </c>
      <c r="I72" s="18">
        <v>596521.6</v>
      </c>
      <c r="J72" s="18">
        <v>58159</v>
      </c>
      <c r="K72" s="4">
        <v>777225</v>
      </c>
      <c r="L72" s="4">
        <v>598852</v>
      </c>
      <c r="M72" s="18">
        <v>22145</v>
      </c>
      <c r="N72" s="18">
        <f t="shared" si="12"/>
        <v>-407.69999999999982</v>
      </c>
      <c r="O72" s="18">
        <f t="shared" si="13"/>
        <v>-429.60000000000036</v>
      </c>
      <c r="P72" s="18">
        <f t="shared" si="14"/>
        <v>-1.1999999999999886</v>
      </c>
      <c r="Q72" s="18">
        <f t="shared" si="15"/>
        <v>-1.5999999999999943</v>
      </c>
      <c r="R72" s="24">
        <f t="shared" si="8"/>
        <v>-37332.5</v>
      </c>
      <c r="S72" s="18">
        <f t="shared" si="3"/>
        <v>70686</v>
      </c>
      <c r="T72" s="18">
        <f t="shared" si="10"/>
        <v>46371</v>
      </c>
      <c r="U72" s="18">
        <f t="shared" si="11"/>
        <v>1180</v>
      </c>
      <c r="V72" s="451"/>
      <c r="W72" s="451"/>
      <c r="X72" s="451"/>
      <c r="Y72" s="451"/>
      <c r="Z72" s="451"/>
      <c r="AA72" s="451"/>
      <c r="AD72" s="3"/>
      <c r="AF72" s="452"/>
      <c r="AG72" s="452"/>
      <c r="AH72" s="452"/>
      <c r="AI72" s="452"/>
      <c r="AJ72" s="452"/>
      <c r="AK72" s="452"/>
      <c r="AL72" s="452"/>
    </row>
    <row r="73" spans="1:38" ht="13.2" customHeight="1" x14ac:dyDescent="0.25">
      <c r="A73" s="3">
        <v>44105</v>
      </c>
      <c r="B73" s="1">
        <f t="shared" si="16"/>
        <v>2020</v>
      </c>
      <c r="C73" s="1" t="str">
        <f t="shared" si="9"/>
        <v>Q4</v>
      </c>
      <c r="D73" s="18">
        <v>7159.1</v>
      </c>
      <c r="E73" s="18">
        <v>7184.1</v>
      </c>
      <c r="F73" s="18">
        <v>213.3</v>
      </c>
      <c r="G73" s="18">
        <v>212</v>
      </c>
      <c r="H73" s="18">
        <v>769942</v>
      </c>
      <c r="I73" s="18">
        <v>596521.6</v>
      </c>
      <c r="J73" s="18">
        <v>58159</v>
      </c>
      <c r="K73" s="4">
        <v>795879</v>
      </c>
      <c r="L73" s="4">
        <v>613516</v>
      </c>
      <c r="M73" s="18">
        <v>21752</v>
      </c>
      <c r="N73" s="18">
        <f t="shared" si="12"/>
        <v>-303.09999999999945</v>
      </c>
      <c r="O73" s="18">
        <f t="shared" si="13"/>
        <v>-317.09999999999945</v>
      </c>
      <c r="P73" s="18">
        <f t="shared" si="14"/>
        <v>5.8000000000000114</v>
      </c>
      <c r="Q73" s="18">
        <f t="shared" si="15"/>
        <v>5.9000000000000057</v>
      </c>
      <c r="R73" s="24">
        <f t="shared" ref="R73:R136" si="17">H73-H61</f>
        <v>-37332.5</v>
      </c>
      <c r="S73" s="18">
        <f t="shared" ref="S73:S136" si="18">K73-K70</f>
        <v>18654</v>
      </c>
      <c r="T73" s="18">
        <f t="shared" si="10"/>
        <v>14664</v>
      </c>
      <c r="U73" s="18">
        <f t="shared" si="11"/>
        <v>-393</v>
      </c>
      <c r="V73" s="451"/>
      <c r="W73" s="451"/>
      <c r="X73" s="451"/>
      <c r="Y73" s="451"/>
      <c r="Z73" s="451"/>
      <c r="AA73" s="451"/>
      <c r="AD73" s="3"/>
      <c r="AF73" s="452"/>
      <c r="AG73" s="452"/>
      <c r="AH73" s="452"/>
      <c r="AI73" s="452"/>
      <c r="AJ73" s="452"/>
      <c r="AK73" s="452"/>
      <c r="AL73" s="452"/>
    </row>
    <row r="74" spans="1:38" ht="13.2" customHeight="1" x14ac:dyDescent="0.25">
      <c r="A74" s="3">
        <v>44136</v>
      </c>
      <c r="B74" s="1">
        <f t="shared" si="16"/>
        <v>2020</v>
      </c>
      <c r="C74" s="1" t="str">
        <f t="shared" si="9"/>
        <v>Q4</v>
      </c>
      <c r="D74" s="18">
        <v>7242.5</v>
      </c>
      <c r="E74" s="18">
        <v>7255.2</v>
      </c>
      <c r="F74" s="18">
        <v>214.2</v>
      </c>
      <c r="G74" s="18">
        <v>211.6</v>
      </c>
      <c r="H74" s="18">
        <v>769942</v>
      </c>
      <c r="I74" s="18">
        <v>596521.6</v>
      </c>
      <c r="J74" s="18">
        <v>58159</v>
      </c>
      <c r="K74" s="4">
        <v>795879</v>
      </c>
      <c r="L74" s="4">
        <v>613516</v>
      </c>
      <c r="M74" s="18">
        <v>21752</v>
      </c>
      <c r="N74" s="18">
        <f t="shared" si="12"/>
        <v>-227.60000000000036</v>
      </c>
      <c r="O74" s="18">
        <f t="shared" si="13"/>
        <v>-233.10000000000036</v>
      </c>
      <c r="P74" s="18">
        <f t="shared" si="14"/>
        <v>7.8999999999999773</v>
      </c>
      <c r="Q74" s="18">
        <f t="shared" si="15"/>
        <v>8</v>
      </c>
      <c r="R74" s="24">
        <f t="shared" si="17"/>
        <v>-37332.5</v>
      </c>
      <c r="S74" s="18">
        <f t="shared" si="18"/>
        <v>18654</v>
      </c>
      <c r="T74" s="18">
        <f t="shared" si="10"/>
        <v>14664</v>
      </c>
      <c r="U74" s="18">
        <f t="shared" si="11"/>
        <v>-393</v>
      </c>
      <c r="V74" s="451"/>
      <c r="W74" s="451"/>
      <c r="X74" s="451"/>
      <c r="Y74" s="451"/>
      <c r="Z74" s="451"/>
      <c r="AA74" s="451"/>
      <c r="AD74" s="3"/>
      <c r="AF74" s="452"/>
      <c r="AG74" s="452"/>
      <c r="AH74" s="452"/>
      <c r="AI74" s="452"/>
      <c r="AJ74" s="452"/>
      <c r="AK74" s="452"/>
      <c r="AL74" s="452"/>
    </row>
    <row r="75" spans="1:38" ht="13.2" customHeight="1" x14ac:dyDescent="0.25">
      <c r="A75" s="3">
        <v>44166</v>
      </c>
      <c r="B75" s="1">
        <f t="shared" si="16"/>
        <v>2020</v>
      </c>
      <c r="C75" s="1" t="str">
        <f t="shared" si="9"/>
        <v>Q4</v>
      </c>
      <c r="D75" s="18">
        <v>7258.1</v>
      </c>
      <c r="E75" s="18">
        <v>7273.3</v>
      </c>
      <c r="F75" s="18">
        <v>213.6</v>
      </c>
      <c r="G75" s="18">
        <v>211.4</v>
      </c>
      <c r="H75" s="18">
        <v>769942</v>
      </c>
      <c r="I75" s="18">
        <v>596521.6</v>
      </c>
      <c r="J75" s="18">
        <v>58159</v>
      </c>
      <c r="K75" s="4">
        <v>795879</v>
      </c>
      <c r="L75" s="4">
        <v>613516</v>
      </c>
      <c r="M75" s="18">
        <v>21752</v>
      </c>
      <c r="N75" s="18">
        <f t="shared" si="12"/>
        <v>-224.5</v>
      </c>
      <c r="O75" s="18">
        <f t="shared" si="13"/>
        <v>-220.5</v>
      </c>
      <c r="P75" s="18">
        <f t="shared" si="14"/>
        <v>6</v>
      </c>
      <c r="Q75" s="18">
        <f t="shared" si="15"/>
        <v>6.5</v>
      </c>
      <c r="R75" s="24">
        <f t="shared" si="17"/>
        <v>-37332.5</v>
      </c>
      <c r="S75" s="18">
        <f t="shared" si="18"/>
        <v>18654</v>
      </c>
      <c r="T75" s="18">
        <f t="shared" si="10"/>
        <v>14664</v>
      </c>
      <c r="U75" s="18">
        <f t="shared" si="11"/>
        <v>-393</v>
      </c>
      <c r="V75" s="451"/>
      <c r="W75" s="451"/>
      <c r="X75" s="451"/>
      <c r="Y75" s="451"/>
      <c r="Z75" s="451"/>
      <c r="AA75" s="451"/>
      <c r="AD75" s="3"/>
      <c r="AF75" s="452"/>
      <c r="AG75" s="452"/>
      <c r="AH75" s="452"/>
      <c r="AI75" s="452"/>
      <c r="AJ75" s="452"/>
      <c r="AK75" s="452"/>
      <c r="AL75" s="452"/>
    </row>
    <row r="76" spans="1:38" ht="13.2" customHeight="1" x14ac:dyDescent="0.25">
      <c r="A76" s="3">
        <v>44197</v>
      </c>
      <c r="B76" s="1">
        <f t="shared" si="16"/>
        <v>2021</v>
      </c>
      <c r="C76" s="1" t="str">
        <f t="shared" si="9"/>
        <v>Q1</v>
      </c>
      <c r="D76" s="18">
        <v>7204.7</v>
      </c>
      <c r="E76" s="18">
        <v>7180.4</v>
      </c>
      <c r="F76" s="18">
        <v>207.3</v>
      </c>
      <c r="G76" s="18">
        <v>205.5</v>
      </c>
      <c r="H76" s="18">
        <v>817265.5</v>
      </c>
      <c r="I76" s="18">
        <v>634181.69999999995</v>
      </c>
      <c r="J76" s="18">
        <v>64910</v>
      </c>
      <c r="K76" s="4">
        <v>808584</v>
      </c>
      <c r="L76" s="4">
        <v>622695</v>
      </c>
      <c r="M76" s="18">
        <v>23185</v>
      </c>
      <c r="N76" s="18">
        <f t="shared" si="12"/>
        <v>-300.19999999999982</v>
      </c>
      <c r="O76" s="18">
        <f t="shared" si="13"/>
        <v>-291.20000000000073</v>
      </c>
      <c r="P76" s="18">
        <f t="shared" si="14"/>
        <v>-0.79999999999998295</v>
      </c>
      <c r="Q76" s="18">
        <f t="shared" si="15"/>
        <v>0</v>
      </c>
      <c r="R76" s="24">
        <f t="shared" si="17"/>
        <v>47323.5</v>
      </c>
      <c r="S76" s="18">
        <f t="shared" si="18"/>
        <v>12705</v>
      </c>
      <c r="T76" s="18">
        <f t="shared" si="10"/>
        <v>9179</v>
      </c>
      <c r="U76" s="18">
        <f t="shared" si="11"/>
        <v>1433</v>
      </c>
      <c r="V76" s="451"/>
      <c r="W76" s="451"/>
      <c r="X76" s="451"/>
      <c r="Y76" s="451"/>
      <c r="Z76" s="451"/>
      <c r="AA76" s="451"/>
      <c r="AD76" s="3"/>
      <c r="AF76" s="452"/>
      <c r="AG76" s="452"/>
      <c r="AH76" s="452"/>
      <c r="AI76" s="452"/>
      <c r="AJ76" s="452"/>
      <c r="AK76" s="452"/>
      <c r="AL76" s="452"/>
    </row>
    <row r="77" spans="1:38" ht="13.2" customHeight="1" x14ac:dyDescent="0.25">
      <c r="A77" s="3">
        <v>44228</v>
      </c>
      <c r="B77" s="1">
        <f t="shared" si="16"/>
        <v>2021</v>
      </c>
      <c r="C77" s="1" t="str">
        <f t="shared" si="9"/>
        <v>Q1</v>
      </c>
      <c r="D77" s="18">
        <v>7181.2</v>
      </c>
      <c r="E77" s="18">
        <v>7124.8</v>
      </c>
      <c r="F77" s="18">
        <v>205.4</v>
      </c>
      <c r="G77" s="18">
        <v>204.1</v>
      </c>
      <c r="H77" s="18">
        <v>817265.5</v>
      </c>
      <c r="I77" s="18">
        <v>634181.69999999995</v>
      </c>
      <c r="J77" s="18">
        <v>64910</v>
      </c>
      <c r="K77" s="4">
        <v>808584</v>
      </c>
      <c r="L77" s="4">
        <v>622695</v>
      </c>
      <c r="M77" s="18">
        <v>23185</v>
      </c>
      <c r="N77" s="18">
        <f t="shared" si="12"/>
        <v>-331.10000000000036</v>
      </c>
      <c r="O77" s="18">
        <f t="shared" si="13"/>
        <v>-317.30000000000018</v>
      </c>
      <c r="P77" s="18">
        <f t="shared" si="14"/>
        <v>-5.2999999999999829</v>
      </c>
      <c r="Q77" s="18">
        <f t="shared" si="15"/>
        <v>-4.7000000000000171</v>
      </c>
      <c r="R77" s="24">
        <f t="shared" si="17"/>
        <v>47323.5</v>
      </c>
      <c r="S77" s="18">
        <f t="shared" si="18"/>
        <v>12705</v>
      </c>
      <c r="T77" s="18">
        <f t="shared" si="10"/>
        <v>9179</v>
      </c>
      <c r="U77" s="18">
        <f t="shared" si="11"/>
        <v>1433</v>
      </c>
      <c r="V77" s="451"/>
      <c r="W77" s="451"/>
      <c r="X77" s="451"/>
      <c r="Y77" s="451"/>
      <c r="Z77" s="451"/>
      <c r="AA77" s="451"/>
      <c r="AD77" s="3"/>
      <c r="AF77" s="452"/>
      <c r="AG77" s="452"/>
      <c r="AH77" s="452"/>
      <c r="AI77" s="452"/>
      <c r="AJ77" s="452"/>
      <c r="AK77" s="452"/>
      <c r="AL77" s="452"/>
    </row>
    <row r="78" spans="1:38" ht="13.2" customHeight="1" x14ac:dyDescent="0.25">
      <c r="A78" s="3">
        <v>44256</v>
      </c>
      <c r="B78" s="1">
        <f t="shared" si="16"/>
        <v>2021</v>
      </c>
      <c r="C78" s="1" t="str">
        <f t="shared" si="9"/>
        <v>Q1</v>
      </c>
      <c r="D78" s="18">
        <v>7218.1</v>
      </c>
      <c r="E78" s="18">
        <v>7129.5</v>
      </c>
      <c r="F78" s="18">
        <v>204.5</v>
      </c>
      <c r="G78" s="18">
        <v>203.7</v>
      </c>
      <c r="H78" s="18">
        <v>817265.5</v>
      </c>
      <c r="I78" s="18">
        <v>634181.69999999995</v>
      </c>
      <c r="J78" s="18">
        <v>64910</v>
      </c>
      <c r="K78" s="4">
        <v>808584</v>
      </c>
      <c r="L78" s="4">
        <v>622695</v>
      </c>
      <c r="M78" s="18">
        <v>23185</v>
      </c>
      <c r="N78" s="18">
        <f t="shared" si="12"/>
        <v>-139.89999999999964</v>
      </c>
      <c r="O78" s="18">
        <f t="shared" si="13"/>
        <v>-126.69999999999982</v>
      </c>
      <c r="P78" s="18">
        <f t="shared" si="14"/>
        <v>-3.8000000000000114</v>
      </c>
      <c r="Q78" s="18">
        <f t="shared" si="15"/>
        <v>-3.5</v>
      </c>
      <c r="R78" s="24">
        <f t="shared" si="17"/>
        <v>47323.5</v>
      </c>
      <c r="S78" s="18">
        <f t="shared" si="18"/>
        <v>12705</v>
      </c>
      <c r="T78" s="18">
        <f t="shared" si="10"/>
        <v>9179</v>
      </c>
      <c r="U78" s="18">
        <f t="shared" si="11"/>
        <v>1433</v>
      </c>
      <c r="V78" s="451"/>
      <c r="W78" s="451"/>
      <c r="X78" s="451"/>
      <c r="Y78" s="451"/>
      <c r="Z78" s="451"/>
      <c r="AA78" s="451"/>
      <c r="AD78" s="3"/>
      <c r="AF78" s="452"/>
      <c r="AG78" s="452"/>
      <c r="AH78" s="452"/>
      <c r="AI78" s="452"/>
      <c r="AJ78" s="452"/>
      <c r="AK78" s="452"/>
      <c r="AL78" s="452"/>
    </row>
    <row r="79" spans="1:38" ht="13.2" customHeight="1" x14ac:dyDescent="0.25">
      <c r="A79" s="3">
        <v>44287</v>
      </c>
      <c r="B79" s="1">
        <f t="shared" si="16"/>
        <v>2021</v>
      </c>
      <c r="C79" s="1" t="str">
        <f t="shared" si="9"/>
        <v>Q2</v>
      </c>
      <c r="D79" s="18">
        <v>7264</v>
      </c>
      <c r="E79" s="18">
        <v>7197</v>
      </c>
      <c r="F79" s="18">
        <v>206</v>
      </c>
      <c r="G79" s="18">
        <v>206.1</v>
      </c>
      <c r="H79" s="18">
        <v>817265.5</v>
      </c>
      <c r="I79" s="18">
        <v>634181.69999999995</v>
      </c>
      <c r="J79" s="18">
        <v>64910</v>
      </c>
      <c r="K79" s="4">
        <v>802518</v>
      </c>
      <c r="L79" s="4">
        <v>620093</v>
      </c>
      <c r="M79" s="18">
        <v>24138</v>
      </c>
      <c r="N79" s="18">
        <f t="shared" si="12"/>
        <v>300.30000000000018</v>
      </c>
      <c r="O79" s="18">
        <f t="shared" si="13"/>
        <v>311.80000000000018</v>
      </c>
      <c r="P79" s="18">
        <f t="shared" si="14"/>
        <v>4.0999999999999943</v>
      </c>
      <c r="Q79" s="18">
        <f t="shared" si="15"/>
        <v>3.7999999999999829</v>
      </c>
      <c r="R79" s="24">
        <f t="shared" si="17"/>
        <v>47323.5</v>
      </c>
      <c r="S79" s="18">
        <f t="shared" si="18"/>
        <v>-6066</v>
      </c>
      <c r="T79" s="18">
        <f t="shared" si="10"/>
        <v>-2602</v>
      </c>
      <c r="U79" s="18">
        <f t="shared" si="11"/>
        <v>953</v>
      </c>
      <c r="V79" s="451"/>
      <c r="W79" s="451"/>
      <c r="X79" s="451"/>
      <c r="Y79" s="451"/>
      <c r="Z79" s="451"/>
      <c r="AA79" s="451"/>
      <c r="AD79" s="3"/>
      <c r="AF79" s="452"/>
      <c r="AG79" s="452"/>
      <c r="AH79" s="452"/>
      <c r="AI79" s="452"/>
      <c r="AJ79" s="452"/>
      <c r="AK79" s="452"/>
      <c r="AL79" s="452"/>
    </row>
    <row r="80" spans="1:38" ht="13.2" customHeight="1" x14ac:dyDescent="0.25">
      <c r="A80" s="3">
        <v>44317</v>
      </c>
      <c r="B80" s="1">
        <f t="shared" si="16"/>
        <v>2021</v>
      </c>
      <c r="C80" s="1" t="str">
        <f t="shared" si="9"/>
        <v>Q2</v>
      </c>
      <c r="D80" s="18">
        <v>7259.3</v>
      </c>
      <c r="E80" s="18">
        <v>7237.7</v>
      </c>
      <c r="F80" s="18">
        <v>204.1</v>
      </c>
      <c r="G80" s="18">
        <v>206</v>
      </c>
      <c r="H80" s="18">
        <v>817265.5</v>
      </c>
      <c r="I80" s="18">
        <v>634181.69999999995</v>
      </c>
      <c r="J80" s="18">
        <v>64910</v>
      </c>
      <c r="K80" s="4">
        <v>802518</v>
      </c>
      <c r="L80" s="4">
        <v>620093</v>
      </c>
      <c r="M80" s="18">
        <v>24138</v>
      </c>
      <c r="N80" s="18">
        <f t="shared" ref="N80:N111" si="19">D80-D68</f>
        <v>691.10000000000036</v>
      </c>
      <c r="O80" s="18">
        <f t="shared" ref="O80:O111" si="20">E80-E68</f>
        <v>701</v>
      </c>
      <c r="P80" s="18">
        <f t="shared" ref="P80:P111" si="21">F80-F68</f>
        <v>10.799999999999983</v>
      </c>
      <c r="Q80" s="18">
        <f t="shared" ref="Q80:Q111" si="22">G80-G68</f>
        <v>10.5</v>
      </c>
      <c r="R80" s="24">
        <f t="shared" si="17"/>
        <v>47323.5</v>
      </c>
      <c r="S80" s="18">
        <f t="shared" si="18"/>
        <v>-6066</v>
      </c>
      <c r="T80" s="18">
        <f t="shared" si="10"/>
        <v>-2602</v>
      </c>
      <c r="U80" s="18">
        <f t="shared" si="11"/>
        <v>953</v>
      </c>
      <c r="V80" s="451"/>
      <c r="W80" s="451"/>
      <c r="X80" s="451"/>
      <c r="Y80" s="451"/>
      <c r="Z80" s="451"/>
      <c r="AA80" s="451"/>
      <c r="AD80" s="3"/>
      <c r="AF80" s="452"/>
      <c r="AG80" s="452"/>
      <c r="AH80" s="452"/>
      <c r="AI80" s="452"/>
      <c r="AJ80" s="452"/>
      <c r="AK80" s="452"/>
      <c r="AL80" s="452"/>
    </row>
    <row r="81" spans="1:38" ht="13.2" customHeight="1" x14ac:dyDescent="0.25">
      <c r="A81" s="3">
        <v>44348</v>
      </c>
      <c r="B81" s="1">
        <f t="shared" si="16"/>
        <v>2021</v>
      </c>
      <c r="C81" s="1" t="str">
        <f t="shared" ref="C81:C144" si="23">C69</f>
        <v>Q2</v>
      </c>
      <c r="D81" s="18">
        <v>7245.3</v>
      </c>
      <c r="E81" s="18">
        <v>7293</v>
      </c>
      <c r="F81" s="18">
        <v>203.9</v>
      </c>
      <c r="G81" s="18">
        <v>207.1</v>
      </c>
      <c r="H81" s="18">
        <v>817265.5</v>
      </c>
      <c r="I81" s="18">
        <v>634181.69999999995</v>
      </c>
      <c r="J81" s="18">
        <v>64910</v>
      </c>
      <c r="K81" s="4">
        <v>802518</v>
      </c>
      <c r="L81" s="4">
        <v>620093</v>
      </c>
      <c r="M81" s="18">
        <v>24138</v>
      </c>
      <c r="N81" s="18">
        <f t="shared" si="19"/>
        <v>785.60000000000036</v>
      </c>
      <c r="O81" s="18">
        <f t="shared" si="20"/>
        <v>794.5</v>
      </c>
      <c r="P81" s="18">
        <f t="shared" si="21"/>
        <v>13.599999999999994</v>
      </c>
      <c r="Q81" s="18">
        <f t="shared" si="22"/>
        <v>13.199999999999989</v>
      </c>
      <c r="R81" s="24">
        <f t="shared" si="17"/>
        <v>47323.5</v>
      </c>
      <c r="S81" s="18">
        <f t="shared" si="18"/>
        <v>-6066</v>
      </c>
      <c r="T81" s="18">
        <f t="shared" si="10"/>
        <v>-2602</v>
      </c>
      <c r="U81" s="18">
        <f t="shared" si="11"/>
        <v>953</v>
      </c>
      <c r="V81" s="451"/>
      <c r="W81" s="451"/>
      <c r="X81" s="451"/>
      <c r="Y81" s="451"/>
      <c r="Z81" s="451"/>
      <c r="AA81" s="451"/>
      <c r="AD81" s="3"/>
      <c r="AF81" s="452"/>
      <c r="AG81" s="452"/>
      <c r="AH81" s="452"/>
      <c r="AI81" s="452"/>
      <c r="AJ81" s="452"/>
      <c r="AK81" s="452"/>
      <c r="AL81" s="452"/>
    </row>
    <row r="82" spans="1:38" ht="13.2" customHeight="1" x14ac:dyDescent="0.25">
      <c r="A82" s="3">
        <v>44378</v>
      </c>
      <c r="B82" s="1">
        <f t="shared" si="16"/>
        <v>2021</v>
      </c>
      <c r="C82" s="1" t="str">
        <f t="shared" si="23"/>
        <v>Q3</v>
      </c>
      <c r="D82" s="18">
        <v>7311.4</v>
      </c>
      <c r="E82" s="18">
        <v>7391.8</v>
      </c>
      <c r="F82" s="18">
        <v>205.7</v>
      </c>
      <c r="G82" s="18">
        <v>208.8</v>
      </c>
      <c r="H82" s="18">
        <v>817265.5</v>
      </c>
      <c r="I82" s="18">
        <v>634181.69999999995</v>
      </c>
      <c r="J82" s="18">
        <v>64910</v>
      </c>
      <c r="K82" s="4">
        <v>819564</v>
      </c>
      <c r="L82" s="4">
        <v>639578</v>
      </c>
      <c r="M82" s="18">
        <v>25974</v>
      </c>
      <c r="N82" s="18">
        <f t="shared" si="19"/>
        <v>667.89999999999964</v>
      </c>
      <c r="O82" s="18">
        <f t="shared" si="20"/>
        <v>679.90000000000055</v>
      </c>
      <c r="P82" s="18">
        <f t="shared" si="21"/>
        <v>10.099999999999994</v>
      </c>
      <c r="Q82" s="18">
        <f t="shared" si="22"/>
        <v>9.3000000000000114</v>
      </c>
      <c r="R82" s="24">
        <f t="shared" si="17"/>
        <v>47323.5</v>
      </c>
      <c r="S82" s="18">
        <f t="shared" si="18"/>
        <v>17046</v>
      </c>
      <c r="T82" s="18">
        <f t="shared" si="10"/>
        <v>19485</v>
      </c>
      <c r="U82" s="18">
        <f t="shared" si="11"/>
        <v>1836</v>
      </c>
      <c r="V82" s="451"/>
      <c r="W82" s="451"/>
      <c r="X82" s="451"/>
      <c r="Y82" s="451"/>
      <c r="Z82" s="451"/>
      <c r="AA82" s="451"/>
      <c r="AD82" s="3"/>
      <c r="AF82" s="452"/>
      <c r="AG82" s="452"/>
      <c r="AH82" s="452"/>
      <c r="AI82" s="452"/>
      <c r="AJ82" s="452"/>
      <c r="AK82" s="452"/>
      <c r="AL82" s="452"/>
    </row>
    <row r="83" spans="1:38" ht="13.2" customHeight="1" x14ac:dyDescent="0.25">
      <c r="A83" s="3">
        <v>44409</v>
      </c>
      <c r="B83" s="1">
        <f t="shared" si="16"/>
        <v>2021</v>
      </c>
      <c r="C83" s="1" t="str">
        <f t="shared" si="23"/>
        <v>Q3</v>
      </c>
      <c r="D83" s="18">
        <v>7400.1</v>
      </c>
      <c r="E83" s="18">
        <v>7475.2</v>
      </c>
      <c r="F83" s="18">
        <v>208.6</v>
      </c>
      <c r="G83" s="18">
        <v>209.6</v>
      </c>
      <c r="H83" s="18">
        <v>817265.5</v>
      </c>
      <c r="I83" s="18">
        <v>634181.69999999995</v>
      </c>
      <c r="J83" s="18">
        <v>64910</v>
      </c>
      <c r="K83" s="4">
        <v>819564</v>
      </c>
      <c r="L83" s="4">
        <v>639578</v>
      </c>
      <c r="M83" s="18">
        <v>25974</v>
      </c>
      <c r="N83" s="18">
        <f t="shared" si="19"/>
        <v>521</v>
      </c>
      <c r="O83" s="18">
        <f t="shared" si="20"/>
        <v>524.30000000000018</v>
      </c>
      <c r="P83" s="18">
        <f t="shared" si="21"/>
        <v>5.9000000000000057</v>
      </c>
      <c r="Q83" s="18">
        <f t="shared" si="22"/>
        <v>4.0999999999999943</v>
      </c>
      <c r="R83" s="24">
        <f t="shared" si="17"/>
        <v>47323.5</v>
      </c>
      <c r="S83" s="18">
        <f t="shared" si="18"/>
        <v>17046</v>
      </c>
      <c r="T83" s="18">
        <f t="shared" si="10"/>
        <v>19485</v>
      </c>
      <c r="U83" s="18">
        <f t="shared" si="11"/>
        <v>1836</v>
      </c>
      <c r="V83" s="451"/>
      <c r="W83" s="451"/>
      <c r="X83" s="451"/>
      <c r="Y83" s="451"/>
      <c r="Z83" s="451"/>
      <c r="AA83" s="451"/>
      <c r="AD83" s="3"/>
      <c r="AF83" s="452"/>
      <c r="AG83" s="452"/>
      <c r="AH83" s="452"/>
      <c r="AI83" s="452"/>
      <c r="AJ83" s="452"/>
      <c r="AK83" s="452"/>
      <c r="AL83" s="452"/>
    </row>
    <row r="84" spans="1:38" ht="13.2" customHeight="1" x14ac:dyDescent="0.25">
      <c r="A84" s="3">
        <v>44440</v>
      </c>
      <c r="B84" s="1">
        <f t="shared" si="16"/>
        <v>2021</v>
      </c>
      <c r="C84" s="1" t="str">
        <f t="shared" si="23"/>
        <v>Q3</v>
      </c>
      <c r="D84" s="18">
        <v>7474.5</v>
      </c>
      <c r="E84" s="18">
        <v>7503.2</v>
      </c>
      <c r="F84" s="18">
        <v>212.9</v>
      </c>
      <c r="G84" s="18">
        <v>211.6</v>
      </c>
      <c r="H84" s="18">
        <v>817265.5</v>
      </c>
      <c r="I84" s="18">
        <v>634181.69999999995</v>
      </c>
      <c r="J84" s="18">
        <v>64910</v>
      </c>
      <c r="K84" s="4">
        <v>819564</v>
      </c>
      <c r="L84" s="4">
        <v>639578</v>
      </c>
      <c r="M84" s="18">
        <v>25974</v>
      </c>
      <c r="N84" s="18">
        <f t="shared" si="19"/>
        <v>433.69999999999982</v>
      </c>
      <c r="O84" s="18">
        <f t="shared" si="20"/>
        <v>427.69999999999982</v>
      </c>
      <c r="P84" s="18">
        <f t="shared" si="21"/>
        <v>4.0999999999999943</v>
      </c>
      <c r="Q84" s="18">
        <f t="shared" si="22"/>
        <v>2.5</v>
      </c>
      <c r="R84" s="24">
        <f t="shared" si="17"/>
        <v>47323.5</v>
      </c>
      <c r="S84" s="18">
        <f t="shared" si="18"/>
        <v>17046</v>
      </c>
      <c r="T84" s="18">
        <f t="shared" si="10"/>
        <v>19485</v>
      </c>
      <c r="U84" s="18">
        <f t="shared" si="11"/>
        <v>1836</v>
      </c>
      <c r="V84" s="451"/>
      <c r="W84" s="451"/>
      <c r="X84" s="451"/>
      <c r="Y84" s="451"/>
      <c r="Z84" s="451"/>
      <c r="AA84" s="451"/>
      <c r="AD84" s="3"/>
      <c r="AF84" s="452"/>
      <c r="AG84" s="452"/>
      <c r="AH84" s="452"/>
      <c r="AI84" s="452"/>
      <c r="AJ84" s="452"/>
      <c r="AK84" s="452"/>
      <c r="AL84" s="452"/>
    </row>
    <row r="85" spans="1:38" ht="13.2" customHeight="1" x14ac:dyDescent="0.25">
      <c r="A85" s="3">
        <v>44470</v>
      </c>
      <c r="B85" s="1">
        <f t="shared" si="16"/>
        <v>2021</v>
      </c>
      <c r="C85" s="1" t="str">
        <f t="shared" si="23"/>
        <v>Q4</v>
      </c>
      <c r="D85" s="18">
        <v>7529.4</v>
      </c>
      <c r="E85" s="18">
        <v>7538.5</v>
      </c>
      <c r="F85" s="18">
        <v>217.2</v>
      </c>
      <c r="G85" s="18">
        <v>214.5</v>
      </c>
      <c r="H85" s="18">
        <v>817265.5</v>
      </c>
      <c r="I85" s="18">
        <v>634181.69999999995</v>
      </c>
      <c r="J85" s="18">
        <v>64910</v>
      </c>
      <c r="K85" s="4">
        <v>838397</v>
      </c>
      <c r="L85" s="4">
        <v>654360</v>
      </c>
      <c r="M85" s="18">
        <v>27605</v>
      </c>
      <c r="N85" s="18">
        <f t="shared" si="19"/>
        <v>370.29999999999927</v>
      </c>
      <c r="O85" s="18">
        <f t="shared" si="20"/>
        <v>354.39999999999964</v>
      </c>
      <c r="P85" s="18">
        <f t="shared" si="21"/>
        <v>3.8999999999999773</v>
      </c>
      <c r="Q85" s="18">
        <f t="shared" si="22"/>
        <v>2.5</v>
      </c>
      <c r="R85" s="24">
        <f t="shared" si="17"/>
        <v>47323.5</v>
      </c>
      <c r="S85" s="18">
        <f t="shared" si="18"/>
        <v>18833</v>
      </c>
      <c r="T85" s="18">
        <f t="shared" si="10"/>
        <v>14782</v>
      </c>
      <c r="U85" s="18">
        <f t="shared" si="11"/>
        <v>1631</v>
      </c>
      <c r="V85" s="451"/>
      <c r="W85" s="451"/>
      <c r="X85" s="451"/>
      <c r="Y85" s="451"/>
      <c r="Z85" s="451"/>
      <c r="AA85" s="451"/>
      <c r="AD85" s="3"/>
      <c r="AF85" s="452"/>
      <c r="AG85" s="452"/>
      <c r="AH85" s="452"/>
      <c r="AI85" s="452"/>
      <c r="AJ85" s="452"/>
      <c r="AK85" s="452"/>
      <c r="AL85" s="452"/>
    </row>
    <row r="86" spans="1:38" ht="13.2" customHeight="1" x14ac:dyDescent="0.25">
      <c r="A86" s="3">
        <v>44501</v>
      </c>
      <c r="B86" s="1">
        <f t="shared" si="16"/>
        <v>2021</v>
      </c>
      <c r="C86" s="1" t="str">
        <f t="shared" si="23"/>
        <v>Q4</v>
      </c>
      <c r="D86" s="18">
        <v>7592</v>
      </c>
      <c r="E86" s="18">
        <v>7590.1</v>
      </c>
      <c r="F86" s="18">
        <v>222.6</v>
      </c>
      <c r="G86" s="18">
        <v>220.2</v>
      </c>
      <c r="H86" s="18">
        <v>817265.5</v>
      </c>
      <c r="I86" s="18">
        <v>634181.69999999995</v>
      </c>
      <c r="J86" s="18">
        <v>64910</v>
      </c>
      <c r="K86" s="4">
        <v>838397</v>
      </c>
      <c r="L86" s="4">
        <v>654360</v>
      </c>
      <c r="M86" s="18">
        <v>27605</v>
      </c>
      <c r="N86" s="18">
        <f t="shared" si="19"/>
        <v>349.5</v>
      </c>
      <c r="O86" s="18">
        <f t="shared" si="20"/>
        <v>334.90000000000055</v>
      </c>
      <c r="P86" s="18">
        <f t="shared" si="21"/>
        <v>8.4000000000000057</v>
      </c>
      <c r="Q86" s="18">
        <f t="shared" si="22"/>
        <v>8.5999999999999943</v>
      </c>
      <c r="R86" s="24">
        <f t="shared" si="17"/>
        <v>47323.5</v>
      </c>
      <c r="S86" s="18">
        <f t="shared" si="18"/>
        <v>18833</v>
      </c>
      <c r="T86" s="18">
        <f t="shared" si="10"/>
        <v>14782</v>
      </c>
      <c r="U86" s="18">
        <f t="shared" si="11"/>
        <v>1631</v>
      </c>
      <c r="V86" s="451"/>
      <c r="W86" s="451"/>
      <c r="X86" s="451"/>
      <c r="Y86" s="451"/>
      <c r="Z86" s="451"/>
      <c r="AA86" s="451"/>
      <c r="AD86" s="3"/>
      <c r="AF86" s="452"/>
      <c r="AG86" s="452"/>
      <c r="AH86" s="452"/>
      <c r="AI86" s="452"/>
      <c r="AJ86" s="452"/>
      <c r="AK86" s="452"/>
      <c r="AL86" s="452"/>
    </row>
    <row r="87" spans="1:38" ht="13.2" customHeight="1" x14ac:dyDescent="0.25">
      <c r="A87" s="3">
        <v>44531</v>
      </c>
      <c r="B87" s="1">
        <f t="shared" si="16"/>
        <v>2021</v>
      </c>
      <c r="C87" s="1" t="str">
        <f t="shared" si="23"/>
        <v>Q4</v>
      </c>
      <c r="D87" s="18">
        <v>7644.2</v>
      </c>
      <c r="E87" s="18">
        <v>7647.5</v>
      </c>
      <c r="F87" s="18">
        <v>223.5</v>
      </c>
      <c r="G87" s="18">
        <v>222.3</v>
      </c>
      <c r="H87" s="18">
        <v>817265.5</v>
      </c>
      <c r="I87" s="18">
        <v>634181.69999999995</v>
      </c>
      <c r="J87" s="18">
        <v>64910</v>
      </c>
      <c r="K87" s="4">
        <v>838397</v>
      </c>
      <c r="L87" s="4">
        <v>654360</v>
      </c>
      <c r="M87" s="18">
        <v>27605</v>
      </c>
      <c r="N87" s="18">
        <f t="shared" si="19"/>
        <v>386.09999999999945</v>
      </c>
      <c r="O87" s="18">
        <f t="shared" si="20"/>
        <v>374.19999999999982</v>
      </c>
      <c r="P87" s="18">
        <f t="shared" si="21"/>
        <v>9.9000000000000057</v>
      </c>
      <c r="Q87" s="18">
        <f t="shared" si="22"/>
        <v>10.900000000000006</v>
      </c>
      <c r="R87" s="24">
        <f t="shared" si="17"/>
        <v>47323.5</v>
      </c>
      <c r="S87" s="18">
        <f t="shared" si="18"/>
        <v>18833</v>
      </c>
      <c r="T87" s="18">
        <f t="shared" si="10"/>
        <v>14782</v>
      </c>
      <c r="U87" s="18">
        <f t="shared" si="11"/>
        <v>1631</v>
      </c>
      <c r="V87" s="451"/>
      <c r="W87" s="451"/>
      <c r="X87" s="451"/>
      <c r="Y87" s="451"/>
      <c r="Z87" s="451"/>
      <c r="AA87" s="451"/>
      <c r="AD87" s="3"/>
      <c r="AF87" s="452"/>
      <c r="AG87" s="452"/>
      <c r="AH87" s="452"/>
      <c r="AI87" s="452"/>
      <c r="AJ87" s="452"/>
      <c r="AK87" s="452"/>
      <c r="AL87" s="452"/>
    </row>
    <row r="88" spans="1:38" ht="13.2" customHeight="1" x14ac:dyDescent="0.25">
      <c r="A88" s="3">
        <v>44562</v>
      </c>
      <c r="B88" s="1">
        <f t="shared" si="16"/>
        <v>2022</v>
      </c>
      <c r="C88" s="1" t="str">
        <f t="shared" si="23"/>
        <v>Q1</v>
      </c>
      <c r="D88" s="18">
        <v>7627.7</v>
      </c>
      <c r="E88" s="18">
        <v>7595.1</v>
      </c>
      <c r="F88" s="18">
        <v>221.3</v>
      </c>
      <c r="G88" s="18">
        <v>220.8</v>
      </c>
      <c r="H88" s="18">
        <v>850461.9</v>
      </c>
      <c r="I88" s="18">
        <v>662856.4</v>
      </c>
      <c r="J88" s="18">
        <v>71555.5</v>
      </c>
      <c r="K88" s="4">
        <v>845218</v>
      </c>
      <c r="L88" s="4">
        <v>657318</v>
      </c>
      <c r="M88" s="18">
        <v>28188</v>
      </c>
      <c r="N88" s="18">
        <f t="shared" si="19"/>
        <v>423</v>
      </c>
      <c r="O88" s="18">
        <f t="shared" si="20"/>
        <v>414.70000000000073</v>
      </c>
      <c r="P88" s="18">
        <f t="shared" si="21"/>
        <v>14</v>
      </c>
      <c r="Q88" s="18">
        <f t="shared" si="22"/>
        <v>15.300000000000011</v>
      </c>
      <c r="R88" s="24">
        <f t="shared" si="17"/>
        <v>33196.400000000023</v>
      </c>
      <c r="S88" s="18">
        <f t="shared" si="18"/>
        <v>6821</v>
      </c>
      <c r="T88" s="18">
        <f t="shared" ref="T88:T147" si="24">L88-L85</f>
        <v>2958</v>
      </c>
      <c r="U88" s="18">
        <f t="shared" ref="U88:U147" si="25">M88-M85</f>
        <v>583</v>
      </c>
    </row>
    <row r="89" spans="1:38" ht="13.2" customHeight="1" x14ac:dyDescent="0.25">
      <c r="A89" s="3">
        <v>44593</v>
      </c>
      <c r="B89" s="1">
        <f t="shared" si="16"/>
        <v>2022</v>
      </c>
      <c r="C89" s="1" t="str">
        <f t="shared" si="23"/>
        <v>Q1</v>
      </c>
      <c r="D89" s="18">
        <v>7651.3</v>
      </c>
      <c r="E89" s="18">
        <v>7588.8</v>
      </c>
      <c r="F89" s="18">
        <v>221.3</v>
      </c>
      <c r="G89" s="18">
        <v>220.9</v>
      </c>
      <c r="H89" s="18">
        <v>850461.9</v>
      </c>
      <c r="I89" s="18">
        <v>662856.4</v>
      </c>
      <c r="J89" s="18">
        <v>71555.5</v>
      </c>
      <c r="K89" s="4">
        <v>845218</v>
      </c>
      <c r="L89" s="4">
        <v>657318</v>
      </c>
      <c r="M89" s="18">
        <v>28188</v>
      </c>
      <c r="N89" s="18">
        <f t="shared" si="19"/>
        <v>470.10000000000036</v>
      </c>
      <c r="O89" s="18">
        <f t="shared" si="20"/>
        <v>464</v>
      </c>
      <c r="P89" s="18">
        <f t="shared" si="21"/>
        <v>15.900000000000006</v>
      </c>
      <c r="Q89" s="18">
        <f t="shared" si="22"/>
        <v>16.800000000000011</v>
      </c>
      <c r="R89" s="24">
        <f t="shared" si="17"/>
        <v>33196.400000000023</v>
      </c>
      <c r="S89" s="18">
        <f t="shared" si="18"/>
        <v>6821</v>
      </c>
      <c r="T89" s="18">
        <f t="shared" si="24"/>
        <v>2958</v>
      </c>
      <c r="U89" s="18">
        <f t="shared" si="25"/>
        <v>583</v>
      </c>
      <c r="V89" s="18"/>
      <c r="W89" s="18"/>
      <c r="X89" s="18"/>
      <c r="Y89" s="18"/>
      <c r="Z89" s="18"/>
      <c r="AA89" s="18"/>
    </row>
    <row r="90" spans="1:38" ht="13.2" customHeight="1" x14ac:dyDescent="0.25">
      <c r="A90" s="3">
        <v>44621</v>
      </c>
      <c r="B90" s="1">
        <f t="shared" si="16"/>
        <v>2022</v>
      </c>
      <c r="C90" s="1" t="str">
        <f t="shared" si="23"/>
        <v>Q1</v>
      </c>
      <c r="D90" s="18">
        <v>7662.5</v>
      </c>
      <c r="E90" s="18">
        <v>7573.4</v>
      </c>
      <c r="F90" s="18">
        <v>222.7</v>
      </c>
      <c r="G90" s="18">
        <v>222</v>
      </c>
      <c r="H90" s="18">
        <v>850461.9</v>
      </c>
      <c r="I90" s="18">
        <v>662856.4</v>
      </c>
      <c r="J90" s="18">
        <v>71555.5</v>
      </c>
      <c r="K90" s="4">
        <v>845218</v>
      </c>
      <c r="L90" s="4">
        <v>657318</v>
      </c>
      <c r="M90" s="18">
        <v>28188</v>
      </c>
      <c r="N90" s="18">
        <f t="shared" si="19"/>
        <v>444.39999999999964</v>
      </c>
      <c r="O90" s="18">
        <f t="shared" si="20"/>
        <v>443.89999999999964</v>
      </c>
      <c r="P90" s="18">
        <f t="shared" si="21"/>
        <v>18.199999999999989</v>
      </c>
      <c r="Q90" s="18">
        <f t="shared" si="22"/>
        <v>18.300000000000011</v>
      </c>
      <c r="R90" s="24">
        <f t="shared" si="17"/>
        <v>33196.400000000023</v>
      </c>
      <c r="S90" s="18">
        <f t="shared" si="18"/>
        <v>6821</v>
      </c>
      <c r="T90" s="18">
        <f t="shared" si="24"/>
        <v>2958</v>
      </c>
      <c r="U90" s="18">
        <f t="shared" si="25"/>
        <v>583</v>
      </c>
      <c r="V90" s="18"/>
      <c r="W90" s="18"/>
      <c r="X90" s="18"/>
      <c r="Y90" s="18"/>
      <c r="Z90" s="18"/>
      <c r="AA90" s="18"/>
    </row>
    <row r="91" spans="1:38" ht="13.2" customHeight="1" x14ac:dyDescent="0.25">
      <c r="A91" s="3">
        <v>44652</v>
      </c>
      <c r="B91" s="1">
        <f t="shared" si="16"/>
        <v>2022</v>
      </c>
      <c r="C91" s="1" t="str">
        <f t="shared" si="23"/>
        <v>Q2</v>
      </c>
      <c r="D91" s="18">
        <v>7736.6</v>
      </c>
      <c r="E91" s="18">
        <v>7670</v>
      </c>
      <c r="F91" s="18">
        <v>227.3</v>
      </c>
      <c r="G91" s="18">
        <v>227.3</v>
      </c>
      <c r="H91" s="18">
        <v>850461.9</v>
      </c>
      <c r="I91" s="18">
        <v>662856.4</v>
      </c>
      <c r="J91" s="18">
        <v>71555.5</v>
      </c>
      <c r="K91" s="4">
        <v>851621</v>
      </c>
      <c r="L91" s="4">
        <v>664186</v>
      </c>
      <c r="M91" s="18">
        <v>30079</v>
      </c>
      <c r="N91" s="18">
        <f t="shared" si="19"/>
        <v>472.60000000000036</v>
      </c>
      <c r="O91" s="18">
        <f t="shared" si="20"/>
        <v>473</v>
      </c>
      <c r="P91" s="18">
        <f t="shared" si="21"/>
        <v>21.300000000000011</v>
      </c>
      <c r="Q91" s="18">
        <f t="shared" si="22"/>
        <v>21.200000000000017</v>
      </c>
      <c r="R91" s="24">
        <f t="shared" si="17"/>
        <v>33196.400000000023</v>
      </c>
      <c r="S91" s="18">
        <f t="shared" si="18"/>
        <v>6403</v>
      </c>
      <c r="T91" s="18">
        <f t="shared" si="24"/>
        <v>6868</v>
      </c>
      <c r="U91" s="18">
        <f t="shared" si="25"/>
        <v>1891</v>
      </c>
    </row>
    <row r="92" spans="1:38" ht="13.2" customHeight="1" x14ac:dyDescent="0.25">
      <c r="A92" s="3">
        <v>44682</v>
      </c>
      <c r="B92" s="1">
        <f t="shared" si="16"/>
        <v>2022</v>
      </c>
      <c r="C92" s="1" t="str">
        <f t="shared" si="23"/>
        <v>Q2</v>
      </c>
      <c r="D92" s="18">
        <v>7753.3</v>
      </c>
      <c r="E92" s="18">
        <v>7738.6</v>
      </c>
      <c r="F92" s="18">
        <v>229.3</v>
      </c>
      <c r="G92" s="18">
        <v>230.8</v>
      </c>
      <c r="H92" s="18">
        <v>850461.9</v>
      </c>
      <c r="I92" s="18">
        <v>662856.4</v>
      </c>
      <c r="J92" s="18">
        <v>71555.5</v>
      </c>
      <c r="K92" s="4">
        <v>851621</v>
      </c>
      <c r="L92" s="4">
        <v>664186</v>
      </c>
      <c r="M92" s="18">
        <v>30079</v>
      </c>
      <c r="N92" s="18">
        <f t="shared" si="19"/>
        <v>494</v>
      </c>
      <c r="O92" s="18">
        <f t="shared" si="20"/>
        <v>500.90000000000055</v>
      </c>
      <c r="P92" s="18">
        <f t="shared" si="21"/>
        <v>25.200000000000017</v>
      </c>
      <c r="Q92" s="18">
        <f t="shared" si="22"/>
        <v>24.800000000000011</v>
      </c>
      <c r="R92" s="24">
        <f t="shared" si="17"/>
        <v>33196.400000000023</v>
      </c>
      <c r="S92" s="18">
        <f t="shared" si="18"/>
        <v>6403</v>
      </c>
      <c r="T92" s="18">
        <f t="shared" si="24"/>
        <v>6868</v>
      </c>
      <c r="U92" s="18">
        <f t="shared" si="25"/>
        <v>1891</v>
      </c>
    </row>
    <row r="93" spans="1:38" ht="13.2" customHeight="1" x14ac:dyDescent="0.25">
      <c r="A93" s="3">
        <v>44713</v>
      </c>
      <c r="B93" s="1">
        <f t="shared" si="16"/>
        <v>2022</v>
      </c>
      <c r="C93" s="1" t="str">
        <f t="shared" si="23"/>
        <v>Q2</v>
      </c>
      <c r="D93" s="18">
        <v>7754.8</v>
      </c>
      <c r="E93" s="18">
        <v>7809.2</v>
      </c>
      <c r="F93" s="18">
        <v>229.9</v>
      </c>
      <c r="G93" s="18">
        <v>232.7</v>
      </c>
      <c r="H93" s="18">
        <v>850461.9</v>
      </c>
      <c r="I93" s="18">
        <v>662856.4</v>
      </c>
      <c r="J93" s="18">
        <v>71555.5</v>
      </c>
      <c r="K93" s="4">
        <v>851621</v>
      </c>
      <c r="L93" s="4">
        <v>664186</v>
      </c>
      <c r="M93" s="18">
        <v>30079</v>
      </c>
      <c r="N93" s="18">
        <f t="shared" si="19"/>
        <v>509.5</v>
      </c>
      <c r="O93" s="18">
        <f t="shared" si="20"/>
        <v>516.19999999999982</v>
      </c>
      <c r="P93" s="18">
        <f t="shared" si="21"/>
        <v>26</v>
      </c>
      <c r="Q93" s="18">
        <f t="shared" si="22"/>
        <v>25.599999999999994</v>
      </c>
      <c r="R93" s="24">
        <f t="shared" si="17"/>
        <v>33196.400000000023</v>
      </c>
      <c r="S93" s="18">
        <f t="shared" si="18"/>
        <v>6403</v>
      </c>
      <c r="T93" s="18">
        <f t="shared" si="24"/>
        <v>6868</v>
      </c>
      <c r="U93" s="18">
        <f t="shared" si="25"/>
        <v>1891</v>
      </c>
    </row>
    <row r="94" spans="1:38" ht="13.2" customHeight="1" x14ac:dyDescent="0.25">
      <c r="A94" s="3">
        <v>44743</v>
      </c>
      <c r="B94" s="1">
        <f t="shared" si="16"/>
        <v>2022</v>
      </c>
      <c r="C94" s="1" t="str">
        <f t="shared" si="23"/>
        <v>Q3</v>
      </c>
      <c r="D94" s="18">
        <v>7754.8</v>
      </c>
      <c r="E94" s="18">
        <v>7843.6</v>
      </c>
      <c r="F94" s="18">
        <v>228.8</v>
      </c>
      <c r="G94" s="18">
        <v>231.2</v>
      </c>
      <c r="H94" s="18">
        <v>850461.9</v>
      </c>
      <c r="I94" s="18">
        <v>662856.4</v>
      </c>
      <c r="J94" s="18">
        <v>71555.5</v>
      </c>
      <c r="K94" s="4">
        <v>852979</v>
      </c>
      <c r="L94" s="4">
        <v>664978</v>
      </c>
      <c r="M94" s="18">
        <v>30634</v>
      </c>
      <c r="N94" s="18">
        <f t="shared" si="19"/>
        <v>443.40000000000055</v>
      </c>
      <c r="O94" s="18">
        <f t="shared" si="20"/>
        <v>451.80000000000018</v>
      </c>
      <c r="P94" s="18">
        <f t="shared" si="21"/>
        <v>23.100000000000023</v>
      </c>
      <c r="Q94" s="18">
        <f t="shared" si="22"/>
        <v>22.399999999999977</v>
      </c>
      <c r="R94" s="24">
        <f t="shared" si="17"/>
        <v>33196.400000000023</v>
      </c>
      <c r="S94" s="18">
        <f t="shared" si="18"/>
        <v>1358</v>
      </c>
      <c r="T94" s="18">
        <f t="shared" si="24"/>
        <v>792</v>
      </c>
      <c r="U94" s="18">
        <f t="shared" si="25"/>
        <v>555</v>
      </c>
    </row>
    <row r="95" spans="1:38" ht="13.2" customHeight="1" x14ac:dyDescent="0.25">
      <c r="A95" s="3">
        <v>44774</v>
      </c>
      <c r="B95" s="1">
        <f t="shared" si="16"/>
        <v>2022</v>
      </c>
      <c r="C95" s="1" t="str">
        <f t="shared" si="23"/>
        <v>Q3</v>
      </c>
      <c r="D95" s="18">
        <v>7747.4</v>
      </c>
      <c r="E95" s="18">
        <v>7825.4</v>
      </c>
      <c r="F95" s="18">
        <v>227.3</v>
      </c>
      <c r="G95" s="18">
        <v>227.9</v>
      </c>
      <c r="H95" s="18">
        <v>850461.9</v>
      </c>
      <c r="I95" s="18">
        <v>662856.4</v>
      </c>
      <c r="J95" s="18">
        <v>71555.5</v>
      </c>
      <c r="K95" s="4">
        <v>852979</v>
      </c>
      <c r="L95" s="4">
        <v>664978</v>
      </c>
      <c r="M95" s="18">
        <v>30634</v>
      </c>
      <c r="N95" s="18">
        <f t="shared" si="19"/>
        <v>347.29999999999927</v>
      </c>
      <c r="O95" s="18">
        <f t="shared" si="20"/>
        <v>350.19999999999982</v>
      </c>
      <c r="P95" s="18">
        <f t="shared" si="21"/>
        <v>18.700000000000017</v>
      </c>
      <c r="Q95" s="18">
        <f t="shared" si="22"/>
        <v>18.300000000000011</v>
      </c>
      <c r="R95" s="24">
        <f t="shared" si="17"/>
        <v>33196.400000000023</v>
      </c>
      <c r="S95" s="18">
        <f t="shared" si="18"/>
        <v>1358</v>
      </c>
      <c r="T95" s="18">
        <f t="shared" si="24"/>
        <v>792</v>
      </c>
      <c r="U95" s="18">
        <f t="shared" si="25"/>
        <v>555</v>
      </c>
    </row>
    <row r="96" spans="1:38" ht="13.2" customHeight="1" x14ac:dyDescent="0.25">
      <c r="A96" s="3">
        <v>44805</v>
      </c>
      <c r="B96" s="1">
        <f t="shared" si="16"/>
        <v>2022</v>
      </c>
      <c r="C96" s="1" t="str">
        <f t="shared" si="23"/>
        <v>Q3</v>
      </c>
      <c r="D96" s="18">
        <v>7740.7</v>
      </c>
      <c r="E96" s="18">
        <v>7766.7</v>
      </c>
      <c r="F96" s="18">
        <v>226</v>
      </c>
      <c r="G96" s="18">
        <v>224.4</v>
      </c>
      <c r="H96" s="18">
        <v>850461.9</v>
      </c>
      <c r="I96" s="18">
        <v>662856.4</v>
      </c>
      <c r="J96" s="18">
        <v>71555.5</v>
      </c>
      <c r="K96" s="4">
        <v>852979</v>
      </c>
      <c r="L96" s="4">
        <v>664978</v>
      </c>
      <c r="M96" s="18">
        <v>30634</v>
      </c>
      <c r="N96" s="18">
        <f t="shared" si="19"/>
        <v>266.19999999999982</v>
      </c>
      <c r="O96" s="18">
        <f t="shared" si="20"/>
        <v>263.5</v>
      </c>
      <c r="P96" s="18">
        <f t="shared" si="21"/>
        <v>13.099999999999994</v>
      </c>
      <c r="Q96" s="18">
        <f t="shared" si="22"/>
        <v>12.800000000000011</v>
      </c>
      <c r="R96" s="24">
        <f t="shared" si="17"/>
        <v>33196.400000000023</v>
      </c>
      <c r="S96" s="18">
        <f t="shared" si="18"/>
        <v>1358</v>
      </c>
      <c r="T96" s="18">
        <f t="shared" si="24"/>
        <v>792</v>
      </c>
      <c r="U96" s="18">
        <f t="shared" si="25"/>
        <v>555</v>
      </c>
    </row>
    <row r="97" spans="1:36" ht="13.2" customHeight="1" x14ac:dyDescent="0.25">
      <c r="A97" s="3">
        <v>44835</v>
      </c>
      <c r="B97" s="1">
        <f t="shared" si="16"/>
        <v>2022</v>
      </c>
      <c r="C97" s="1" t="str">
        <f t="shared" si="23"/>
        <v>Q4</v>
      </c>
      <c r="D97" s="18">
        <v>7740.3</v>
      </c>
      <c r="E97" s="18">
        <v>7743.5</v>
      </c>
      <c r="F97" s="18">
        <v>226.2</v>
      </c>
      <c r="G97" s="18">
        <v>223.5</v>
      </c>
      <c r="H97" s="18">
        <v>850461.9</v>
      </c>
      <c r="I97" s="18">
        <v>662856.4</v>
      </c>
      <c r="J97" s="18">
        <v>71555.5</v>
      </c>
      <c r="K97" s="4">
        <v>852029</v>
      </c>
      <c r="L97" s="4">
        <v>664944</v>
      </c>
      <c r="M97" s="18">
        <v>31696</v>
      </c>
      <c r="N97" s="18">
        <f t="shared" si="19"/>
        <v>210.90000000000055</v>
      </c>
      <c r="O97" s="18">
        <f t="shared" si="20"/>
        <v>205</v>
      </c>
      <c r="P97" s="18">
        <f t="shared" si="21"/>
        <v>9</v>
      </c>
      <c r="Q97" s="18">
        <f t="shared" si="22"/>
        <v>9</v>
      </c>
      <c r="R97" s="24">
        <f t="shared" si="17"/>
        <v>33196.400000000023</v>
      </c>
      <c r="S97" s="18">
        <f t="shared" si="18"/>
        <v>-950</v>
      </c>
      <c r="T97" s="18">
        <f t="shared" si="24"/>
        <v>-34</v>
      </c>
      <c r="U97" s="18">
        <f t="shared" si="25"/>
        <v>1062</v>
      </c>
      <c r="AD97" s="443"/>
      <c r="AE97" s="444"/>
      <c r="AF97" s="444"/>
      <c r="AG97" s="444"/>
      <c r="AH97" s="444"/>
      <c r="AI97" s="453"/>
      <c r="AJ97" s="453"/>
    </row>
    <row r="98" spans="1:36" ht="13.2" customHeight="1" x14ac:dyDescent="0.25">
      <c r="A98" s="3">
        <v>44866</v>
      </c>
      <c r="B98" s="1">
        <f t="shared" si="16"/>
        <v>2022</v>
      </c>
      <c r="C98" s="1" t="str">
        <f t="shared" si="23"/>
        <v>Q4</v>
      </c>
      <c r="D98" s="18">
        <v>7747.2</v>
      </c>
      <c r="E98" s="18">
        <v>7738.9</v>
      </c>
      <c r="F98" s="18">
        <v>225.9</v>
      </c>
      <c r="G98" s="18">
        <v>223.8</v>
      </c>
      <c r="H98" s="18">
        <v>850461.9</v>
      </c>
      <c r="I98" s="18">
        <v>662856.4</v>
      </c>
      <c r="J98" s="18">
        <v>71555.5</v>
      </c>
      <c r="K98" s="4">
        <v>852029</v>
      </c>
      <c r="L98" s="4">
        <v>664944</v>
      </c>
      <c r="M98" s="18">
        <v>31696</v>
      </c>
      <c r="N98" s="18">
        <f t="shared" si="19"/>
        <v>155.19999999999982</v>
      </c>
      <c r="O98" s="18">
        <f t="shared" si="20"/>
        <v>148.79999999999927</v>
      </c>
      <c r="P98" s="18">
        <f t="shared" si="21"/>
        <v>3.3000000000000114</v>
      </c>
      <c r="Q98" s="18">
        <f t="shared" si="22"/>
        <v>3.6000000000000227</v>
      </c>
      <c r="R98" s="24">
        <f t="shared" si="17"/>
        <v>33196.400000000023</v>
      </c>
      <c r="S98" s="18">
        <f t="shared" si="18"/>
        <v>-950</v>
      </c>
      <c r="T98" s="18">
        <f t="shared" si="24"/>
        <v>-34</v>
      </c>
      <c r="U98" s="18">
        <f t="shared" si="25"/>
        <v>1062</v>
      </c>
      <c r="AD98" s="443"/>
      <c r="AE98" s="444"/>
      <c r="AF98" s="444"/>
      <c r="AG98" s="444"/>
      <c r="AH98" s="444"/>
      <c r="AI98" s="453"/>
      <c r="AJ98" s="453"/>
    </row>
    <row r="99" spans="1:36" ht="13.2" customHeight="1" x14ac:dyDescent="0.25">
      <c r="A99" s="3">
        <v>44896</v>
      </c>
      <c r="B99" s="1">
        <f t="shared" si="16"/>
        <v>2022</v>
      </c>
      <c r="C99" s="1" t="str">
        <f t="shared" si="23"/>
        <v>Q4</v>
      </c>
      <c r="D99" s="18">
        <v>7776.1</v>
      </c>
      <c r="E99" s="18">
        <v>7777.2</v>
      </c>
      <c r="F99" s="18">
        <v>227.6</v>
      </c>
      <c r="G99" s="18">
        <v>227.1</v>
      </c>
      <c r="H99" s="18">
        <v>850461.9</v>
      </c>
      <c r="I99" s="18">
        <v>662856.4</v>
      </c>
      <c r="J99" s="18">
        <v>71555.5</v>
      </c>
      <c r="K99" s="4">
        <v>852029</v>
      </c>
      <c r="L99" s="4">
        <v>664944</v>
      </c>
      <c r="M99" s="18">
        <v>31696</v>
      </c>
      <c r="N99" s="18">
        <f t="shared" si="19"/>
        <v>131.90000000000055</v>
      </c>
      <c r="O99" s="18">
        <f t="shared" si="20"/>
        <v>129.69999999999982</v>
      </c>
      <c r="P99" s="18">
        <f t="shared" si="21"/>
        <v>4.0999999999999943</v>
      </c>
      <c r="Q99" s="18">
        <f t="shared" si="22"/>
        <v>4.7999999999999829</v>
      </c>
      <c r="R99" s="24">
        <f t="shared" si="17"/>
        <v>33196.400000000023</v>
      </c>
      <c r="S99" s="18">
        <f t="shared" si="18"/>
        <v>-950</v>
      </c>
      <c r="T99" s="18">
        <f t="shared" si="24"/>
        <v>-34</v>
      </c>
      <c r="U99" s="18">
        <f t="shared" si="25"/>
        <v>1062</v>
      </c>
      <c r="AD99" s="443"/>
      <c r="AE99" s="444"/>
      <c r="AF99" s="444"/>
      <c r="AG99" s="444"/>
      <c r="AH99" s="444"/>
      <c r="AI99" s="453"/>
      <c r="AJ99" s="453"/>
    </row>
    <row r="100" spans="1:36" ht="13.2" customHeight="1" x14ac:dyDescent="0.25">
      <c r="A100" s="3">
        <v>44927</v>
      </c>
      <c r="B100" s="1">
        <f t="shared" si="16"/>
        <v>2023</v>
      </c>
      <c r="C100" s="1" t="str">
        <f t="shared" si="23"/>
        <v>Q1</v>
      </c>
      <c r="D100" s="18">
        <v>7807</v>
      </c>
      <c r="E100" s="18">
        <v>7776.6</v>
      </c>
      <c r="F100" s="18">
        <v>228.9</v>
      </c>
      <c r="G100" s="18">
        <v>229.2</v>
      </c>
      <c r="H100" s="18">
        <v>865859.6</v>
      </c>
      <c r="I100" s="18">
        <v>679067</v>
      </c>
      <c r="J100" s="18">
        <v>74531.5</v>
      </c>
      <c r="K100" s="4">
        <v>860658</v>
      </c>
      <c r="L100" s="4">
        <v>671794</v>
      </c>
      <c r="M100" s="18">
        <v>32304</v>
      </c>
      <c r="N100" s="18">
        <f t="shared" si="19"/>
        <v>179.30000000000018</v>
      </c>
      <c r="O100" s="18">
        <f t="shared" si="20"/>
        <v>181.5</v>
      </c>
      <c r="P100" s="18">
        <f t="shared" si="21"/>
        <v>7.5999999999999943</v>
      </c>
      <c r="Q100" s="18">
        <f t="shared" si="22"/>
        <v>8.3999999999999773</v>
      </c>
      <c r="R100" s="24">
        <f t="shared" si="17"/>
        <v>15397.699999999953</v>
      </c>
      <c r="S100" s="18">
        <f t="shared" si="18"/>
        <v>8629</v>
      </c>
      <c r="T100" s="18">
        <f t="shared" si="24"/>
        <v>6850</v>
      </c>
      <c r="U100" s="18">
        <f t="shared" si="25"/>
        <v>608</v>
      </c>
      <c r="AD100" s="443"/>
      <c r="AE100" s="444"/>
      <c r="AF100" s="444"/>
      <c r="AG100" s="444"/>
      <c r="AH100" s="444"/>
      <c r="AI100" s="453"/>
      <c r="AJ100" s="453"/>
    </row>
    <row r="101" spans="1:36" ht="13.2" customHeight="1" x14ac:dyDescent="0.25">
      <c r="A101" s="3">
        <v>44958</v>
      </c>
      <c r="B101" s="1">
        <f t="shared" si="16"/>
        <v>2023</v>
      </c>
      <c r="C101" s="1" t="str">
        <f t="shared" si="23"/>
        <v>Q1</v>
      </c>
      <c r="D101" s="18">
        <v>7840.7</v>
      </c>
      <c r="E101" s="18">
        <v>7780.5</v>
      </c>
      <c r="F101" s="18">
        <v>229.5</v>
      </c>
      <c r="G101" s="18">
        <v>229.6</v>
      </c>
      <c r="H101" s="18">
        <v>865859.6</v>
      </c>
      <c r="I101" s="18">
        <f>I100</f>
        <v>679067</v>
      </c>
      <c r="J101" s="18">
        <v>74531.5</v>
      </c>
      <c r="K101" s="4">
        <v>860658</v>
      </c>
      <c r="L101" s="4">
        <v>671794</v>
      </c>
      <c r="M101" s="18">
        <v>32304</v>
      </c>
      <c r="N101" s="18">
        <f t="shared" si="19"/>
        <v>189.39999999999964</v>
      </c>
      <c r="O101" s="18">
        <f t="shared" si="20"/>
        <v>191.69999999999982</v>
      </c>
      <c r="P101" s="18">
        <f t="shared" si="21"/>
        <v>8.1999999999999886</v>
      </c>
      <c r="Q101" s="18">
        <f t="shared" si="22"/>
        <v>8.6999999999999886</v>
      </c>
      <c r="R101" s="24">
        <f t="shared" si="17"/>
        <v>15397.699999999953</v>
      </c>
      <c r="S101" s="18">
        <f t="shared" si="18"/>
        <v>8629</v>
      </c>
      <c r="T101" s="18">
        <f t="shared" si="24"/>
        <v>6850</v>
      </c>
      <c r="U101" s="18">
        <f t="shared" si="25"/>
        <v>608</v>
      </c>
      <c r="AD101" s="443"/>
      <c r="AE101" s="444"/>
      <c r="AF101" s="444"/>
      <c r="AG101" s="444"/>
      <c r="AH101" s="444"/>
      <c r="AI101" s="453"/>
      <c r="AJ101" s="453"/>
    </row>
    <row r="102" spans="1:36" ht="13.2" customHeight="1" x14ac:dyDescent="0.25">
      <c r="A102" s="3">
        <v>44986</v>
      </c>
      <c r="B102" s="1">
        <f t="shared" si="16"/>
        <v>2023</v>
      </c>
      <c r="C102" s="1" t="str">
        <f t="shared" si="23"/>
        <v>Q1</v>
      </c>
      <c r="D102" s="18">
        <v>7866.6</v>
      </c>
      <c r="E102" s="18">
        <v>7781.3</v>
      </c>
      <c r="F102" s="18">
        <v>226.7</v>
      </c>
      <c r="G102" s="18">
        <v>225.8</v>
      </c>
      <c r="H102" s="18">
        <v>865859.6</v>
      </c>
      <c r="I102" s="18">
        <f t="shared" ref="I102:I111" si="26">I101</f>
        <v>679067</v>
      </c>
      <c r="J102" s="18">
        <v>74531.5</v>
      </c>
      <c r="K102" s="4">
        <v>860658</v>
      </c>
      <c r="L102" s="4">
        <v>671794</v>
      </c>
      <c r="M102" s="18">
        <v>32304</v>
      </c>
      <c r="N102" s="18">
        <f t="shared" si="19"/>
        <v>204.10000000000036</v>
      </c>
      <c r="O102" s="18">
        <f t="shared" si="20"/>
        <v>207.90000000000055</v>
      </c>
      <c r="P102" s="18">
        <f t="shared" si="21"/>
        <v>4</v>
      </c>
      <c r="Q102" s="18">
        <f t="shared" si="22"/>
        <v>3.8000000000000114</v>
      </c>
      <c r="R102" s="24">
        <f t="shared" si="17"/>
        <v>15397.699999999953</v>
      </c>
      <c r="S102" s="18">
        <f t="shared" si="18"/>
        <v>8629</v>
      </c>
      <c r="T102" s="18">
        <f t="shared" si="24"/>
        <v>6850</v>
      </c>
      <c r="U102" s="18">
        <f t="shared" si="25"/>
        <v>608</v>
      </c>
      <c r="AD102" s="443"/>
      <c r="AE102" s="444"/>
      <c r="AF102" s="444"/>
      <c r="AG102" s="444"/>
      <c r="AH102" s="444"/>
      <c r="AI102" s="453"/>
      <c r="AJ102" s="453"/>
    </row>
    <row r="103" spans="1:36" ht="13.2" customHeight="1" x14ac:dyDescent="0.25">
      <c r="A103" s="3">
        <v>45017</v>
      </c>
      <c r="B103" s="1">
        <f t="shared" si="16"/>
        <v>2023</v>
      </c>
      <c r="C103" s="1" t="str">
        <f t="shared" si="23"/>
        <v>Q2</v>
      </c>
      <c r="D103" s="18">
        <v>7884.3</v>
      </c>
      <c r="E103" s="18">
        <v>7819.6</v>
      </c>
      <c r="F103" s="18">
        <v>223.9</v>
      </c>
      <c r="G103" s="18">
        <v>223.9</v>
      </c>
      <c r="H103" s="18">
        <v>865859.6</v>
      </c>
      <c r="I103" s="18">
        <f t="shared" si="26"/>
        <v>679067</v>
      </c>
      <c r="J103" s="18">
        <v>74531.5</v>
      </c>
      <c r="K103" s="4">
        <v>865503</v>
      </c>
      <c r="L103" s="4">
        <v>675983</v>
      </c>
      <c r="M103" s="18">
        <v>32660</v>
      </c>
      <c r="N103" s="18">
        <f t="shared" si="19"/>
        <v>147.69999999999982</v>
      </c>
      <c r="O103" s="18">
        <f t="shared" si="20"/>
        <v>149.60000000000036</v>
      </c>
      <c r="P103" s="18">
        <f t="shared" si="21"/>
        <v>-3.4000000000000057</v>
      </c>
      <c r="Q103" s="18">
        <f t="shared" si="22"/>
        <v>-3.4000000000000057</v>
      </c>
      <c r="R103" s="24">
        <f t="shared" si="17"/>
        <v>15397.699999999953</v>
      </c>
      <c r="S103" s="18">
        <f t="shared" si="18"/>
        <v>4845</v>
      </c>
      <c r="T103" s="18">
        <f t="shared" si="24"/>
        <v>4189</v>
      </c>
      <c r="U103" s="18">
        <f t="shared" si="25"/>
        <v>356</v>
      </c>
      <c r="AD103" s="443"/>
      <c r="AE103" s="444"/>
      <c r="AF103" s="444"/>
      <c r="AG103" s="444"/>
      <c r="AH103" s="444"/>
      <c r="AI103" s="453"/>
      <c r="AJ103" s="453"/>
    </row>
    <row r="104" spans="1:36" ht="13.2" customHeight="1" x14ac:dyDescent="0.25">
      <c r="A104" s="3">
        <v>45047</v>
      </c>
      <c r="B104" s="1">
        <f t="shared" si="16"/>
        <v>2023</v>
      </c>
      <c r="C104" s="1" t="str">
        <f t="shared" si="23"/>
        <v>Q2</v>
      </c>
      <c r="D104" s="18">
        <v>7895.3</v>
      </c>
      <c r="E104" s="18">
        <v>7882.6</v>
      </c>
      <c r="F104" s="18">
        <v>220</v>
      </c>
      <c r="G104" s="18">
        <v>221.2</v>
      </c>
      <c r="H104" s="18">
        <v>865859.6</v>
      </c>
      <c r="I104" s="18">
        <f t="shared" si="26"/>
        <v>679067</v>
      </c>
      <c r="J104" s="18">
        <v>74531.5</v>
      </c>
      <c r="K104" s="4">
        <v>865503</v>
      </c>
      <c r="L104" s="4">
        <v>675983</v>
      </c>
      <c r="M104" s="18">
        <v>32660</v>
      </c>
      <c r="N104" s="18">
        <f t="shared" si="19"/>
        <v>142</v>
      </c>
      <c r="O104" s="18">
        <f t="shared" si="20"/>
        <v>144</v>
      </c>
      <c r="P104" s="18">
        <f t="shared" si="21"/>
        <v>-9.3000000000000114</v>
      </c>
      <c r="Q104" s="18">
        <f t="shared" si="22"/>
        <v>-9.6000000000000227</v>
      </c>
      <c r="R104" s="24">
        <f t="shared" si="17"/>
        <v>15397.699999999953</v>
      </c>
      <c r="S104" s="18">
        <f t="shared" si="18"/>
        <v>4845</v>
      </c>
      <c r="T104" s="18">
        <f t="shared" si="24"/>
        <v>4189</v>
      </c>
      <c r="U104" s="18">
        <f t="shared" si="25"/>
        <v>356</v>
      </c>
      <c r="AD104" s="443"/>
      <c r="AE104" s="444"/>
      <c r="AF104" s="444"/>
      <c r="AG104" s="444"/>
      <c r="AH104" s="444"/>
      <c r="AI104" s="453"/>
      <c r="AJ104" s="453"/>
    </row>
    <row r="105" spans="1:36" ht="13.2" customHeight="1" x14ac:dyDescent="0.25">
      <c r="A105" s="3">
        <v>45078</v>
      </c>
      <c r="B105" s="1">
        <f t="shared" si="16"/>
        <v>2023</v>
      </c>
      <c r="C105" s="1" t="str">
        <f t="shared" si="23"/>
        <v>Q2</v>
      </c>
      <c r="D105" s="18">
        <v>7916.1</v>
      </c>
      <c r="E105" s="18">
        <v>7971.2</v>
      </c>
      <c r="F105" s="18">
        <v>220.4</v>
      </c>
      <c r="G105" s="18">
        <v>223</v>
      </c>
      <c r="H105" s="18">
        <v>865859.6</v>
      </c>
      <c r="I105" s="18">
        <f t="shared" si="26"/>
        <v>679067</v>
      </c>
      <c r="J105" s="18">
        <v>74531.5</v>
      </c>
      <c r="K105" s="4">
        <v>865503</v>
      </c>
      <c r="L105" s="4">
        <v>675983</v>
      </c>
      <c r="M105" s="18">
        <v>32660</v>
      </c>
      <c r="N105" s="18">
        <f t="shared" si="19"/>
        <v>161.30000000000018</v>
      </c>
      <c r="O105" s="18">
        <f t="shared" si="20"/>
        <v>162</v>
      </c>
      <c r="P105" s="18">
        <f t="shared" si="21"/>
        <v>-9.5</v>
      </c>
      <c r="Q105" s="18">
        <f t="shared" si="22"/>
        <v>-9.6999999999999886</v>
      </c>
      <c r="R105" s="24">
        <f t="shared" si="17"/>
        <v>15397.699999999953</v>
      </c>
      <c r="S105" s="18">
        <f t="shared" si="18"/>
        <v>4845</v>
      </c>
      <c r="T105" s="18">
        <f t="shared" si="24"/>
        <v>4189</v>
      </c>
      <c r="U105" s="18">
        <f t="shared" si="25"/>
        <v>356</v>
      </c>
      <c r="AD105" s="443"/>
      <c r="AE105" s="444"/>
      <c r="AF105" s="444"/>
      <c r="AG105" s="444"/>
      <c r="AH105" s="444"/>
      <c r="AI105" s="453"/>
      <c r="AJ105" s="453"/>
    </row>
    <row r="106" spans="1:36" ht="13.2" customHeight="1" x14ac:dyDescent="0.25">
      <c r="A106" s="3">
        <v>45108</v>
      </c>
      <c r="B106" s="1">
        <f t="shared" si="16"/>
        <v>2023</v>
      </c>
      <c r="C106" s="1" t="str">
        <f t="shared" si="23"/>
        <v>Q3</v>
      </c>
      <c r="D106" s="18">
        <v>7926.1</v>
      </c>
      <c r="E106" s="18">
        <v>8016.9</v>
      </c>
      <c r="F106" s="18">
        <v>220.8</v>
      </c>
      <c r="G106" s="18">
        <v>222.5</v>
      </c>
      <c r="H106" s="18">
        <v>865859.6</v>
      </c>
      <c r="I106" s="18">
        <f t="shared" si="26"/>
        <v>679067</v>
      </c>
      <c r="J106" s="18">
        <v>74531.5</v>
      </c>
      <c r="K106" s="4">
        <v>867701</v>
      </c>
      <c r="L106" s="4">
        <v>682077</v>
      </c>
      <c r="M106" s="18">
        <v>32844</v>
      </c>
      <c r="N106" s="18">
        <f t="shared" si="19"/>
        <v>171.30000000000018</v>
      </c>
      <c r="O106" s="18">
        <f t="shared" si="20"/>
        <v>173.29999999999927</v>
      </c>
      <c r="P106" s="18">
        <f t="shared" si="21"/>
        <v>-8</v>
      </c>
      <c r="Q106" s="18">
        <f t="shared" si="22"/>
        <v>-8.6999999999999886</v>
      </c>
      <c r="R106" s="24">
        <f t="shared" si="17"/>
        <v>15397.699999999953</v>
      </c>
      <c r="S106" s="18">
        <f t="shared" si="18"/>
        <v>2198</v>
      </c>
      <c r="T106" s="18">
        <f t="shared" si="24"/>
        <v>6094</v>
      </c>
      <c r="U106" s="18">
        <f t="shared" si="25"/>
        <v>184</v>
      </c>
      <c r="AD106" s="443"/>
      <c r="AE106" s="444"/>
      <c r="AF106" s="444"/>
      <c r="AG106" s="444"/>
      <c r="AH106" s="444"/>
      <c r="AI106" s="453"/>
      <c r="AJ106" s="453"/>
    </row>
    <row r="107" spans="1:36" ht="13.2" customHeight="1" x14ac:dyDescent="0.25">
      <c r="A107" s="3">
        <v>45139</v>
      </c>
      <c r="B107" s="1">
        <f t="shared" si="16"/>
        <v>2023</v>
      </c>
      <c r="C107" s="1" t="str">
        <f t="shared" si="23"/>
        <v>Q3</v>
      </c>
      <c r="D107" s="18">
        <v>7940.5</v>
      </c>
      <c r="E107" s="18">
        <v>8020.3</v>
      </c>
      <c r="F107" s="18">
        <v>223.5</v>
      </c>
      <c r="G107" s="18">
        <v>223.8</v>
      </c>
      <c r="H107" s="18">
        <v>865859.6</v>
      </c>
      <c r="I107" s="18">
        <f t="shared" si="26"/>
        <v>679067</v>
      </c>
      <c r="J107" s="18">
        <v>74531.5</v>
      </c>
      <c r="K107" s="4">
        <v>867701</v>
      </c>
      <c r="L107" s="4">
        <v>682077</v>
      </c>
      <c r="M107" s="18">
        <v>32844</v>
      </c>
      <c r="N107" s="18">
        <f t="shared" si="19"/>
        <v>193.10000000000036</v>
      </c>
      <c r="O107" s="18">
        <f t="shared" si="20"/>
        <v>194.90000000000055</v>
      </c>
      <c r="P107" s="18">
        <f t="shared" si="21"/>
        <v>-3.8000000000000114</v>
      </c>
      <c r="Q107" s="18">
        <f t="shared" si="22"/>
        <v>-4.0999999999999943</v>
      </c>
      <c r="R107" s="24">
        <f t="shared" si="17"/>
        <v>15397.699999999953</v>
      </c>
      <c r="S107" s="18">
        <f t="shared" si="18"/>
        <v>2198</v>
      </c>
      <c r="T107" s="18">
        <f t="shared" si="24"/>
        <v>6094</v>
      </c>
      <c r="U107" s="18">
        <f t="shared" si="25"/>
        <v>184</v>
      </c>
      <c r="AD107" s="443"/>
      <c r="AE107" s="444"/>
      <c r="AF107" s="444"/>
      <c r="AG107" s="444"/>
      <c r="AH107" s="444"/>
      <c r="AI107" s="453"/>
      <c r="AJ107" s="453"/>
    </row>
    <row r="108" spans="1:36" ht="13.2" customHeight="1" x14ac:dyDescent="0.25">
      <c r="A108" s="3">
        <v>45170</v>
      </c>
      <c r="B108" s="1">
        <f t="shared" si="16"/>
        <v>2023</v>
      </c>
      <c r="C108" s="1" t="str">
        <f t="shared" si="23"/>
        <v>Q3</v>
      </c>
      <c r="D108" s="18">
        <v>7945</v>
      </c>
      <c r="E108" s="18">
        <v>7968.4</v>
      </c>
      <c r="F108" s="18">
        <v>223.9</v>
      </c>
      <c r="G108" s="18">
        <v>222.1</v>
      </c>
      <c r="H108" s="18">
        <v>865859.6</v>
      </c>
      <c r="I108" s="18">
        <f t="shared" si="26"/>
        <v>679067</v>
      </c>
      <c r="J108" s="18">
        <v>74531.5</v>
      </c>
      <c r="K108" s="4">
        <v>867701</v>
      </c>
      <c r="L108" s="4">
        <v>682077</v>
      </c>
      <c r="M108" s="18">
        <v>32844</v>
      </c>
      <c r="N108" s="18">
        <f t="shared" si="19"/>
        <v>204.30000000000018</v>
      </c>
      <c r="O108" s="18">
        <f t="shared" si="20"/>
        <v>201.69999999999982</v>
      </c>
      <c r="P108" s="18">
        <f t="shared" si="21"/>
        <v>-2.0999999999999943</v>
      </c>
      <c r="Q108" s="18">
        <f t="shared" si="22"/>
        <v>-2.3000000000000114</v>
      </c>
      <c r="R108" s="24">
        <f t="shared" si="17"/>
        <v>15397.699999999953</v>
      </c>
      <c r="S108" s="18">
        <f t="shared" si="18"/>
        <v>2198</v>
      </c>
      <c r="T108" s="18">
        <f t="shared" si="24"/>
        <v>6094</v>
      </c>
      <c r="U108" s="18">
        <f t="shared" si="25"/>
        <v>184</v>
      </c>
      <c r="AD108" s="443"/>
      <c r="AE108" s="444"/>
      <c r="AF108" s="444"/>
      <c r="AG108" s="444"/>
      <c r="AH108" s="444"/>
      <c r="AI108" s="453"/>
      <c r="AJ108" s="453"/>
    </row>
    <row r="109" spans="1:36" ht="13.2" customHeight="1" x14ac:dyDescent="0.25">
      <c r="A109" s="3">
        <v>45200</v>
      </c>
      <c r="B109" s="1">
        <f t="shared" si="16"/>
        <v>2023</v>
      </c>
      <c r="C109" s="1" t="str">
        <f t="shared" si="23"/>
        <v>Q4</v>
      </c>
      <c r="D109" s="18">
        <v>7949.8</v>
      </c>
      <c r="E109" s="18">
        <v>7947.2</v>
      </c>
      <c r="F109" s="18">
        <v>223.1</v>
      </c>
      <c r="G109" s="18">
        <v>220.7</v>
      </c>
      <c r="H109" s="18">
        <v>865859.6</v>
      </c>
      <c r="I109" s="18">
        <f t="shared" si="26"/>
        <v>679067</v>
      </c>
      <c r="J109" s="18">
        <v>74531.5</v>
      </c>
      <c r="K109" s="4">
        <v>869576</v>
      </c>
      <c r="L109" s="4">
        <v>686415</v>
      </c>
      <c r="M109" s="18">
        <v>33497</v>
      </c>
      <c r="N109" s="18">
        <f t="shared" si="19"/>
        <v>209.5</v>
      </c>
      <c r="O109" s="18">
        <f t="shared" si="20"/>
        <v>203.69999999999982</v>
      </c>
      <c r="P109" s="18">
        <f t="shared" si="21"/>
        <v>-3.0999999999999943</v>
      </c>
      <c r="Q109" s="18">
        <f t="shared" si="22"/>
        <v>-2.8000000000000114</v>
      </c>
      <c r="R109" s="24">
        <f t="shared" si="17"/>
        <v>15397.699999999953</v>
      </c>
      <c r="S109" s="18">
        <f t="shared" si="18"/>
        <v>1875</v>
      </c>
      <c r="T109" s="18">
        <f t="shared" si="24"/>
        <v>4338</v>
      </c>
      <c r="U109" s="18">
        <f t="shared" si="25"/>
        <v>653</v>
      </c>
      <c r="AD109" s="443"/>
      <c r="AE109" s="444"/>
      <c r="AF109" s="444"/>
      <c r="AG109" s="444"/>
      <c r="AH109" s="444"/>
      <c r="AI109" s="453"/>
      <c r="AJ109" s="453"/>
    </row>
    <row r="110" spans="1:36" ht="13.2" customHeight="1" x14ac:dyDescent="0.25">
      <c r="A110" s="3">
        <v>45231</v>
      </c>
      <c r="B110" s="1">
        <f t="shared" si="16"/>
        <v>2023</v>
      </c>
      <c r="C110" s="1" t="str">
        <f t="shared" si="23"/>
        <v>Q4</v>
      </c>
      <c r="D110" s="18">
        <v>7953.4</v>
      </c>
      <c r="E110" s="18">
        <v>7939.3</v>
      </c>
      <c r="F110" s="18">
        <v>224.9</v>
      </c>
      <c r="G110" s="18">
        <v>223.1</v>
      </c>
      <c r="H110" s="18">
        <v>865859.6</v>
      </c>
      <c r="I110" s="18">
        <f t="shared" si="26"/>
        <v>679067</v>
      </c>
      <c r="J110" s="18">
        <v>74531.5</v>
      </c>
      <c r="K110" s="4">
        <v>869576</v>
      </c>
      <c r="L110" s="4">
        <v>686415</v>
      </c>
      <c r="M110" s="18">
        <v>33497</v>
      </c>
      <c r="N110" s="18">
        <f t="shared" si="19"/>
        <v>206.19999999999982</v>
      </c>
      <c r="O110" s="18">
        <f t="shared" si="20"/>
        <v>200.40000000000055</v>
      </c>
      <c r="P110" s="18">
        <f t="shared" si="21"/>
        <v>-1</v>
      </c>
      <c r="Q110" s="18">
        <f t="shared" si="22"/>
        <v>-0.70000000000001705</v>
      </c>
      <c r="R110" s="24">
        <f t="shared" si="17"/>
        <v>15397.699999999953</v>
      </c>
      <c r="S110" s="18">
        <f t="shared" si="18"/>
        <v>1875</v>
      </c>
      <c r="T110" s="18">
        <f t="shared" si="24"/>
        <v>4338</v>
      </c>
      <c r="U110" s="18">
        <f t="shared" si="25"/>
        <v>653</v>
      </c>
      <c r="AD110" s="443"/>
      <c r="AE110" s="444"/>
      <c r="AF110" s="444"/>
      <c r="AG110" s="444"/>
      <c r="AH110" s="444"/>
      <c r="AI110" s="453"/>
      <c r="AJ110" s="453"/>
    </row>
    <row r="111" spans="1:36" ht="13.2" customHeight="1" x14ac:dyDescent="0.25">
      <c r="A111" s="3">
        <v>45261</v>
      </c>
      <c r="B111" s="1">
        <f t="shared" si="16"/>
        <v>2023</v>
      </c>
      <c r="C111" s="1" t="str">
        <f t="shared" si="23"/>
        <v>Q4</v>
      </c>
      <c r="D111" s="18">
        <v>7938</v>
      </c>
      <c r="E111" s="18">
        <v>7938.2</v>
      </c>
      <c r="F111" s="18">
        <v>226.3</v>
      </c>
      <c r="G111" s="18">
        <v>226.3</v>
      </c>
      <c r="H111" s="18">
        <v>865859.6</v>
      </c>
      <c r="I111" s="18">
        <f t="shared" si="26"/>
        <v>679067</v>
      </c>
      <c r="J111" s="18">
        <v>74531.5</v>
      </c>
      <c r="K111" s="4">
        <v>869576</v>
      </c>
      <c r="L111" s="4">
        <v>686415</v>
      </c>
      <c r="M111" s="18">
        <v>33497</v>
      </c>
      <c r="N111" s="18">
        <f t="shared" si="19"/>
        <v>161.89999999999964</v>
      </c>
      <c r="O111" s="18">
        <f t="shared" si="20"/>
        <v>161</v>
      </c>
      <c r="P111" s="18">
        <f t="shared" si="21"/>
        <v>-1.2999999999999829</v>
      </c>
      <c r="Q111" s="18">
        <f t="shared" si="22"/>
        <v>-0.79999999999998295</v>
      </c>
      <c r="R111" s="24">
        <f t="shared" si="17"/>
        <v>15397.699999999953</v>
      </c>
      <c r="S111" s="18">
        <f t="shared" si="18"/>
        <v>1875</v>
      </c>
      <c r="T111" s="18">
        <f t="shared" si="24"/>
        <v>4338</v>
      </c>
      <c r="U111" s="18">
        <f t="shared" si="25"/>
        <v>653</v>
      </c>
      <c r="AD111" s="443"/>
      <c r="AE111" s="444"/>
      <c r="AF111" s="444"/>
      <c r="AG111" s="444"/>
      <c r="AH111" s="444"/>
      <c r="AI111" s="453"/>
      <c r="AJ111" s="453"/>
    </row>
    <row r="112" spans="1:36" ht="13.2" customHeight="1" x14ac:dyDescent="0.25">
      <c r="A112" s="454">
        <v>45292</v>
      </c>
      <c r="B112" s="310">
        <f t="shared" ref="B112:B138" si="27">YEAR(A112)</f>
        <v>2024</v>
      </c>
      <c r="C112" s="1" t="str">
        <f t="shared" si="23"/>
        <v>Q1</v>
      </c>
      <c r="D112" s="18">
        <v>7934.2</v>
      </c>
      <c r="E112" s="18">
        <v>7904.9</v>
      </c>
      <c r="F112" s="18">
        <v>228.3</v>
      </c>
      <c r="G112" s="18">
        <v>229.2</v>
      </c>
      <c r="H112" s="455">
        <f t="shared" ref="H112:J123" si="28">H100*(1+$AE$10)</f>
        <v>878414.56419999991</v>
      </c>
      <c r="I112" s="455">
        <f t="shared" si="28"/>
        <v>688913.47149999999</v>
      </c>
      <c r="J112" s="455">
        <f t="shared" si="28"/>
        <v>75612.206749999998</v>
      </c>
      <c r="K112" s="4">
        <v>874402</v>
      </c>
      <c r="L112" s="4">
        <v>691697</v>
      </c>
      <c r="M112" s="18">
        <v>33806</v>
      </c>
      <c r="N112" s="18">
        <f t="shared" ref="N112:N143" si="29">D112-D100</f>
        <v>127.19999999999982</v>
      </c>
      <c r="O112" s="18">
        <f t="shared" ref="O112:O143" si="30">E112-E100</f>
        <v>128.29999999999927</v>
      </c>
      <c r="P112" s="18">
        <f t="shared" ref="P112:P143" si="31">F112-F100</f>
        <v>-0.59999999999999432</v>
      </c>
      <c r="Q112" s="18">
        <f t="shared" ref="Q112:Q143" si="32">G112-G100</f>
        <v>0</v>
      </c>
      <c r="R112" s="24">
        <f t="shared" si="17"/>
        <v>12554.964199999929</v>
      </c>
      <c r="S112" s="18">
        <f t="shared" si="18"/>
        <v>4826</v>
      </c>
      <c r="T112" s="18">
        <f t="shared" si="24"/>
        <v>5282</v>
      </c>
      <c r="U112" s="18">
        <f t="shared" si="25"/>
        <v>309</v>
      </c>
      <c r="AD112" s="443"/>
      <c r="AE112" s="444"/>
      <c r="AF112" s="444"/>
      <c r="AG112" s="444"/>
      <c r="AH112" s="444"/>
      <c r="AI112" s="453"/>
      <c r="AJ112" s="453"/>
    </row>
    <row r="113" spans="1:36" ht="13.2" customHeight="1" x14ac:dyDescent="0.25">
      <c r="A113" s="454">
        <v>45323</v>
      </c>
      <c r="B113" s="310">
        <f t="shared" si="27"/>
        <v>2024</v>
      </c>
      <c r="C113" s="1" t="str">
        <f t="shared" si="23"/>
        <v>Q1</v>
      </c>
      <c r="D113" s="18">
        <v>7932</v>
      </c>
      <c r="E113" s="18">
        <v>7874.1</v>
      </c>
      <c r="F113" s="18">
        <v>229.4</v>
      </c>
      <c r="G113" s="18">
        <v>230.1</v>
      </c>
      <c r="H113" s="455">
        <f t="shared" si="28"/>
        <v>878414.56419999991</v>
      </c>
      <c r="I113" s="455">
        <f t="shared" si="28"/>
        <v>688913.47149999999</v>
      </c>
      <c r="J113" s="455">
        <f t="shared" si="28"/>
        <v>75612.206749999998</v>
      </c>
      <c r="K113" s="4">
        <v>874402</v>
      </c>
      <c r="L113" s="4">
        <v>691697</v>
      </c>
      <c r="M113" s="18">
        <v>33806</v>
      </c>
      <c r="N113" s="18">
        <f t="shared" si="29"/>
        <v>91.300000000000182</v>
      </c>
      <c r="O113" s="18">
        <f t="shared" si="30"/>
        <v>93.600000000000364</v>
      </c>
      <c r="P113" s="18">
        <f t="shared" si="31"/>
        <v>-9.9999999999994316E-2</v>
      </c>
      <c r="Q113" s="18">
        <f t="shared" si="32"/>
        <v>0.5</v>
      </c>
      <c r="R113" s="24">
        <f t="shared" si="17"/>
        <v>12554.964199999929</v>
      </c>
      <c r="S113" s="18">
        <f t="shared" si="18"/>
        <v>4826</v>
      </c>
      <c r="T113" s="18">
        <f t="shared" si="24"/>
        <v>5282</v>
      </c>
      <c r="U113" s="18">
        <f t="shared" si="25"/>
        <v>309</v>
      </c>
      <c r="AD113" s="443"/>
      <c r="AE113" s="444"/>
      <c r="AF113" s="444"/>
      <c r="AG113" s="444"/>
      <c r="AH113" s="444"/>
      <c r="AI113" s="453"/>
      <c r="AJ113" s="453"/>
    </row>
    <row r="114" spans="1:36" ht="13.2" customHeight="1" x14ac:dyDescent="0.25">
      <c r="A114" s="454">
        <v>45352</v>
      </c>
      <c r="B114" s="310">
        <f t="shared" si="27"/>
        <v>2024</v>
      </c>
      <c r="C114" s="1" t="str">
        <f t="shared" si="23"/>
        <v>Q1</v>
      </c>
      <c r="D114" s="18">
        <v>7950.9</v>
      </c>
      <c r="E114" s="18">
        <v>7870.9</v>
      </c>
      <c r="F114" s="18">
        <v>230.9</v>
      </c>
      <c r="G114" s="18">
        <v>230.3</v>
      </c>
      <c r="H114" s="455">
        <f t="shared" si="28"/>
        <v>878414.56419999991</v>
      </c>
      <c r="I114" s="455">
        <f t="shared" si="28"/>
        <v>688913.47149999999</v>
      </c>
      <c r="J114" s="455">
        <f t="shared" si="28"/>
        <v>75612.206749999998</v>
      </c>
      <c r="K114" s="4">
        <v>874402</v>
      </c>
      <c r="L114" s="4">
        <v>691697</v>
      </c>
      <c r="M114" s="18">
        <v>33806</v>
      </c>
      <c r="N114" s="18">
        <f t="shared" si="29"/>
        <v>84.299999999999272</v>
      </c>
      <c r="O114" s="18">
        <f t="shared" si="30"/>
        <v>89.599999999999454</v>
      </c>
      <c r="P114" s="18">
        <f t="shared" si="31"/>
        <v>4.2000000000000171</v>
      </c>
      <c r="Q114" s="18">
        <f t="shared" si="32"/>
        <v>4.5</v>
      </c>
      <c r="R114" s="24">
        <f t="shared" si="17"/>
        <v>12554.964199999929</v>
      </c>
      <c r="S114" s="18">
        <f t="shared" si="18"/>
        <v>4826</v>
      </c>
      <c r="T114" s="18">
        <f t="shared" si="24"/>
        <v>5282</v>
      </c>
      <c r="U114" s="18">
        <f t="shared" si="25"/>
        <v>309</v>
      </c>
      <c r="AD114" s="443"/>
      <c r="AE114" s="444"/>
      <c r="AF114" s="444"/>
      <c r="AG114" s="444"/>
      <c r="AH114" s="444"/>
      <c r="AI114" s="453"/>
      <c r="AJ114" s="453"/>
    </row>
    <row r="115" spans="1:36" ht="13.2" customHeight="1" x14ac:dyDescent="0.25">
      <c r="A115" s="454">
        <v>45383</v>
      </c>
      <c r="B115" s="310">
        <f t="shared" si="27"/>
        <v>2024</v>
      </c>
      <c r="C115" s="1" t="str">
        <f t="shared" si="23"/>
        <v>Q2</v>
      </c>
      <c r="D115" s="18">
        <v>7970.1</v>
      </c>
      <c r="E115" s="18">
        <v>7915</v>
      </c>
      <c r="F115" s="18">
        <v>233.1</v>
      </c>
      <c r="G115" s="18">
        <v>232.6</v>
      </c>
      <c r="H115" s="455">
        <f t="shared" si="28"/>
        <v>878414.56419999991</v>
      </c>
      <c r="I115" s="455">
        <f t="shared" si="28"/>
        <v>688913.47149999999</v>
      </c>
      <c r="J115" s="455">
        <f t="shared" si="28"/>
        <v>75612.206749999998</v>
      </c>
      <c r="K115" s="4">
        <v>877135</v>
      </c>
      <c r="L115" s="4">
        <v>695499</v>
      </c>
      <c r="M115" s="18">
        <v>34058</v>
      </c>
      <c r="N115" s="18">
        <f t="shared" si="29"/>
        <v>85.800000000000182</v>
      </c>
      <c r="O115" s="18">
        <f t="shared" si="30"/>
        <v>95.399999999999636</v>
      </c>
      <c r="P115" s="18">
        <f t="shared" si="31"/>
        <v>9.1999999999999886</v>
      </c>
      <c r="Q115" s="18">
        <f t="shared" si="32"/>
        <v>8.6999999999999886</v>
      </c>
      <c r="R115" s="24">
        <f t="shared" si="17"/>
        <v>12554.964199999929</v>
      </c>
      <c r="S115" s="18">
        <f t="shared" si="18"/>
        <v>2733</v>
      </c>
      <c r="T115" s="18">
        <f t="shared" si="24"/>
        <v>3802</v>
      </c>
      <c r="U115" s="18">
        <f t="shared" si="25"/>
        <v>252</v>
      </c>
      <c r="AD115" s="443"/>
      <c r="AE115" s="444"/>
      <c r="AF115" s="444"/>
      <c r="AG115" s="444"/>
      <c r="AH115" s="444"/>
      <c r="AI115" s="453"/>
      <c r="AJ115" s="453"/>
    </row>
    <row r="116" spans="1:36" ht="13.2" customHeight="1" x14ac:dyDescent="0.25">
      <c r="A116" s="454">
        <v>45413</v>
      </c>
      <c r="B116" s="310">
        <f t="shared" si="27"/>
        <v>2024</v>
      </c>
      <c r="C116" s="1" t="str">
        <f t="shared" si="23"/>
        <v>Q2</v>
      </c>
      <c r="D116" s="18">
        <v>8003.7</v>
      </c>
      <c r="E116" s="18">
        <v>7999.8</v>
      </c>
      <c r="F116" s="18">
        <v>232.8</v>
      </c>
      <c r="G116" s="18">
        <v>233.1</v>
      </c>
      <c r="H116" s="455">
        <f t="shared" si="28"/>
        <v>878414.56419999991</v>
      </c>
      <c r="I116" s="455">
        <f t="shared" si="28"/>
        <v>688913.47149999999</v>
      </c>
      <c r="J116" s="455">
        <f t="shared" si="28"/>
        <v>75612.206749999998</v>
      </c>
      <c r="K116" s="4">
        <v>877135</v>
      </c>
      <c r="L116" s="4">
        <v>695499</v>
      </c>
      <c r="M116" s="18">
        <v>34058</v>
      </c>
      <c r="N116" s="18">
        <f t="shared" si="29"/>
        <v>108.39999999999964</v>
      </c>
      <c r="O116" s="18">
        <f t="shared" si="30"/>
        <v>117.19999999999982</v>
      </c>
      <c r="P116" s="18">
        <f t="shared" si="31"/>
        <v>12.800000000000011</v>
      </c>
      <c r="Q116" s="18">
        <f t="shared" si="32"/>
        <v>11.900000000000006</v>
      </c>
      <c r="R116" s="24">
        <f t="shared" si="17"/>
        <v>12554.964199999929</v>
      </c>
      <c r="S116" s="18">
        <f t="shared" si="18"/>
        <v>2733</v>
      </c>
      <c r="T116" s="18">
        <f t="shared" si="24"/>
        <v>3802</v>
      </c>
      <c r="U116" s="18">
        <f t="shared" si="25"/>
        <v>252</v>
      </c>
      <c r="AD116" s="443"/>
      <c r="AE116" s="444"/>
      <c r="AF116" s="444"/>
      <c r="AG116" s="444"/>
      <c r="AH116" s="444"/>
      <c r="AI116" s="453"/>
      <c r="AJ116" s="453"/>
    </row>
    <row r="117" spans="1:36" ht="13.2" customHeight="1" x14ac:dyDescent="0.25">
      <c r="A117" s="454">
        <v>45444</v>
      </c>
      <c r="B117" s="310">
        <f t="shared" si="27"/>
        <v>2024</v>
      </c>
      <c r="C117" s="1" t="str">
        <f t="shared" si="23"/>
        <v>Q2</v>
      </c>
      <c r="D117" s="18">
        <v>8031.8</v>
      </c>
      <c r="E117" s="18">
        <v>8092.5</v>
      </c>
      <c r="F117" s="18">
        <v>230.6</v>
      </c>
      <c r="G117" s="18">
        <v>232</v>
      </c>
      <c r="H117" s="455">
        <f t="shared" si="28"/>
        <v>878414.56419999991</v>
      </c>
      <c r="I117" s="455">
        <f t="shared" si="28"/>
        <v>688913.47149999999</v>
      </c>
      <c r="J117" s="455">
        <f t="shared" si="28"/>
        <v>75612.206749999998</v>
      </c>
      <c r="K117" s="4">
        <v>877135</v>
      </c>
      <c r="L117" s="4">
        <v>695499</v>
      </c>
      <c r="M117" s="18">
        <v>34058</v>
      </c>
      <c r="N117" s="18">
        <f t="shared" si="29"/>
        <v>115.69999999999982</v>
      </c>
      <c r="O117" s="18">
        <f t="shared" si="30"/>
        <v>121.30000000000018</v>
      </c>
      <c r="P117" s="18">
        <f t="shared" si="31"/>
        <v>10.199999999999989</v>
      </c>
      <c r="Q117" s="18">
        <f t="shared" si="32"/>
        <v>9</v>
      </c>
      <c r="R117" s="24">
        <f t="shared" si="17"/>
        <v>12554.964199999929</v>
      </c>
      <c r="S117" s="18">
        <f t="shared" si="18"/>
        <v>2733</v>
      </c>
      <c r="T117" s="18">
        <f t="shared" si="24"/>
        <v>3802</v>
      </c>
      <c r="U117" s="18">
        <f t="shared" si="25"/>
        <v>252</v>
      </c>
      <c r="AD117" s="443"/>
      <c r="AE117" s="444"/>
      <c r="AF117" s="444"/>
      <c r="AG117" s="444"/>
      <c r="AH117" s="444"/>
      <c r="AI117" s="453"/>
      <c r="AJ117" s="453"/>
    </row>
    <row r="118" spans="1:36" ht="13.2" customHeight="1" x14ac:dyDescent="0.25">
      <c r="A118" s="454">
        <v>45474</v>
      </c>
      <c r="B118" s="310">
        <f t="shared" si="27"/>
        <v>2024</v>
      </c>
      <c r="C118" s="1" t="str">
        <f t="shared" si="23"/>
        <v>Q3</v>
      </c>
      <c r="D118" s="18">
        <v>8059</v>
      </c>
      <c r="E118" s="18">
        <v>8149.4</v>
      </c>
      <c r="F118" s="18">
        <v>227.5</v>
      </c>
      <c r="G118" s="18">
        <v>229.4</v>
      </c>
      <c r="H118" s="455">
        <f t="shared" si="28"/>
        <v>878414.56419999991</v>
      </c>
      <c r="I118" s="455">
        <f t="shared" si="28"/>
        <v>688913.47149999999</v>
      </c>
      <c r="J118" s="455">
        <f t="shared" si="28"/>
        <v>75612.206749999998</v>
      </c>
      <c r="K118" s="4">
        <v>877865</v>
      </c>
      <c r="L118" s="4">
        <v>698343</v>
      </c>
      <c r="M118" s="18">
        <v>33895</v>
      </c>
      <c r="N118" s="18">
        <f t="shared" si="29"/>
        <v>132.89999999999964</v>
      </c>
      <c r="O118" s="18">
        <f t="shared" si="30"/>
        <v>132.5</v>
      </c>
      <c r="P118" s="18">
        <f t="shared" si="31"/>
        <v>6.6999999999999886</v>
      </c>
      <c r="Q118" s="18">
        <f t="shared" si="32"/>
        <v>6.9000000000000057</v>
      </c>
      <c r="R118" s="24">
        <f t="shared" si="17"/>
        <v>12554.964199999929</v>
      </c>
      <c r="S118" s="18">
        <f t="shared" si="18"/>
        <v>730</v>
      </c>
      <c r="T118" s="18">
        <f t="shared" si="24"/>
        <v>2844</v>
      </c>
      <c r="U118" s="18">
        <f t="shared" si="25"/>
        <v>-163</v>
      </c>
      <c r="AD118" s="443"/>
      <c r="AE118" s="444"/>
      <c r="AF118" s="444"/>
      <c r="AG118" s="444"/>
      <c r="AH118" s="444"/>
      <c r="AI118" s="453"/>
      <c r="AJ118" s="453"/>
    </row>
    <row r="119" spans="1:36" ht="13.2" customHeight="1" x14ac:dyDescent="0.25">
      <c r="A119" s="454">
        <v>45505</v>
      </c>
      <c r="B119" s="310">
        <f t="shared" si="27"/>
        <v>2024</v>
      </c>
      <c r="C119" s="1" t="str">
        <f t="shared" si="23"/>
        <v>Q3</v>
      </c>
      <c r="D119" s="18">
        <v>8066.9</v>
      </c>
      <c r="E119" s="18">
        <v>8147.2</v>
      </c>
      <c r="F119" s="18">
        <v>225.1</v>
      </c>
      <c r="G119" s="18">
        <v>225.5</v>
      </c>
      <c r="H119" s="455">
        <f t="shared" si="28"/>
        <v>878414.56419999991</v>
      </c>
      <c r="I119" s="455">
        <f t="shared" si="28"/>
        <v>688913.47149999999</v>
      </c>
      <c r="J119" s="455">
        <f t="shared" si="28"/>
        <v>75612.206749999998</v>
      </c>
      <c r="K119" s="4">
        <v>877865</v>
      </c>
      <c r="L119" s="4">
        <v>698343</v>
      </c>
      <c r="M119" s="18">
        <v>33895</v>
      </c>
      <c r="N119" s="18">
        <f t="shared" si="29"/>
        <v>126.39999999999964</v>
      </c>
      <c r="O119" s="18">
        <f t="shared" si="30"/>
        <v>126.89999999999964</v>
      </c>
      <c r="P119" s="18">
        <f t="shared" si="31"/>
        <v>1.5999999999999943</v>
      </c>
      <c r="Q119" s="18">
        <f t="shared" si="32"/>
        <v>1.6999999999999886</v>
      </c>
      <c r="R119" s="24">
        <f>H119-H107</f>
        <v>12554.964199999929</v>
      </c>
      <c r="S119" s="18">
        <f t="shared" si="18"/>
        <v>730</v>
      </c>
      <c r="T119" s="18">
        <f t="shared" si="24"/>
        <v>2844</v>
      </c>
      <c r="U119" s="18">
        <f t="shared" si="25"/>
        <v>-163</v>
      </c>
      <c r="AD119" s="443"/>
      <c r="AE119" s="444"/>
      <c r="AF119" s="444"/>
      <c r="AG119" s="444"/>
      <c r="AH119" s="444"/>
      <c r="AI119" s="453"/>
      <c r="AJ119" s="453"/>
    </row>
    <row r="120" spans="1:36" ht="13.2" customHeight="1" x14ac:dyDescent="0.25">
      <c r="A120" s="454">
        <v>45536</v>
      </c>
      <c r="B120" s="310">
        <f t="shared" si="27"/>
        <v>2024</v>
      </c>
      <c r="C120" s="1" t="str">
        <f t="shared" si="23"/>
        <v>Q3</v>
      </c>
      <c r="D120" s="18">
        <v>8086</v>
      </c>
      <c r="E120" s="18">
        <v>8123.6</v>
      </c>
      <c r="F120" s="18">
        <v>226.9</v>
      </c>
      <c r="G120" s="18">
        <v>225.9</v>
      </c>
      <c r="H120" s="455">
        <f t="shared" si="28"/>
        <v>878414.56419999991</v>
      </c>
      <c r="I120" s="455">
        <f t="shared" si="28"/>
        <v>688913.47149999999</v>
      </c>
      <c r="J120" s="455">
        <f t="shared" si="28"/>
        <v>75612.206749999998</v>
      </c>
      <c r="K120" s="4">
        <v>877865</v>
      </c>
      <c r="L120" s="4">
        <v>698343</v>
      </c>
      <c r="M120" s="18">
        <v>33895</v>
      </c>
      <c r="N120" s="18">
        <f t="shared" si="29"/>
        <v>141</v>
      </c>
      <c r="O120" s="18">
        <f t="shared" si="30"/>
        <v>155.20000000000073</v>
      </c>
      <c r="P120" s="18">
        <f t="shared" si="31"/>
        <v>3</v>
      </c>
      <c r="Q120" s="18">
        <f t="shared" si="32"/>
        <v>3.8000000000000114</v>
      </c>
      <c r="R120" s="24">
        <f t="shared" si="17"/>
        <v>12554.964199999929</v>
      </c>
      <c r="S120" s="18">
        <f t="shared" si="18"/>
        <v>730</v>
      </c>
      <c r="T120" s="18">
        <f t="shared" si="24"/>
        <v>2844</v>
      </c>
      <c r="U120" s="18">
        <f t="shared" si="25"/>
        <v>-163</v>
      </c>
      <c r="AD120" s="443"/>
      <c r="AE120" s="444"/>
      <c r="AF120" s="444"/>
      <c r="AG120" s="444"/>
      <c r="AH120" s="444"/>
      <c r="AI120" s="453"/>
      <c r="AJ120" s="453"/>
    </row>
    <row r="121" spans="1:36" ht="13.2" customHeight="1" x14ac:dyDescent="0.25">
      <c r="A121" s="454">
        <v>45566</v>
      </c>
      <c r="B121" s="310">
        <f t="shared" si="27"/>
        <v>2024</v>
      </c>
      <c r="C121" s="1" t="str">
        <f t="shared" si="23"/>
        <v>Q4</v>
      </c>
      <c r="D121" s="18">
        <v>8094</v>
      </c>
      <c r="E121" s="18">
        <v>8109.5</v>
      </c>
      <c r="F121" s="18">
        <v>228.7</v>
      </c>
      <c r="G121" s="18">
        <v>225.9</v>
      </c>
      <c r="H121" s="455">
        <f t="shared" si="28"/>
        <v>878414.56419999991</v>
      </c>
      <c r="I121" s="455">
        <f t="shared" si="28"/>
        <v>688913.47149999999</v>
      </c>
      <c r="J121" s="455">
        <f t="shared" si="28"/>
        <v>75612.206749999998</v>
      </c>
      <c r="K121" s="455">
        <f t="shared" ref="K121:M123" si="33">K109*(1+$AE$10)</f>
        <v>882184.85199999996</v>
      </c>
      <c r="L121" s="455">
        <f t="shared" si="33"/>
        <v>696368.01749999996</v>
      </c>
      <c r="M121" s="455">
        <f t="shared" si="33"/>
        <v>33982.7065</v>
      </c>
      <c r="N121" s="18">
        <f t="shared" si="29"/>
        <v>144.19999999999982</v>
      </c>
      <c r="O121" s="18">
        <f t="shared" si="30"/>
        <v>162.30000000000018</v>
      </c>
      <c r="P121" s="18">
        <f t="shared" si="31"/>
        <v>5.5999999999999943</v>
      </c>
      <c r="Q121" s="18">
        <f t="shared" si="32"/>
        <v>5.2000000000000171</v>
      </c>
      <c r="R121" s="24">
        <f t="shared" si="17"/>
        <v>12554.964199999929</v>
      </c>
      <c r="S121" s="18">
        <f t="shared" si="18"/>
        <v>4319.8519999999553</v>
      </c>
      <c r="T121" s="18">
        <f t="shared" si="24"/>
        <v>-1974.9825000000419</v>
      </c>
      <c r="U121" s="18">
        <f t="shared" si="25"/>
        <v>87.706500000000233</v>
      </c>
      <c r="AD121" s="443"/>
      <c r="AE121" s="444"/>
      <c r="AF121" s="444"/>
      <c r="AG121" s="444"/>
      <c r="AH121" s="444"/>
      <c r="AI121" s="453"/>
      <c r="AJ121" s="453"/>
    </row>
    <row r="122" spans="1:36" ht="13.2" customHeight="1" x14ac:dyDescent="0.25">
      <c r="A122" s="454">
        <v>45597</v>
      </c>
      <c r="B122" s="310">
        <f t="shared" si="27"/>
        <v>2024</v>
      </c>
      <c r="C122" s="1" t="str">
        <f t="shared" si="23"/>
        <v>Q4</v>
      </c>
      <c r="D122" s="18">
        <v>8102.8</v>
      </c>
      <c r="E122" s="18">
        <v>8101.2</v>
      </c>
      <c r="F122" s="18">
        <v>228.7</v>
      </c>
      <c r="G122" s="18">
        <v>225.9</v>
      </c>
      <c r="H122" s="455">
        <f t="shared" si="28"/>
        <v>878414.56419999991</v>
      </c>
      <c r="I122" s="455">
        <f t="shared" si="28"/>
        <v>688913.47149999999</v>
      </c>
      <c r="J122" s="455">
        <f t="shared" si="28"/>
        <v>75612.206749999998</v>
      </c>
      <c r="K122" s="455">
        <f t="shared" si="33"/>
        <v>882184.85199999996</v>
      </c>
      <c r="L122" s="455">
        <f t="shared" si="33"/>
        <v>696368.01749999996</v>
      </c>
      <c r="M122" s="455">
        <f t="shared" si="33"/>
        <v>33982.7065</v>
      </c>
      <c r="N122" s="18">
        <f t="shared" si="29"/>
        <v>149.40000000000055</v>
      </c>
      <c r="O122" s="18">
        <f t="shared" si="30"/>
        <v>161.89999999999964</v>
      </c>
      <c r="P122" s="18">
        <f t="shared" si="31"/>
        <v>3.7999999999999829</v>
      </c>
      <c r="Q122" s="18">
        <f t="shared" si="32"/>
        <v>2.8000000000000114</v>
      </c>
      <c r="R122" s="24">
        <f t="shared" si="17"/>
        <v>12554.964199999929</v>
      </c>
      <c r="S122" s="18">
        <f t="shared" si="18"/>
        <v>4319.8519999999553</v>
      </c>
      <c r="T122" s="18">
        <f t="shared" si="24"/>
        <v>-1974.9825000000419</v>
      </c>
      <c r="U122" s="18">
        <f t="shared" si="25"/>
        <v>87.706500000000233</v>
      </c>
      <c r="AD122" s="443"/>
      <c r="AE122" s="444"/>
      <c r="AF122" s="444"/>
      <c r="AG122" s="444"/>
      <c r="AH122" s="444"/>
      <c r="AI122" s="453"/>
      <c r="AJ122" s="453"/>
    </row>
    <row r="123" spans="1:36" ht="13.2" customHeight="1" x14ac:dyDescent="0.25">
      <c r="A123" s="454">
        <v>45627</v>
      </c>
      <c r="B123" s="310">
        <f t="shared" si="27"/>
        <v>2024</v>
      </c>
      <c r="C123" s="1" t="str">
        <f t="shared" si="23"/>
        <v>Q4</v>
      </c>
      <c r="D123" s="18">
        <v>8105.1</v>
      </c>
      <c r="E123" s="18">
        <v>8097.3</v>
      </c>
      <c r="F123" s="18">
        <v>227</v>
      </c>
      <c r="G123" s="18">
        <v>225.8</v>
      </c>
      <c r="H123" s="455">
        <f t="shared" si="28"/>
        <v>878414.56419999991</v>
      </c>
      <c r="I123" s="455">
        <f t="shared" si="28"/>
        <v>688913.47149999999</v>
      </c>
      <c r="J123" s="455">
        <f t="shared" si="28"/>
        <v>75612.206749999998</v>
      </c>
      <c r="K123" s="455">
        <f t="shared" si="33"/>
        <v>882184.85199999996</v>
      </c>
      <c r="L123" s="455">
        <f t="shared" si="33"/>
        <v>696368.01749999996</v>
      </c>
      <c r="M123" s="455">
        <f t="shared" si="33"/>
        <v>33982.7065</v>
      </c>
      <c r="N123" s="18">
        <f t="shared" si="29"/>
        <v>167.10000000000036</v>
      </c>
      <c r="O123" s="18">
        <f t="shared" si="30"/>
        <v>159.10000000000036</v>
      </c>
      <c r="P123" s="18">
        <f t="shared" si="31"/>
        <v>0.69999999999998863</v>
      </c>
      <c r="Q123" s="18">
        <f t="shared" si="32"/>
        <v>-0.5</v>
      </c>
      <c r="R123" s="24">
        <f t="shared" si="17"/>
        <v>12554.964199999929</v>
      </c>
      <c r="S123" s="18">
        <f t="shared" si="18"/>
        <v>4319.8519999999553</v>
      </c>
      <c r="T123" s="18">
        <f t="shared" si="24"/>
        <v>-1974.9825000000419</v>
      </c>
      <c r="U123" s="18">
        <f t="shared" si="25"/>
        <v>87.706500000000233</v>
      </c>
      <c r="AD123" s="443"/>
      <c r="AE123" s="444"/>
      <c r="AF123" s="444"/>
      <c r="AG123" s="444"/>
      <c r="AH123" s="444"/>
      <c r="AI123" s="453"/>
      <c r="AJ123" s="453"/>
    </row>
    <row r="124" spans="1:36" ht="13.2" customHeight="1" x14ac:dyDescent="0.25">
      <c r="A124" s="454">
        <v>45658</v>
      </c>
      <c r="B124" s="310">
        <f t="shared" si="27"/>
        <v>2025</v>
      </c>
      <c r="C124" s="1" t="str">
        <f t="shared" si="23"/>
        <v>Q1</v>
      </c>
      <c r="D124" s="455">
        <f t="shared" ref="D124:G135" si="34">D112*(1+$AE$17)</f>
        <v>8067.0978500000001</v>
      </c>
      <c r="E124" s="455">
        <f t="shared" si="34"/>
        <v>8037.3070749999997</v>
      </c>
      <c r="F124" s="455">
        <f t="shared" si="34"/>
        <v>232.12402500000002</v>
      </c>
      <c r="G124" s="455">
        <f t="shared" si="34"/>
        <v>233.03909999999999</v>
      </c>
      <c r="H124" s="455">
        <f t="shared" ref="H124:M135" si="35">H112*(1+$AE$11)</f>
        <v>886320.29527779983</v>
      </c>
      <c r="I124" s="455">
        <f t="shared" si="35"/>
        <v>695113.69274349988</v>
      </c>
      <c r="J124" s="455">
        <f t="shared" si="35"/>
        <v>76292.716610749994</v>
      </c>
      <c r="K124" s="455">
        <f t="shared" si="35"/>
        <v>882271.6179999999</v>
      </c>
      <c r="L124" s="455">
        <f t="shared" si="35"/>
        <v>697922.27299999993</v>
      </c>
      <c r="M124" s="455">
        <f t="shared" si="35"/>
        <v>34110.253999999994</v>
      </c>
      <c r="N124" s="18">
        <f t="shared" si="29"/>
        <v>132.89785000000029</v>
      </c>
      <c r="O124" s="18">
        <f t="shared" si="30"/>
        <v>132.40707500000008</v>
      </c>
      <c r="P124" s="18">
        <f t="shared" si="31"/>
        <v>3.824025000000006</v>
      </c>
      <c r="Q124" s="18">
        <f t="shared" si="32"/>
        <v>3.839100000000002</v>
      </c>
      <c r="R124" s="24">
        <f t="shared" si="17"/>
        <v>7905.7310777999228</v>
      </c>
      <c r="S124" s="18">
        <f t="shared" si="18"/>
        <v>86.765999999945052</v>
      </c>
      <c r="T124" s="18">
        <f t="shared" si="24"/>
        <v>1554.2554999999702</v>
      </c>
      <c r="U124" s="18">
        <f t="shared" si="25"/>
        <v>127.54749999999331</v>
      </c>
      <c r="AD124" s="443"/>
      <c r="AE124" s="444"/>
      <c r="AF124" s="444"/>
      <c r="AG124" s="444"/>
      <c r="AH124" s="444"/>
      <c r="AI124" s="453"/>
      <c r="AJ124" s="453"/>
    </row>
    <row r="125" spans="1:36" ht="13.2" customHeight="1" x14ac:dyDescent="0.25">
      <c r="A125" s="454">
        <v>45689</v>
      </c>
      <c r="B125" s="310">
        <f t="shared" si="27"/>
        <v>2025</v>
      </c>
      <c r="C125" s="1" t="str">
        <f t="shared" si="23"/>
        <v>Q1</v>
      </c>
      <c r="D125" s="455">
        <f t="shared" si="34"/>
        <v>8064.8610000000008</v>
      </c>
      <c r="E125" s="455">
        <f t="shared" si="34"/>
        <v>8005.991175000001</v>
      </c>
      <c r="F125" s="455">
        <f t="shared" si="34"/>
        <v>233.24245000000002</v>
      </c>
      <c r="G125" s="455">
        <f t="shared" si="34"/>
        <v>233.95417499999999</v>
      </c>
      <c r="H125" s="455">
        <f t="shared" si="35"/>
        <v>886320.29527779983</v>
      </c>
      <c r="I125" s="455">
        <f t="shared" si="35"/>
        <v>695113.69274349988</v>
      </c>
      <c r="J125" s="455">
        <f t="shared" si="35"/>
        <v>76292.716610749994</v>
      </c>
      <c r="K125" s="455">
        <f t="shared" si="35"/>
        <v>882271.6179999999</v>
      </c>
      <c r="L125" s="455">
        <f t="shared" si="35"/>
        <v>697922.27299999993</v>
      </c>
      <c r="M125" s="455">
        <f t="shared" si="35"/>
        <v>34110.253999999994</v>
      </c>
      <c r="N125" s="18">
        <f t="shared" si="29"/>
        <v>132.86100000000079</v>
      </c>
      <c r="O125" s="18">
        <f t="shared" si="30"/>
        <v>131.89117500000066</v>
      </c>
      <c r="P125" s="18">
        <f t="shared" si="31"/>
        <v>3.8424500000000137</v>
      </c>
      <c r="Q125" s="18">
        <f t="shared" si="32"/>
        <v>3.8541749999999979</v>
      </c>
      <c r="R125" s="24">
        <f t="shared" si="17"/>
        <v>7905.7310777999228</v>
      </c>
      <c r="S125" s="18">
        <f t="shared" si="18"/>
        <v>86.765999999945052</v>
      </c>
      <c r="T125" s="18">
        <f t="shared" si="24"/>
        <v>1554.2554999999702</v>
      </c>
      <c r="U125" s="18">
        <f t="shared" si="25"/>
        <v>127.54749999999331</v>
      </c>
      <c r="AD125" s="443"/>
      <c r="AE125" s="444"/>
      <c r="AF125" s="444"/>
      <c r="AG125" s="444"/>
      <c r="AH125" s="444"/>
      <c r="AI125" s="453"/>
      <c r="AJ125" s="453"/>
    </row>
    <row r="126" spans="1:36" ht="13.2" customHeight="1" x14ac:dyDescent="0.25">
      <c r="A126" s="454">
        <v>45717</v>
      </c>
      <c r="B126" s="310">
        <f t="shared" si="27"/>
        <v>2025</v>
      </c>
      <c r="C126" s="1" t="str">
        <f t="shared" si="23"/>
        <v>Q1</v>
      </c>
      <c r="D126" s="455">
        <f t="shared" si="34"/>
        <v>8084.0775750000003</v>
      </c>
      <c r="E126" s="455">
        <f t="shared" si="34"/>
        <v>8002.7375750000001</v>
      </c>
      <c r="F126" s="455">
        <f t="shared" si="34"/>
        <v>234.76757500000002</v>
      </c>
      <c r="G126" s="455">
        <f t="shared" si="34"/>
        <v>234.15752500000002</v>
      </c>
      <c r="H126" s="455">
        <f t="shared" si="35"/>
        <v>886320.29527779983</v>
      </c>
      <c r="I126" s="455">
        <f t="shared" si="35"/>
        <v>695113.69274349988</v>
      </c>
      <c r="J126" s="455">
        <f t="shared" si="35"/>
        <v>76292.716610749994</v>
      </c>
      <c r="K126" s="455">
        <f t="shared" si="35"/>
        <v>882271.6179999999</v>
      </c>
      <c r="L126" s="455">
        <f t="shared" si="35"/>
        <v>697922.27299999993</v>
      </c>
      <c r="M126" s="455">
        <f t="shared" si="35"/>
        <v>34110.253999999994</v>
      </c>
      <c r="N126" s="18">
        <f t="shared" si="29"/>
        <v>133.17757500000062</v>
      </c>
      <c r="O126" s="18">
        <f t="shared" si="30"/>
        <v>131.83757500000047</v>
      </c>
      <c r="P126" s="18">
        <f t="shared" si="31"/>
        <v>3.8675750000000164</v>
      </c>
      <c r="Q126" s="18">
        <f t="shared" si="32"/>
        <v>3.8575250000000096</v>
      </c>
      <c r="R126" s="24">
        <f t="shared" si="17"/>
        <v>7905.7310777999228</v>
      </c>
      <c r="S126" s="18">
        <f t="shared" si="18"/>
        <v>86.765999999945052</v>
      </c>
      <c r="T126" s="18">
        <f t="shared" si="24"/>
        <v>1554.2554999999702</v>
      </c>
      <c r="U126" s="18">
        <f t="shared" si="25"/>
        <v>127.54749999999331</v>
      </c>
      <c r="AD126" s="443"/>
      <c r="AE126" s="444"/>
      <c r="AF126" s="444"/>
      <c r="AG126" s="444"/>
      <c r="AH126" s="444"/>
      <c r="AI126" s="453"/>
      <c r="AJ126" s="453"/>
    </row>
    <row r="127" spans="1:36" ht="13.2" customHeight="1" x14ac:dyDescent="0.25">
      <c r="A127" s="454">
        <v>45748</v>
      </c>
      <c r="B127" s="310">
        <f t="shared" si="27"/>
        <v>2025</v>
      </c>
      <c r="C127" s="1" t="str">
        <f t="shared" si="23"/>
        <v>Q2</v>
      </c>
      <c r="D127" s="455">
        <f t="shared" si="34"/>
        <v>8103.5991750000003</v>
      </c>
      <c r="E127" s="455">
        <f t="shared" si="34"/>
        <v>8047.5762500000001</v>
      </c>
      <c r="F127" s="455">
        <f t="shared" si="34"/>
        <v>237.004425</v>
      </c>
      <c r="G127" s="455">
        <f t="shared" si="34"/>
        <v>236.49605</v>
      </c>
      <c r="H127" s="455">
        <f t="shared" si="35"/>
        <v>886320.29527779983</v>
      </c>
      <c r="I127" s="455">
        <f t="shared" si="35"/>
        <v>695113.69274349988</v>
      </c>
      <c r="J127" s="455">
        <f t="shared" si="35"/>
        <v>76292.716610749994</v>
      </c>
      <c r="K127" s="455">
        <f t="shared" si="35"/>
        <v>885029.21499999997</v>
      </c>
      <c r="L127" s="455">
        <f t="shared" si="35"/>
        <v>701758.49099999992</v>
      </c>
      <c r="M127" s="455">
        <f t="shared" si="35"/>
        <v>34364.521999999997</v>
      </c>
      <c r="N127" s="18">
        <f t="shared" si="29"/>
        <v>133.49917499999992</v>
      </c>
      <c r="O127" s="18">
        <f t="shared" si="30"/>
        <v>132.57625000000007</v>
      </c>
      <c r="P127" s="18">
        <f t="shared" si="31"/>
        <v>3.9044250000000034</v>
      </c>
      <c r="Q127" s="18">
        <f t="shared" si="32"/>
        <v>3.8960500000000025</v>
      </c>
      <c r="R127" s="24">
        <f t="shared" si="17"/>
        <v>7905.7310777999228</v>
      </c>
      <c r="S127" s="18">
        <f t="shared" si="18"/>
        <v>2757.5970000000671</v>
      </c>
      <c r="T127" s="18">
        <f t="shared" si="24"/>
        <v>3836.2179999999935</v>
      </c>
      <c r="U127" s="18">
        <f t="shared" si="25"/>
        <v>254.26800000000367</v>
      </c>
      <c r="AD127" s="443"/>
      <c r="AE127" s="444"/>
      <c r="AF127" s="444"/>
      <c r="AG127" s="444"/>
      <c r="AH127" s="444"/>
      <c r="AI127" s="453"/>
      <c r="AJ127" s="453"/>
    </row>
    <row r="128" spans="1:36" ht="13.2" customHeight="1" x14ac:dyDescent="0.25">
      <c r="A128" s="454">
        <v>45778</v>
      </c>
      <c r="B128" s="310">
        <f t="shared" si="27"/>
        <v>2025</v>
      </c>
      <c r="C128" s="1" t="str">
        <f t="shared" si="23"/>
        <v>Q2</v>
      </c>
      <c r="D128" s="455">
        <f t="shared" si="34"/>
        <v>8137.7619750000003</v>
      </c>
      <c r="E128" s="455">
        <f t="shared" si="34"/>
        <v>8133.7966500000002</v>
      </c>
      <c r="F128" s="455">
        <f t="shared" si="34"/>
        <v>236.69940000000003</v>
      </c>
      <c r="G128" s="455">
        <f t="shared" si="34"/>
        <v>237.004425</v>
      </c>
      <c r="H128" s="455">
        <f t="shared" si="35"/>
        <v>886320.29527779983</v>
      </c>
      <c r="I128" s="455">
        <f t="shared" si="35"/>
        <v>695113.69274349988</v>
      </c>
      <c r="J128" s="455">
        <f t="shared" si="35"/>
        <v>76292.716610749994</v>
      </c>
      <c r="K128" s="455">
        <f t="shared" si="35"/>
        <v>885029.21499999997</v>
      </c>
      <c r="L128" s="455">
        <f t="shared" si="35"/>
        <v>701758.49099999992</v>
      </c>
      <c r="M128" s="455">
        <f t="shared" si="35"/>
        <v>34364.521999999997</v>
      </c>
      <c r="N128" s="18">
        <f t="shared" si="29"/>
        <v>134.06197500000053</v>
      </c>
      <c r="O128" s="18">
        <f t="shared" si="30"/>
        <v>133.99665000000005</v>
      </c>
      <c r="P128" s="18">
        <f t="shared" si="31"/>
        <v>3.8994000000000142</v>
      </c>
      <c r="Q128" s="18">
        <f t="shared" si="32"/>
        <v>3.9044250000000034</v>
      </c>
      <c r="R128" s="24">
        <f t="shared" si="17"/>
        <v>7905.7310777999228</v>
      </c>
      <c r="S128" s="18">
        <f t="shared" si="18"/>
        <v>2757.5970000000671</v>
      </c>
      <c r="T128" s="18">
        <f t="shared" si="24"/>
        <v>3836.2179999999935</v>
      </c>
      <c r="U128" s="18">
        <f t="shared" si="25"/>
        <v>254.26800000000367</v>
      </c>
      <c r="AD128" s="443"/>
      <c r="AE128" s="444"/>
      <c r="AF128" s="444"/>
      <c r="AG128" s="444"/>
      <c r="AH128" s="444"/>
      <c r="AI128" s="453"/>
      <c r="AJ128" s="453"/>
    </row>
    <row r="129" spans="1:36" ht="13.2" customHeight="1" x14ac:dyDescent="0.25">
      <c r="A129" s="454">
        <v>45809</v>
      </c>
      <c r="B129" s="310">
        <f t="shared" si="27"/>
        <v>2025</v>
      </c>
      <c r="C129" s="1" t="str">
        <f t="shared" si="23"/>
        <v>Q2</v>
      </c>
      <c r="D129" s="455">
        <f t="shared" si="34"/>
        <v>8166.3326500000003</v>
      </c>
      <c r="E129" s="455">
        <f t="shared" si="34"/>
        <v>8228.0493750000005</v>
      </c>
      <c r="F129" s="455">
        <f t="shared" si="34"/>
        <v>234.46254999999999</v>
      </c>
      <c r="G129" s="455">
        <f t="shared" si="34"/>
        <v>235.88600000000002</v>
      </c>
      <c r="H129" s="455">
        <f t="shared" si="35"/>
        <v>886320.29527779983</v>
      </c>
      <c r="I129" s="455">
        <f t="shared" si="35"/>
        <v>695113.69274349988</v>
      </c>
      <c r="J129" s="455">
        <f t="shared" si="35"/>
        <v>76292.716610749994</v>
      </c>
      <c r="K129" s="455">
        <f t="shared" si="35"/>
        <v>885029.21499999997</v>
      </c>
      <c r="L129" s="455">
        <f t="shared" si="35"/>
        <v>701758.49099999992</v>
      </c>
      <c r="M129" s="455">
        <f t="shared" si="35"/>
        <v>34364.521999999997</v>
      </c>
      <c r="N129" s="18">
        <f t="shared" si="29"/>
        <v>134.5326500000001</v>
      </c>
      <c r="O129" s="18">
        <f t="shared" si="30"/>
        <v>135.54937500000051</v>
      </c>
      <c r="P129" s="18">
        <f t="shared" si="31"/>
        <v>3.8625499999999988</v>
      </c>
      <c r="Q129" s="18">
        <f t="shared" si="32"/>
        <v>3.8860000000000241</v>
      </c>
      <c r="R129" s="24">
        <f t="shared" si="17"/>
        <v>7905.7310777999228</v>
      </c>
      <c r="S129" s="18">
        <f t="shared" si="18"/>
        <v>2757.5970000000671</v>
      </c>
      <c r="T129" s="18">
        <f t="shared" si="24"/>
        <v>3836.2179999999935</v>
      </c>
      <c r="U129" s="18">
        <f t="shared" si="25"/>
        <v>254.26800000000367</v>
      </c>
      <c r="AD129" s="443"/>
      <c r="AE129" s="444"/>
      <c r="AF129" s="444"/>
      <c r="AG129" s="444"/>
      <c r="AH129" s="444"/>
      <c r="AI129" s="453"/>
      <c r="AJ129" s="453"/>
    </row>
    <row r="130" spans="1:36" ht="13.2" customHeight="1" x14ac:dyDescent="0.25">
      <c r="A130" s="454">
        <v>45839</v>
      </c>
      <c r="B130" s="310">
        <f t="shared" si="27"/>
        <v>2025</v>
      </c>
      <c r="C130" s="1" t="str">
        <f t="shared" si="23"/>
        <v>Q3</v>
      </c>
      <c r="D130" s="455">
        <f t="shared" si="34"/>
        <v>8193.9882500000003</v>
      </c>
      <c r="E130" s="455">
        <f t="shared" si="34"/>
        <v>8285.9024499999996</v>
      </c>
      <c r="F130" s="455">
        <f t="shared" si="34"/>
        <v>231.31062500000002</v>
      </c>
      <c r="G130" s="455">
        <f t="shared" si="34"/>
        <v>233.24245000000002</v>
      </c>
      <c r="H130" s="455">
        <f t="shared" si="35"/>
        <v>886320.29527779983</v>
      </c>
      <c r="I130" s="455">
        <f t="shared" si="35"/>
        <v>695113.69274349988</v>
      </c>
      <c r="J130" s="455">
        <f t="shared" si="35"/>
        <v>76292.716610749994</v>
      </c>
      <c r="K130" s="455">
        <f t="shared" si="35"/>
        <v>885765.78499999992</v>
      </c>
      <c r="L130" s="455">
        <f t="shared" si="35"/>
        <v>704628.08699999994</v>
      </c>
      <c r="M130" s="455">
        <f t="shared" si="35"/>
        <v>34200.054999999993</v>
      </c>
      <c r="N130" s="18">
        <f t="shared" si="29"/>
        <v>134.98825000000033</v>
      </c>
      <c r="O130" s="18">
        <f t="shared" si="30"/>
        <v>136.50244999999995</v>
      </c>
      <c r="P130" s="18">
        <f t="shared" si="31"/>
        <v>3.8106250000000159</v>
      </c>
      <c r="Q130" s="18">
        <f t="shared" si="32"/>
        <v>3.8424500000000137</v>
      </c>
      <c r="R130" s="24">
        <f t="shared" si="17"/>
        <v>7905.7310777999228</v>
      </c>
      <c r="S130" s="18">
        <f t="shared" si="18"/>
        <v>736.56999999994878</v>
      </c>
      <c r="T130" s="18">
        <f t="shared" si="24"/>
        <v>2869.5960000000196</v>
      </c>
      <c r="U130" s="18">
        <f t="shared" si="25"/>
        <v>-164.46700000000419</v>
      </c>
      <c r="AD130" s="443"/>
      <c r="AE130" s="444"/>
      <c r="AF130" s="444"/>
      <c r="AG130" s="444"/>
      <c r="AH130" s="444"/>
      <c r="AI130" s="453"/>
      <c r="AJ130" s="453"/>
    </row>
    <row r="131" spans="1:36" ht="13.2" customHeight="1" x14ac:dyDescent="0.25">
      <c r="A131" s="454">
        <v>45870</v>
      </c>
      <c r="B131" s="310">
        <f t="shared" si="27"/>
        <v>2025</v>
      </c>
      <c r="C131" s="1" t="str">
        <f t="shared" si="23"/>
        <v>Q3</v>
      </c>
      <c r="D131" s="455">
        <f t="shared" si="34"/>
        <v>8202.0205750000005</v>
      </c>
      <c r="E131" s="455">
        <f t="shared" si="34"/>
        <v>8283.6656000000003</v>
      </c>
      <c r="F131" s="455">
        <f t="shared" si="34"/>
        <v>228.87042500000001</v>
      </c>
      <c r="G131" s="455">
        <f t="shared" si="34"/>
        <v>229.27712500000001</v>
      </c>
      <c r="H131" s="455">
        <f t="shared" si="35"/>
        <v>886320.29527779983</v>
      </c>
      <c r="I131" s="455">
        <f t="shared" si="35"/>
        <v>695113.69274349988</v>
      </c>
      <c r="J131" s="455">
        <f t="shared" si="35"/>
        <v>76292.716610749994</v>
      </c>
      <c r="K131" s="455">
        <f t="shared" si="35"/>
        <v>885765.78499999992</v>
      </c>
      <c r="L131" s="455">
        <f t="shared" si="35"/>
        <v>704628.08699999994</v>
      </c>
      <c r="M131" s="455">
        <f t="shared" si="35"/>
        <v>34200.054999999993</v>
      </c>
      <c r="N131" s="18">
        <f t="shared" si="29"/>
        <v>135.12057500000083</v>
      </c>
      <c r="O131" s="18">
        <f t="shared" si="30"/>
        <v>136.46560000000045</v>
      </c>
      <c r="P131" s="18">
        <f t="shared" si="31"/>
        <v>3.7704250000000172</v>
      </c>
      <c r="Q131" s="18">
        <f t="shared" si="32"/>
        <v>3.7771250000000123</v>
      </c>
      <c r="R131" s="24">
        <f t="shared" si="17"/>
        <v>7905.7310777999228</v>
      </c>
      <c r="S131" s="18">
        <f t="shared" si="18"/>
        <v>736.56999999994878</v>
      </c>
      <c r="T131" s="18">
        <f t="shared" si="24"/>
        <v>2869.5960000000196</v>
      </c>
      <c r="U131" s="18">
        <f t="shared" si="25"/>
        <v>-164.46700000000419</v>
      </c>
      <c r="AD131" s="443"/>
      <c r="AE131" s="444"/>
      <c r="AF131" s="444"/>
      <c r="AG131" s="444"/>
      <c r="AH131" s="444"/>
      <c r="AI131" s="453"/>
      <c r="AJ131" s="453"/>
    </row>
    <row r="132" spans="1:36" ht="13.2" customHeight="1" x14ac:dyDescent="0.25">
      <c r="A132" s="454">
        <v>45901</v>
      </c>
      <c r="B132" s="310">
        <f t="shared" si="27"/>
        <v>2025</v>
      </c>
      <c r="C132" s="1" t="str">
        <f t="shared" si="23"/>
        <v>Q3</v>
      </c>
      <c r="D132" s="455">
        <f t="shared" si="34"/>
        <v>8221.4405000000006</v>
      </c>
      <c r="E132" s="455">
        <f t="shared" si="34"/>
        <v>8259.6703000000016</v>
      </c>
      <c r="F132" s="455">
        <f t="shared" si="34"/>
        <v>230.70057500000001</v>
      </c>
      <c r="G132" s="455">
        <f t="shared" si="34"/>
        <v>229.68382500000001</v>
      </c>
      <c r="H132" s="455">
        <f t="shared" si="35"/>
        <v>886320.29527779983</v>
      </c>
      <c r="I132" s="455">
        <f t="shared" si="35"/>
        <v>695113.69274349988</v>
      </c>
      <c r="J132" s="455">
        <f t="shared" si="35"/>
        <v>76292.716610749994</v>
      </c>
      <c r="K132" s="455">
        <f t="shared" si="35"/>
        <v>885765.78499999992</v>
      </c>
      <c r="L132" s="455">
        <f t="shared" si="35"/>
        <v>704628.08699999994</v>
      </c>
      <c r="M132" s="455">
        <f t="shared" si="35"/>
        <v>34200.054999999993</v>
      </c>
      <c r="N132" s="18">
        <f t="shared" si="29"/>
        <v>135.44050000000061</v>
      </c>
      <c r="O132" s="18">
        <f t="shared" si="30"/>
        <v>136.07030000000123</v>
      </c>
      <c r="P132" s="18">
        <f t="shared" si="31"/>
        <v>3.8005750000000091</v>
      </c>
      <c r="Q132" s="18">
        <f t="shared" si="32"/>
        <v>3.7838250000000073</v>
      </c>
      <c r="R132" s="24">
        <f t="shared" si="17"/>
        <v>7905.7310777999228</v>
      </c>
      <c r="S132" s="18">
        <f t="shared" si="18"/>
        <v>736.56999999994878</v>
      </c>
      <c r="T132" s="18">
        <f t="shared" si="24"/>
        <v>2869.5960000000196</v>
      </c>
      <c r="U132" s="18">
        <f t="shared" si="25"/>
        <v>-164.46700000000419</v>
      </c>
      <c r="AD132" s="443"/>
      <c r="AE132" s="444"/>
      <c r="AF132" s="444"/>
      <c r="AG132" s="444"/>
      <c r="AH132" s="444"/>
      <c r="AI132" s="453"/>
      <c r="AJ132" s="453"/>
    </row>
    <row r="133" spans="1:36" ht="13.2" customHeight="1" x14ac:dyDescent="0.25">
      <c r="A133" s="454">
        <v>45931</v>
      </c>
      <c r="B133" s="310">
        <f t="shared" si="27"/>
        <v>2025</v>
      </c>
      <c r="C133" s="1" t="str">
        <f t="shared" si="23"/>
        <v>Q4</v>
      </c>
      <c r="D133" s="455">
        <f t="shared" si="34"/>
        <v>8229.5745000000006</v>
      </c>
      <c r="E133" s="455">
        <f t="shared" si="34"/>
        <v>8245.3341250000012</v>
      </c>
      <c r="F133" s="455">
        <f t="shared" si="34"/>
        <v>232.53072499999999</v>
      </c>
      <c r="G133" s="455">
        <f t="shared" si="34"/>
        <v>229.68382500000001</v>
      </c>
      <c r="H133" s="455">
        <f t="shared" si="35"/>
        <v>886320.29527779983</v>
      </c>
      <c r="I133" s="455">
        <f t="shared" si="35"/>
        <v>695113.69274349988</v>
      </c>
      <c r="J133" s="455">
        <f t="shared" si="35"/>
        <v>76292.716610749994</v>
      </c>
      <c r="K133" s="455">
        <f t="shared" si="35"/>
        <v>890124.51566799986</v>
      </c>
      <c r="L133" s="455">
        <f t="shared" si="35"/>
        <v>702635.32965749991</v>
      </c>
      <c r="M133" s="455">
        <f t="shared" si="35"/>
        <v>34288.550858499999</v>
      </c>
      <c r="N133" s="18">
        <f t="shared" si="29"/>
        <v>135.57450000000063</v>
      </c>
      <c r="O133" s="18">
        <f t="shared" si="30"/>
        <v>135.83412500000122</v>
      </c>
      <c r="P133" s="18">
        <f t="shared" si="31"/>
        <v>3.830725000000001</v>
      </c>
      <c r="Q133" s="18">
        <f t="shared" si="32"/>
        <v>3.7838250000000073</v>
      </c>
      <c r="R133" s="24">
        <f t="shared" si="17"/>
        <v>7905.7310777999228</v>
      </c>
      <c r="S133" s="18">
        <f t="shared" si="18"/>
        <v>4358.7306679999456</v>
      </c>
      <c r="T133" s="18">
        <f t="shared" si="24"/>
        <v>-1992.7573425000301</v>
      </c>
      <c r="U133" s="18">
        <f t="shared" si="25"/>
        <v>88.495858500005852</v>
      </c>
      <c r="AD133" s="443"/>
      <c r="AE133" s="444"/>
      <c r="AF133" s="444"/>
      <c r="AG133" s="444"/>
      <c r="AH133" s="444"/>
      <c r="AI133" s="453"/>
      <c r="AJ133" s="453"/>
    </row>
    <row r="134" spans="1:36" ht="13.2" customHeight="1" x14ac:dyDescent="0.25">
      <c r="A134" s="454">
        <v>45962</v>
      </c>
      <c r="B134" s="310">
        <f t="shared" si="27"/>
        <v>2025</v>
      </c>
      <c r="C134" s="1" t="str">
        <f t="shared" si="23"/>
        <v>Q4</v>
      </c>
      <c r="D134" s="455">
        <f t="shared" si="34"/>
        <v>8238.5218999999997</v>
      </c>
      <c r="E134" s="455">
        <f t="shared" si="34"/>
        <v>8236.8950999999997</v>
      </c>
      <c r="F134" s="455">
        <f t="shared" si="34"/>
        <v>232.53072499999999</v>
      </c>
      <c r="G134" s="455">
        <f t="shared" si="34"/>
        <v>229.68382500000001</v>
      </c>
      <c r="H134" s="455">
        <f t="shared" si="35"/>
        <v>886320.29527779983</v>
      </c>
      <c r="I134" s="455">
        <f t="shared" si="35"/>
        <v>695113.69274349988</v>
      </c>
      <c r="J134" s="455">
        <f t="shared" si="35"/>
        <v>76292.716610749994</v>
      </c>
      <c r="K134" s="455">
        <f t="shared" si="35"/>
        <v>890124.51566799986</v>
      </c>
      <c r="L134" s="455">
        <f t="shared" si="35"/>
        <v>702635.32965749991</v>
      </c>
      <c r="M134" s="455">
        <f t="shared" si="35"/>
        <v>34288.550858499999</v>
      </c>
      <c r="N134" s="18">
        <f t="shared" si="29"/>
        <v>135.72189999999955</v>
      </c>
      <c r="O134" s="18">
        <f t="shared" si="30"/>
        <v>135.69509999999991</v>
      </c>
      <c r="P134" s="18">
        <f t="shared" si="31"/>
        <v>3.830725000000001</v>
      </c>
      <c r="Q134" s="18">
        <f t="shared" si="32"/>
        <v>3.7838250000000073</v>
      </c>
      <c r="R134" s="24">
        <f t="shared" si="17"/>
        <v>7905.7310777999228</v>
      </c>
      <c r="S134" s="18">
        <f t="shared" si="18"/>
        <v>4358.7306679999456</v>
      </c>
      <c r="T134" s="18">
        <f t="shared" si="24"/>
        <v>-1992.7573425000301</v>
      </c>
      <c r="U134" s="18">
        <f t="shared" si="25"/>
        <v>88.495858500005852</v>
      </c>
      <c r="AD134" s="443"/>
      <c r="AE134" s="444"/>
      <c r="AF134" s="444"/>
      <c r="AG134" s="444"/>
      <c r="AH134" s="444"/>
      <c r="AI134" s="453"/>
      <c r="AJ134" s="453"/>
    </row>
    <row r="135" spans="1:36" ht="13.2" customHeight="1" x14ac:dyDescent="0.25">
      <c r="A135" s="454">
        <v>45992</v>
      </c>
      <c r="B135" s="310">
        <f t="shared" si="27"/>
        <v>2025</v>
      </c>
      <c r="C135" s="1" t="str">
        <f t="shared" si="23"/>
        <v>Q4</v>
      </c>
      <c r="D135" s="455">
        <f t="shared" si="34"/>
        <v>8240.8604250000008</v>
      </c>
      <c r="E135" s="455">
        <f t="shared" si="34"/>
        <v>8232.9297750000005</v>
      </c>
      <c r="F135" s="455">
        <f t="shared" si="34"/>
        <v>230.80225000000002</v>
      </c>
      <c r="G135" s="455">
        <f t="shared" si="34"/>
        <v>229.58215000000001</v>
      </c>
      <c r="H135" s="455">
        <f t="shared" si="35"/>
        <v>886320.29527779983</v>
      </c>
      <c r="I135" s="455">
        <f t="shared" si="35"/>
        <v>695113.69274349988</v>
      </c>
      <c r="J135" s="455">
        <f t="shared" si="35"/>
        <v>76292.716610749994</v>
      </c>
      <c r="K135" s="455">
        <f t="shared" si="35"/>
        <v>890124.51566799986</v>
      </c>
      <c r="L135" s="455">
        <f t="shared" si="35"/>
        <v>702635.32965749991</v>
      </c>
      <c r="M135" s="455">
        <f t="shared" si="35"/>
        <v>34288.550858499999</v>
      </c>
      <c r="N135" s="18">
        <f t="shared" si="29"/>
        <v>135.7604250000004</v>
      </c>
      <c r="O135" s="18">
        <f t="shared" si="30"/>
        <v>135.62977500000034</v>
      </c>
      <c r="P135" s="18">
        <f t="shared" si="31"/>
        <v>3.802250000000015</v>
      </c>
      <c r="Q135" s="18">
        <f t="shared" si="32"/>
        <v>3.7821500000000015</v>
      </c>
      <c r="R135" s="24">
        <f t="shared" si="17"/>
        <v>7905.7310777999228</v>
      </c>
      <c r="S135" s="18">
        <f t="shared" si="18"/>
        <v>4358.7306679999456</v>
      </c>
      <c r="T135" s="18">
        <f t="shared" si="24"/>
        <v>-1992.7573425000301</v>
      </c>
      <c r="U135" s="18">
        <f t="shared" si="25"/>
        <v>88.495858500005852</v>
      </c>
      <c r="AD135" s="443"/>
      <c r="AE135" s="444"/>
      <c r="AF135" s="444"/>
      <c r="AG135" s="444"/>
      <c r="AH135" s="444"/>
      <c r="AI135" s="453"/>
      <c r="AJ135" s="453"/>
    </row>
    <row r="136" spans="1:36" ht="13.2" customHeight="1" x14ac:dyDescent="0.25">
      <c r="A136" s="454">
        <v>46023</v>
      </c>
      <c r="B136" s="310">
        <f t="shared" si="27"/>
        <v>2026</v>
      </c>
      <c r="C136" s="1" t="str">
        <f t="shared" si="23"/>
        <v>Q1</v>
      </c>
      <c r="D136" s="455">
        <f t="shared" ref="D136:G147" si="36">D124*(1+$AE$18)</f>
        <v>8161.8862497374994</v>
      </c>
      <c r="E136" s="455">
        <f t="shared" si="36"/>
        <v>8131.7454331312492</v>
      </c>
      <c r="F136" s="455">
        <f t="shared" si="36"/>
        <v>234.85148229375</v>
      </c>
      <c r="G136" s="455">
        <f t="shared" si="36"/>
        <v>235.77730942499997</v>
      </c>
      <c r="H136" s="455">
        <f t="shared" ref="H136:M147" si="37">H124*(1+$AE$12)</f>
        <v>894297.17793529993</v>
      </c>
      <c r="I136" s="455">
        <f t="shared" si="37"/>
        <v>701369.71597819135</v>
      </c>
      <c r="J136" s="455">
        <f t="shared" si="37"/>
        <v>76979.351060246743</v>
      </c>
      <c r="K136" s="455">
        <f t="shared" si="37"/>
        <v>890212.06256199977</v>
      </c>
      <c r="L136" s="455">
        <f t="shared" si="37"/>
        <v>704203.57345699985</v>
      </c>
      <c r="M136" s="455">
        <f t="shared" si="37"/>
        <v>34417.246285999987</v>
      </c>
      <c r="N136" s="18">
        <f t="shared" si="29"/>
        <v>94.788399737499276</v>
      </c>
      <c r="O136" s="18">
        <f t="shared" si="30"/>
        <v>94.438358131249515</v>
      </c>
      <c r="P136" s="18">
        <f t="shared" si="31"/>
        <v>2.7274572937499784</v>
      </c>
      <c r="Q136" s="18">
        <f t="shared" si="32"/>
        <v>2.7382094249999795</v>
      </c>
      <c r="R136" s="24">
        <f t="shared" si="17"/>
        <v>7976.8826575001003</v>
      </c>
      <c r="S136" s="18">
        <f t="shared" si="18"/>
        <v>87.546893999911845</v>
      </c>
      <c r="T136" s="18">
        <f t="shared" si="24"/>
        <v>1568.2437994999345</v>
      </c>
      <c r="U136" s="18">
        <f t="shared" si="25"/>
        <v>128.695427499988</v>
      </c>
      <c r="AD136" s="443"/>
      <c r="AE136" s="444"/>
      <c r="AF136" s="444"/>
      <c r="AG136" s="444"/>
      <c r="AH136" s="444"/>
      <c r="AI136" s="453"/>
      <c r="AJ136" s="453"/>
    </row>
    <row r="137" spans="1:36" ht="13.2" customHeight="1" x14ac:dyDescent="0.25">
      <c r="A137" s="454">
        <v>46054</v>
      </c>
      <c r="B137" s="310">
        <f t="shared" si="27"/>
        <v>2026</v>
      </c>
      <c r="C137" s="1" t="str">
        <f t="shared" si="23"/>
        <v>Q1</v>
      </c>
      <c r="D137" s="455">
        <f t="shared" si="36"/>
        <v>8159.62311675</v>
      </c>
      <c r="E137" s="455">
        <f t="shared" si="36"/>
        <v>8100.0615713062507</v>
      </c>
      <c r="F137" s="455">
        <f t="shared" si="36"/>
        <v>235.9830487875</v>
      </c>
      <c r="G137" s="455">
        <f t="shared" si="36"/>
        <v>236.70313655624997</v>
      </c>
      <c r="H137" s="455">
        <f t="shared" si="37"/>
        <v>894297.17793529993</v>
      </c>
      <c r="I137" s="455">
        <f t="shared" si="37"/>
        <v>701369.71597819135</v>
      </c>
      <c r="J137" s="455">
        <f t="shared" si="37"/>
        <v>76979.351060246743</v>
      </c>
      <c r="K137" s="455">
        <f t="shared" si="37"/>
        <v>890212.06256199977</v>
      </c>
      <c r="L137" s="455">
        <f t="shared" si="37"/>
        <v>704203.57345699985</v>
      </c>
      <c r="M137" s="455">
        <f t="shared" si="37"/>
        <v>34417.246285999987</v>
      </c>
      <c r="N137" s="18">
        <f t="shared" si="29"/>
        <v>94.762116749999223</v>
      </c>
      <c r="O137" s="18">
        <f t="shared" si="30"/>
        <v>94.070396306249677</v>
      </c>
      <c r="P137" s="18">
        <f t="shared" si="31"/>
        <v>2.7405987874999767</v>
      </c>
      <c r="Q137" s="18">
        <f t="shared" si="32"/>
        <v>2.7489615562499807</v>
      </c>
      <c r="R137" s="24">
        <f t="shared" ref="R137:R147" si="38">H137-H125</f>
        <v>7976.8826575001003</v>
      </c>
      <c r="S137" s="18">
        <f t="shared" ref="S137:S147" si="39">K137-K134</f>
        <v>87.546893999911845</v>
      </c>
      <c r="T137" s="18">
        <f t="shared" si="24"/>
        <v>1568.2437994999345</v>
      </c>
      <c r="U137" s="18">
        <f t="shared" si="25"/>
        <v>128.695427499988</v>
      </c>
      <c r="AD137" s="443"/>
      <c r="AE137" s="444"/>
      <c r="AF137" s="444"/>
      <c r="AG137" s="444"/>
      <c r="AH137" s="444"/>
      <c r="AI137" s="453"/>
      <c r="AJ137" s="453"/>
    </row>
    <row r="138" spans="1:36" ht="13.2" customHeight="1" x14ac:dyDescent="0.25">
      <c r="A138" s="454">
        <v>46082</v>
      </c>
      <c r="B138" s="310">
        <f t="shared" si="27"/>
        <v>2026</v>
      </c>
      <c r="C138" s="1" t="str">
        <f t="shared" si="23"/>
        <v>Q1</v>
      </c>
      <c r="D138" s="455">
        <f t="shared" si="36"/>
        <v>8179.0654865062497</v>
      </c>
      <c r="E138" s="455">
        <f t="shared" si="36"/>
        <v>8096.7697415062494</v>
      </c>
      <c r="F138" s="455">
        <f t="shared" si="36"/>
        <v>237.52609400624999</v>
      </c>
      <c r="G138" s="455">
        <f t="shared" si="36"/>
        <v>236.90887591875</v>
      </c>
      <c r="H138" s="455">
        <f t="shared" si="37"/>
        <v>894297.17793529993</v>
      </c>
      <c r="I138" s="455">
        <f t="shared" si="37"/>
        <v>701369.71597819135</v>
      </c>
      <c r="J138" s="455">
        <f t="shared" si="37"/>
        <v>76979.351060246743</v>
      </c>
      <c r="K138" s="455">
        <f t="shared" si="37"/>
        <v>890212.06256199977</v>
      </c>
      <c r="L138" s="455">
        <f t="shared" si="37"/>
        <v>704203.57345699985</v>
      </c>
      <c r="M138" s="455">
        <f t="shared" si="37"/>
        <v>34417.246285999987</v>
      </c>
      <c r="N138" s="18">
        <f t="shared" si="29"/>
        <v>94.987911506249475</v>
      </c>
      <c r="O138" s="18">
        <f t="shared" si="30"/>
        <v>94.032166506249268</v>
      </c>
      <c r="P138" s="18">
        <f t="shared" si="31"/>
        <v>2.7585190062499692</v>
      </c>
      <c r="Q138" s="18">
        <f t="shared" si="32"/>
        <v>2.7513509187499778</v>
      </c>
      <c r="R138" s="24">
        <f t="shared" si="38"/>
        <v>7976.8826575001003</v>
      </c>
      <c r="S138" s="18">
        <f t="shared" si="39"/>
        <v>87.546893999911845</v>
      </c>
      <c r="T138" s="18">
        <f t="shared" si="24"/>
        <v>1568.2437994999345</v>
      </c>
      <c r="U138" s="18">
        <f t="shared" si="25"/>
        <v>128.695427499988</v>
      </c>
      <c r="AD138" s="443"/>
      <c r="AE138" s="444"/>
      <c r="AF138" s="444"/>
      <c r="AG138" s="444"/>
      <c r="AH138" s="444"/>
      <c r="AI138" s="453"/>
      <c r="AJ138" s="453"/>
    </row>
    <row r="139" spans="1:36" ht="13.2" customHeight="1" x14ac:dyDescent="0.25">
      <c r="A139" s="454">
        <v>46113</v>
      </c>
      <c r="B139" s="310">
        <f t="shared" ref="B139:B147" si="40">YEAR(A139)</f>
        <v>2026</v>
      </c>
      <c r="C139" s="1" t="str">
        <f t="shared" si="23"/>
        <v>Q2</v>
      </c>
      <c r="D139" s="455">
        <f t="shared" si="36"/>
        <v>8198.8164653062504</v>
      </c>
      <c r="E139" s="455">
        <f t="shared" si="36"/>
        <v>8142.1352709374996</v>
      </c>
      <c r="F139" s="455">
        <f t="shared" si="36"/>
        <v>239.78922699374999</v>
      </c>
      <c r="G139" s="455">
        <f t="shared" si="36"/>
        <v>239.27487858749998</v>
      </c>
      <c r="H139" s="455">
        <f t="shared" si="37"/>
        <v>894297.17793529993</v>
      </c>
      <c r="I139" s="455">
        <f t="shared" si="37"/>
        <v>701369.71597819135</v>
      </c>
      <c r="J139" s="455">
        <f t="shared" si="37"/>
        <v>76979.351060246743</v>
      </c>
      <c r="K139" s="455">
        <f t="shared" si="37"/>
        <v>892994.47793499986</v>
      </c>
      <c r="L139" s="455">
        <f t="shared" si="37"/>
        <v>708074.31741899985</v>
      </c>
      <c r="M139" s="455">
        <f t="shared" si="37"/>
        <v>34673.802697999992</v>
      </c>
      <c r="N139" s="18">
        <f t="shared" si="29"/>
        <v>95.217290306250106</v>
      </c>
      <c r="O139" s="18">
        <f t="shared" si="30"/>
        <v>94.559020937499554</v>
      </c>
      <c r="P139" s="18">
        <f t="shared" si="31"/>
        <v>2.7848019937499942</v>
      </c>
      <c r="Q139" s="18">
        <f t="shared" si="32"/>
        <v>2.7788285874999872</v>
      </c>
      <c r="R139" s="24">
        <f t="shared" si="38"/>
        <v>7976.8826575001003</v>
      </c>
      <c r="S139" s="18">
        <f t="shared" si="39"/>
        <v>2782.4153730000835</v>
      </c>
      <c r="T139" s="18">
        <f t="shared" si="24"/>
        <v>3870.7439620000077</v>
      </c>
      <c r="U139" s="18">
        <f t="shared" si="25"/>
        <v>256.55641200000537</v>
      </c>
      <c r="AD139" s="443"/>
      <c r="AE139" s="444"/>
      <c r="AF139" s="444"/>
      <c r="AG139" s="444"/>
      <c r="AH139" s="444"/>
      <c r="AI139" s="453"/>
      <c r="AJ139" s="453"/>
    </row>
    <row r="140" spans="1:36" ht="13.2" customHeight="1" x14ac:dyDescent="0.25">
      <c r="A140" s="454">
        <v>46143</v>
      </c>
      <c r="B140" s="310">
        <f t="shared" si="40"/>
        <v>2026</v>
      </c>
      <c r="C140" s="1" t="str">
        <f t="shared" si="23"/>
        <v>Q2</v>
      </c>
      <c r="D140" s="455">
        <f t="shared" si="36"/>
        <v>8233.3806782062493</v>
      </c>
      <c r="E140" s="455">
        <f t="shared" si="36"/>
        <v>8229.3687606374988</v>
      </c>
      <c r="F140" s="455">
        <f t="shared" si="36"/>
        <v>239.48061795000001</v>
      </c>
      <c r="G140" s="455">
        <f t="shared" si="36"/>
        <v>239.78922699374999</v>
      </c>
      <c r="H140" s="455">
        <f t="shared" si="37"/>
        <v>894297.17793529993</v>
      </c>
      <c r="I140" s="455">
        <f t="shared" si="37"/>
        <v>701369.71597819135</v>
      </c>
      <c r="J140" s="455">
        <f t="shared" si="37"/>
        <v>76979.351060246743</v>
      </c>
      <c r="K140" s="455">
        <f t="shared" si="37"/>
        <v>892994.47793499986</v>
      </c>
      <c r="L140" s="455">
        <f t="shared" si="37"/>
        <v>708074.31741899985</v>
      </c>
      <c r="M140" s="455">
        <f t="shared" si="37"/>
        <v>34673.802697999992</v>
      </c>
      <c r="N140" s="18">
        <f t="shared" si="29"/>
        <v>95.618703206248938</v>
      </c>
      <c r="O140" s="18">
        <f t="shared" si="30"/>
        <v>95.572110637498554</v>
      </c>
      <c r="P140" s="18">
        <f t="shared" si="31"/>
        <v>2.7812179499999843</v>
      </c>
      <c r="Q140" s="18">
        <f t="shared" si="32"/>
        <v>2.7848019937499942</v>
      </c>
      <c r="R140" s="24">
        <f t="shared" si="38"/>
        <v>7976.8826575001003</v>
      </c>
      <c r="S140" s="18">
        <f t="shared" si="39"/>
        <v>2782.4153730000835</v>
      </c>
      <c r="T140" s="18">
        <f t="shared" si="24"/>
        <v>3870.7439620000077</v>
      </c>
      <c r="U140" s="18">
        <f t="shared" si="25"/>
        <v>256.55641200000537</v>
      </c>
      <c r="AD140" s="443"/>
      <c r="AE140" s="444"/>
      <c r="AF140" s="444"/>
      <c r="AG140" s="444"/>
      <c r="AH140" s="444"/>
      <c r="AI140" s="453"/>
      <c r="AJ140" s="453"/>
    </row>
    <row r="141" spans="1:36" ht="13.2" customHeight="1" x14ac:dyDescent="0.25">
      <c r="A141" s="454">
        <v>46174</v>
      </c>
      <c r="B141" s="310">
        <f t="shared" si="40"/>
        <v>2026</v>
      </c>
      <c r="C141" s="1" t="str">
        <f t="shared" si="23"/>
        <v>Q2</v>
      </c>
      <c r="D141" s="455">
        <f t="shared" si="36"/>
        <v>8262.2870586374993</v>
      </c>
      <c r="E141" s="455">
        <f t="shared" si="36"/>
        <v>8324.7289551562499</v>
      </c>
      <c r="F141" s="455">
        <f t="shared" si="36"/>
        <v>237.21748496249998</v>
      </c>
      <c r="G141" s="455">
        <f t="shared" si="36"/>
        <v>238.65766050000002</v>
      </c>
      <c r="H141" s="455">
        <f t="shared" si="37"/>
        <v>894297.17793529993</v>
      </c>
      <c r="I141" s="455">
        <f t="shared" si="37"/>
        <v>701369.71597819135</v>
      </c>
      <c r="J141" s="455">
        <f t="shared" si="37"/>
        <v>76979.351060246743</v>
      </c>
      <c r="K141" s="455">
        <f t="shared" si="37"/>
        <v>892994.47793499986</v>
      </c>
      <c r="L141" s="455">
        <f t="shared" si="37"/>
        <v>708074.31741899985</v>
      </c>
      <c r="M141" s="455">
        <f t="shared" si="37"/>
        <v>34673.802697999992</v>
      </c>
      <c r="N141" s="18">
        <f t="shared" si="29"/>
        <v>95.954408637499</v>
      </c>
      <c r="O141" s="18">
        <f t="shared" si="30"/>
        <v>96.679580156249358</v>
      </c>
      <c r="P141" s="18">
        <f t="shared" si="31"/>
        <v>2.7549349624999877</v>
      </c>
      <c r="Q141" s="18">
        <f t="shared" si="32"/>
        <v>2.7716604999999959</v>
      </c>
      <c r="R141" s="24">
        <f t="shared" si="38"/>
        <v>7976.8826575001003</v>
      </c>
      <c r="S141" s="18">
        <f t="shared" si="39"/>
        <v>2782.4153730000835</v>
      </c>
      <c r="T141" s="18">
        <f t="shared" si="24"/>
        <v>3870.7439620000077</v>
      </c>
      <c r="U141" s="18">
        <f t="shared" si="25"/>
        <v>256.55641200000537</v>
      </c>
      <c r="AD141" s="443"/>
      <c r="AE141" s="444"/>
      <c r="AF141" s="444"/>
      <c r="AG141" s="444"/>
      <c r="AH141" s="444"/>
      <c r="AI141" s="453"/>
      <c r="AJ141" s="453"/>
    </row>
    <row r="142" spans="1:36" ht="13.2" customHeight="1" x14ac:dyDescent="0.25">
      <c r="A142" s="454">
        <v>46204</v>
      </c>
      <c r="B142" s="310">
        <f t="shared" si="40"/>
        <v>2026</v>
      </c>
      <c r="C142" s="1" t="str">
        <f t="shared" si="23"/>
        <v>Q3</v>
      </c>
      <c r="D142" s="455">
        <f t="shared" si="36"/>
        <v>8290.2676119374992</v>
      </c>
      <c r="E142" s="455">
        <f t="shared" si="36"/>
        <v>8383.2618037874981</v>
      </c>
      <c r="F142" s="455">
        <f t="shared" si="36"/>
        <v>234.02852484375001</v>
      </c>
      <c r="G142" s="455">
        <f t="shared" si="36"/>
        <v>235.9830487875</v>
      </c>
      <c r="H142" s="455">
        <f t="shared" si="37"/>
        <v>894297.17793529993</v>
      </c>
      <c r="I142" s="455">
        <f t="shared" si="37"/>
        <v>701369.71597819135</v>
      </c>
      <c r="J142" s="455">
        <f t="shared" si="37"/>
        <v>76979.351060246743</v>
      </c>
      <c r="K142" s="455">
        <f t="shared" si="37"/>
        <v>893737.67706499982</v>
      </c>
      <c r="L142" s="455">
        <f t="shared" si="37"/>
        <v>710969.73978299985</v>
      </c>
      <c r="M142" s="455">
        <f t="shared" si="37"/>
        <v>34507.855494999989</v>
      </c>
      <c r="N142" s="18">
        <f t="shared" si="29"/>
        <v>96.279361937498834</v>
      </c>
      <c r="O142" s="18">
        <f t="shared" si="30"/>
        <v>97.359353787498549</v>
      </c>
      <c r="P142" s="18">
        <f t="shared" si="31"/>
        <v>2.7178998437499899</v>
      </c>
      <c r="Q142" s="18">
        <f t="shared" si="32"/>
        <v>2.7405987874999767</v>
      </c>
      <c r="R142" s="24">
        <f t="shared" si="38"/>
        <v>7976.8826575001003</v>
      </c>
      <c r="S142" s="18">
        <f>K142-K139</f>
        <v>743.1991299999645</v>
      </c>
      <c r="T142" s="18">
        <f t="shared" si="24"/>
        <v>2895.4223639999982</v>
      </c>
      <c r="U142" s="18">
        <f t="shared" si="25"/>
        <v>-165.94720300000336</v>
      </c>
      <c r="AD142" s="443"/>
      <c r="AE142" s="444"/>
      <c r="AF142" s="444"/>
      <c r="AG142" s="444"/>
      <c r="AH142" s="444"/>
      <c r="AI142" s="453"/>
      <c r="AJ142" s="453"/>
    </row>
    <row r="143" spans="1:36" ht="13.2" customHeight="1" x14ac:dyDescent="0.25">
      <c r="A143" s="454">
        <v>46235</v>
      </c>
      <c r="B143" s="310">
        <f t="shared" si="40"/>
        <v>2026</v>
      </c>
      <c r="C143" s="1" t="str">
        <f t="shared" si="23"/>
        <v>Q3</v>
      </c>
      <c r="D143" s="455">
        <f t="shared" si="36"/>
        <v>8298.3943167562502</v>
      </c>
      <c r="E143" s="455">
        <f t="shared" si="36"/>
        <v>8380.9986707999997</v>
      </c>
      <c r="F143" s="455">
        <f t="shared" si="36"/>
        <v>231.55965249375001</v>
      </c>
      <c r="G143" s="455">
        <f t="shared" si="36"/>
        <v>231.97113121875</v>
      </c>
      <c r="H143" s="455">
        <f t="shared" si="37"/>
        <v>894297.17793529993</v>
      </c>
      <c r="I143" s="455">
        <f t="shared" si="37"/>
        <v>701369.71597819135</v>
      </c>
      <c r="J143" s="455">
        <f t="shared" si="37"/>
        <v>76979.351060246743</v>
      </c>
      <c r="K143" s="455">
        <f t="shared" si="37"/>
        <v>893737.67706499982</v>
      </c>
      <c r="L143" s="455">
        <f t="shared" si="37"/>
        <v>710969.73978299985</v>
      </c>
      <c r="M143" s="455">
        <f t="shared" si="37"/>
        <v>34507.855494999989</v>
      </c>
      <c r="N143" s="18">
        <f t="shared" si="29"/>
        <v>96.373741756249728</v>
      </c>
      <c r="O143" s="18">
        <f t="shared" si="30"/>
        <v>97.333070799999405</v>
      </c>
      <c r="P143" s="18">
        <f t="shared" si="31"/>
        <v>2.6892274937499963</v>
      </c>
      <c r="Q143" s="18">
        <f t="shared" si="32"/>
        <v>2.6940062187499905</v>
      </c>
      <c r="R143" s="24">
        <f t="shared" si="38"/>
        <v>7976.8826575001003</v>
      </c>
      <c r="S143" s="18">
        <f t="shared" si="39"/>
        <v>743.1991299999645</v>
      </c>
      <c r="T143" s="18">
        <f t="shared" si="24"/>
        <v>2895.4223639999982</v>
      </c>
      <c r="U143" s="18">
        <f t="shared" si="25"/>
        <v>-165.94720300000336</v>
      </c>
      <c r="AD143" s="443"/>
      <c r="AE143" s="444"/>
      <c r="AF143" s="444"/>
      <c r="AG143" s="444"/>
      <c r="AH143" s="444"/>
      <c r="AI143" s="453"/>
      <c r="AJ143" s="453"/>
    </row>
    <row r="144" spans="1:36" ht="13.2" customHeight="1" x14ac:dyDescent="0.25">
      <c r="A144" s="454">
        <v>46266</v>
      </c>
      <c r="B144" s="310">
        <f t="shared" si="40"/>
        <v>2026</v>
      </c>
      <c r="C144" s="1" t="str">
        <f t="shared" si="23"/>
        <v>Q3</v>
      </c>
      <c r="D144" s="455">
        <f t="shared" si="36"/>
        <v>8318.0424258750008</v>
      </c>
      <c r="E144" s="455">
        <f t="shared" si="36"/>
        <v>8356.7214260250003</v>
      </c>
      <c r="F144" s="455">
        <f t="shared" si="36"/>
        <v>233.41130675624999</v>
      </c>
      <c r="G144" s="455">
        <f t="shared" si="36"/>
        <v>232.38260994375</v>
      </c>
      <c r="H144" s="455">
        <f t="shared" si="37"/>
        <v>894297.17793529993</v>
      </c>
      <c r="I144" s="455">
        <f t="shared" si="37"/>
        <v>701369.71597819135</v>
      </c>
      <c r="J144" s="455">
        <f t="shared" si="37"/>
        <v>76979.351060246743</v>
      </c>
      <c r="K144" s="455">
        <f t="shared" si="37"/>
        <v>893737.67706499982</v>
      </c>
      <c r="L144" s="455">
        <f t="shared" si="37"/>
        <v>710969.73978299985</v>
      </c>
      <c r="M144" s="455">
        <f t="shared" si="37"/>
        <v>34507.855494999989</v>
      </c>
      <c r="N144" s="18">
        <f t="shared" ref="N144:Q147" si="41">D144-D132</f>
        <v>96.601925875000234</v>
      </c>
      <c r="O144" s="18">
        <f t="shared" si="41"/>
        <v>97.051126024998666</v>
      </c>
      <c r="P144" s="18">
        <f t="shared" si="41"/>
        <v>2.7107317562499702</v>
      </c>
      <c r="Q144" s="18">
        <f t="shared" si="41"/>
        <v>2.6987849437499847</v>
      </c>
      <c r="R144" s="24">
        <f t="shared" si="38"/>
        <v>7976.8826575001003</v>
      </c>
      <c r="S144" s="18">
        <f t="shared" si="39"/>
        <v>743.1991299999645</v>
      </c>
      <c r="T144" s="18">
        <f t="shared" si="24"/>
        <v>2895.4223639999982</v>
      </c>
      <c r="U144" s="18">
        <f t="shared" si="25"/>
        <v>-165.94720300000336</v>
      </c>
      <c r="AD144" s="443"/>
      <c r="AE144" s="444"/>
      <c r="AF144" s="444"/>
      <c r="AG144" s="444"/>
      <c r="AH144" s="444"/>
      <c r="AI144" s="453"/>
      <c r="AJ144" s="453"/>
    </row>
    <row r="145" spans="1:36" ht="13.2" customHeight="1" x14ac:dyDescent="0.25">
      <c r="A145" s="454">
        <v>46296</v>
      </c>
      <c r="B145" s="310">
        <f t="shared" si="40"/>
        <v>2026</v>
      </c>
      <c r="C145" s="1" t="str">
        <f>C133</f>
        <v>Q4</v>
      </c>
      <c r="D145" s="455">
        <f t="shared" si="36"/>
        <v>8326.2720003750001</v>
      </c>
      <c r="E145" s="455">
        <f t="shared" si="36"/>
        <v>8342.2168009687502</v>
      </c>
      <c r="F145" s="455">
        <f t="shared" si="36"/>
        <v>235.26296101874996</v>
      </c>
      <c r="G145" s="455">
        <f t="shared" si="36"/>
        <v>232.38260994375</v>
      </c>
      <c r="H145" s="455">
        <f t="shared" si="37"/>
        <v>894297.17793529993</v>
      </c>
      <c r="I145" s="455">
        <f t="shared" si="37"/>
        <v>701369.71597819135</v>
      </c>
      <c r="J145" s="455">
        <f t="shared" si="37"/>
        <v>76979.351060246743</v>
      </c>
      <c r="K145" s="455">
        <f t="shared" si="37"/>
        <v>898135.63630901172</v>
      </c>
      <c r="L145" s="455">
        <f t="shared" si="37"/>
        <v>708959.04762441735</v>
      </c>
      <c r="M145" s="455">
        <f t="shared" si="37"/>
        <v>34597.147816226498</v>
      </c>
      <c r="N145" s="18">
        <f t="shared" si="41"/>
        <v>96.697500374999436</v>
      </c>
      <c r="O145" s="18">
        <f t="shared" si="41"/>
        <v>96.882675968749027</v>
      </c>
      <c r="P145" s="18">
        <f t="shared" si="41"/>
        <v>2.7322360187499726</v>
      </c>
      <c r="Q145" s="18">
        <f t="shared" si="41"/>
        <v>2.6987849437499847</v>
      </c>
      <c r="R145" s="24">
        <f t="shared" si="38"/>
        <v>7976.8826575001003</v>
      </c>
      <c r="S145" s="18">
        <f t="shared" si="39"/>
        <v>4397.9592440119013</v>
      </c>
      <c r="T145" s="18">
        <f t="shared" si="24"/>
        <v>-2010.6921585825039</v>
      </c>
      <c r="U145" s="18">
        <f t="shared" si="25"/>
        <v>89.292321226508648</v>
      </c>
      <c r="AD145" s="443"/>
      <c r="AE145" s="444"/>
      <c r="AF145" s="444"/>
      <c r="AG145" s="444"/>
      <c r="AH145" s="444"/>
      <c r="AI145" s="453"/>
      <c r="AJ145" s="453"/>
    </row>
    <row r="146" spans="1:36" ht="13.2" customHeight="1" x14ac:dyDescent="0.25">
      <c r="A146" s="454">
        <v>46327</v>
      </c>
      <c r="B146" s="310">
        <f t="shared" si="40"/>
        <v>2026</v>
      </c>
      <c r="C146" s="1" t="str">
        <f>C134</f>
        <v>Q4</v>
      </c>
      <c r="D146" s="455">
        <f t="shared" si="36"/>
        <v>8335.3245323249994</v>
      </c>
      <c r="E146" s="455">
        <f t="shared" si="36"/>
        <v>8333.6786174249992</v>
      </c>
      <c r="F146" s="455">
        <f t="shared" si="36"/>
        <v>235.26296101874996</v>
      </c>
      <c r="G146" s="455">
        <f t="shared" si="36"/>
        <v>232.38260994375</v>
      </c>
      <c r="H146" s="455">
        <f t="shared" si="37"/>
        <v>894297.17793529993</v>
      </c>
      <c r="I146" s="455">
        <f t="shared" si="37"/>
        <v>701369.71597819135</v>
      </c>
      <c r="J146" s="455">
        <f t="shared" si="37"/>
        <v>76979.351060246743</v>
      </c>
      <c r="K146" s="455">
        <f t="shared" si="37"/>
        <v>898135.63630901172</v>
      </c>
      <c r="L146" s="455">
        <f t="shared" si="37"/>
        <v>708959.04762441735</v>
      </c>
      <c r="M146" s="455">
        <f t="shared" si="37"/>
        <v>34597.147816226498</v>
      </c>
      <c r="N146" s="18">
        <f t="shared" si="41"/>
        <v>96.802632324999649</v>
      </c>
      <c r="O146" s="18">
        <f t="shared" si="41"/>
        <v>96.783517424999445</v>
      </c>
      <c r="P146" s="18">
        <f t="shared" si="41"/>
        <v>2.7322360187499726</v>
      </c>
      <c r="Q146" s="18">
        <f t="shared" si="41"/>
        <v>2.6987849437499847</v>
      </c>
      <c r="R146" s="24">
        <f t="shared" si="38"/>
        <v>7976.8826575001003</v>
      </c>
      <c r="S146" s="18">
        <f t="shared" si="39"/>
        <v>4397.9592440119013</v>
      </c>
      <c r="T146" s="18">
        <f t="shared" si="24"/>
        <v>-2010.6921585825039</v>
      </c>
      <c r="U146" s="18">
        <f t="shared" si="25"/>
        <v>89.292321226508648</v>
      </c>
      <c r="AD146" s="443"/>
      <c r="AE146" s="444"/>
      <c r="AF146" s="444"/>
      <c r="AG146" s="444"/>
      <c r="AH146" s="444"/>
      <c r="AI146" s="453"/>
      <c r="AJ146" s="453"/>
    </row>
    <row r="147" spans="1:36" ht="13.2" customHeight="1" x14ac:dyDescent="0.25">
      <c r="A147" s="454">
        <v>46357</v>
      </c>
      <c r="B147" s="310">
        <f t="shared" si="40"/>
        <v>2026</v>
      </c>
      <c r="C147" s="1" t="str">
        <f>C135</f>
        <v>Q4</v>
      </c>
      <c r="D147" s="455">
        <f t="shared" si="36"/>
        <v>8337.6905349937497</v>
      </c>
      <c r="E147" s="455">
        <f t="shared" si="36"/>
        <v>8329.6666998562505</v>
      </c>
      <c r="F147" s="455">
        <f t="shared" si="36"/>
        <v>233.5141764375</v>
      </c>
      <c r="G147" s="455">
        <f t="shared" si="36"/>
        <v>232.27974026249998</v>
      </c>
      <c r="H147" s="455">
        <f t="shared" si="37"/>
        <v>894297.17793529993</v>
      </c>
      <c r="I147" s="455">
        <f t="shared" si="37"/>
        <v>701369.71597819135</v>
      </c>
      <c r="J147" s="455">
        <f t="shared" si="37"/>
        <v>76979.351060246743</v>
      </c>
      <c r="K147" s="455">
        <f t="shared" si="37"/>
        <v>898135.63630901172</v>
      </c>
      <c r="L147" s="455">
        <f t="shared" si="37"/>
        <v>708959.04762441735</v>
      </c>
      <c r="M147" s="455">
        <f t="shared" si="37"/>
        <v>34597.147816226498</v>
      </c>
      <c r="N147" s="18">
        <f t="shared" si="41"/>
        <v>96.83010999374892</v>
      </c>
      <c r="O147" s="18">
        <f t="shared" si="41"/>
        <v>96.736924856249971</v>
      </c>
      <c r="P147" s="18">
        <f t="shared" si="41"/>
        <v>2.711926437499983</v>
      </c>
      <c r="Q147" s="18">
        <f t="shared" si="41"/>
        <v>2.6975902624999719</v>
      </c>
      <c r="R147" s="24">
        <f t="shared" si="38"/>
        <v>7976.8826575001003</v>
      </c>
      <c r="S147" s="18">
        <f t="shared" si="39"/>
        <v>4397.9592440119013</v>
      </c>
      <c r="T147" s="18">
        <f t="shared" si="24"/>
        <v>-2010.6921585825039</v>
      </c>
      <c r="U147" s="18">
        <f t="shared" si="25"/>
        <v>89.292321226508648</v>
      </c>
      <c r="AD147" s="443"/>
      <c r="AE147" s="444"/>
      <c r="AF147" s="444"/>
      <c r="AG147" s="444"/>
      <c r="AH147" s="444"/>
      <c r="AI147" s="453"/>
      <c r="AJ147" s="453"/>
    </row>
    <row r="148" spans="1:36" ht="13.2" customHeight="1" x14ac:dyDescent="0.25">
      <c r="A148" s="456"/>
      <c r="B148" s="457"/>
      <c r="C148" s="457"/>
      <c r="D148" s="452"/>
      <c r="E148" s="452"/>
      <c r="F148" s="452"/>
      <c r="G148" s="452"/>
      <c r="H148" s="457"/>
      <c r="I148" s="452"/>
      <c r="J148" s="452"/>
      <c r="K148" s="452"/>
      <c r="L148" s="452"/>
      <c r="AD148" s="443"/>
      <c r="AE148" s="444"/>
      <c r="AF148" s="444"/>
      <c r="AG148" s="444"/>
      <c r="AH148" s="444"/>
      <c r="AI148" s="453"/>
      <c r="AJ148" s="453"/>
    </row>
    <row r="149" spans="1:36" ht="13.2" customHeight="1" x14ac:dyDescent="0.25">
      <c r="A149" s="456"/>
      <c r="B149" s="457"/>
      <c r="C149" s="457"/>
      <c r="D149" s="452"/>
      <c r="E149" s="452"/>
      <c r="F149" s="452"/>
      <c r="G149" s="452"/>
      <c r="H149" s="457"/>
      <c r="I149" s="452"/>
      <c r="J149" s="452"/>
      <c r="K149" s="452"/>
      <c r="L149" s="452"/>
      <c r="AD149" s="443"/>
      <c r="AE149" s="444"/>
      <c r="AF149" s="444"/>
      <c r="AG149" s="444"/>
      <c r="AH149" s="444"/>
      <c r="AI149" s="453"/>
      <c r="AJ149" s="453"/>
    </row>
    <row r="150" spans="1:36" ht="13.2" customHeight="1" x14ac:dyDescent="0.25">
      <c r="A150" s="456"/>
      <c r="B150" s="457"/>
      <c r="C150" s="457"/>
      <c r="D150" s="452"/>
      <c r="E150" s="452"/>
      <c r="F150" s="452"/>
      <c r="G150" s="452"/>
      <c r="H150" s="457"/>
      <c r="I150" s="452"/>
      <c r="J150" s="452"/>
      <c r="K150" s="452"/>
      <c r="L150" s="452"/>
      <c r="AD150" s="443"/>
      <c r="AE150" s="444"/>
      <c r="AF150" s="444"/>
      <c r="AG150" s="444"/>
      <c r="AH150" s="444"/>
      <c r="AI150" s="453"/>
      <c r="AJ150" s="453"/>
    </row>
    <row r="151" spans="1:36" ht="13.2" customHeight="1" x14ac:dyDescent="0.25">
      <c r="A151" s="456"/>
      <c r="B151" s="457"/>
      <c r="C151" s="457"/>
      <c r="D151" s="452"/>
      <c r="E151" s="452"/>
      <c r="F151" s="452"/>
      <c r="G151" s="452"/>
      <c r="H151" s="457"/>
      <c r="I151" s="452"/>
      <c r="J151" s="452"/>
      <c r="K151" s="452"/>
      <c r="L151" s="452"/>
      <c r="AD151" s="443"/>
      <c r="AE151" s="444"/>
      <c r="AF151" s="444"/>
      <c r="AG151" s="444"/>
      <c r="AH151" s="444"/>
      <c r="AI151" s="453"/>
      <c r="AJ151" s="453"/>
    </row>
    <row r="152" spans="1:36" ht="13.2" customHeight="1" x14ac:dyDescent="0.25">
      <c r="A152" s="456"/>
      <c r="B152" s="457"/>
      <c r="C152" s="457"/>
      <c r="D152" s="452"/>
      <c r="E152" s="452"/>
      <c r="F152" s="452"/>
      <c r="G152" s="452"/>
      <c r="H152" s="457"/>
      <c r="I152" s="452"/>
      <c r="J152" s="452"/>
      <c r="K152" s="452"/>
      <c r="L152" s="452"/>
      <c r="AD152" s="443"/>
      <c r="AE152" s="444"/>
      <c r="AF152" s="444"/>
      <c r="AG152" s="444"/>
      <c r="AH152" s="444"/>
      <c r="AI152" s="453"/>
      <c r="AJ152" s="453"/>
    </row>
    <row r="153" spans="1:36" ht="13.2" customHeight="1" x14ac:dyDescent="0.25">
      <c r="A153" s="456"/>
      <c r="B153" s="457"/>
      <c r="C153" s="457"/>
      <c r="D153" s="452"/>
      <c r="E153" s="452"/>
      <c r="F153" s="452"/>
      <c r="G153" s="452"/>
      <c r="H153" s="457"/>
      <c r="I153" s="452"/>
      <c r="J153" s="452"/>
      <c r="K153" s="452"/>
      <c r="L153" s="452"/>
      <c r="AD153" s="443"/>
      <c r="AE153" s="444"/>
      <c r="AF153" s="444"/>
      <c r="AG153" s="444"/>
      <c r="AH153" s="444"/>
      <c r="AI153" s="453"/>
      <c r="AJ153" s="453"/>
    </row>
    <row r="154" spans="1:36" ht="13.2" customHeight="1" x14ac:dyDescent="0.25">
      <c r="A154" s="456"/>
      <c r="B154" s="457"/>
      <c r="C154" s="457"/>
      <c r="D154" s="452"/>
      <c r="E154" s="452"/>
      <c r="F154" s="452"/>
      <c r="G154" s="452"/>
      <c r="H154" s="457"/>
      <c r="I154" s="452"/>
      <c r="J154" s="452"/>
      <c r="K154" s="452"/>
      <c r="L154" s="452"/>
      <c r="AD154" s="443"/>
      <c r="AE154" s="444"/>
      <c r="AF154" s="444"/>
      <c r="AG154" s="444"/>
      <c r="AH154" s="444"/>
      <c r="AI154" s="453"/>
      <c r="AJ154" s="453"/>
    </row>
    <row r="155" spans="1:36" ht="13.2" customHeight="1" x14ac:dyDescent="0.25">
      <c r="A155" s="456"/>
      <c r="B155" s="457"/>
      <c r="C155" s="457"/>
      <c r="D155" s="452"/>
      <c r="E155" s="452"/>
      <c r="F155" s="452"/>
      <c r="G155" s="452"/>
      <c r="H155" s="457"/>
      <c r="I155" s="452"/>
      <c r="J155" s="452"/>
      <c r="K155" s="452"/>
      <c r="L155" s="452"/>
      <c r="AD155" s="443"/>
      <c r="AE155" s="444"/>
      <c r="AF155" s="444"/>
      <c r="AG155" s="444"/>
      <c r="AH155" s="444"/>
      <c r="AI155" s="453"/>
      <c r="AJ155" s="453"/>
    </row>
    <row r="156" spans="1:36" ht="13.2" customHeight="1" x14ac:dyDescent="0.25">
      <c r="A156" s="456"/>
      <c r="B156" s="457"/>
      <c r="C156" s="457"/>
      <c r="D156" s="452"/>
      <c r="E156" s="452"/>
      <c r="F156" s="452"/>
      <c r="G156" s="452"/>
      <c r="H156" s="457"/>
      <c r="I156" s="452"/>
      <c r="J156" s="452"/>
      <c r="K156" s="452"/>
      <c r="L156" s="452"/>
      <c r="AD156" s="443"/>
      <c r="AE156" s="444"/>
      <c r="AF156" s="444"/>
      <c r="AG156" s="444"/>
      <c r="AH156" s="444"/>
      <c r="AI156" s="453"/>
      <c r="AJ156" s="453"/>
    </row>
    <row r="157" spans="1:36" ht="13.2" customHeight="1" x14ac:dyDescent="0.25">
      <c r="A157" s="456"/>
      <c r="B157" s="457"/>
      <c r="C157" s="457"/>
      <c r="D157" s="452"/>
      <c r="E157" s="452"/>
      <c r="F157" s="452"/>
      <c r="G157" s="452"/>
      <c r="H157" s="457"/>
      <c r="I157" s="452"/>
      <c r="J157" s="452"/>
      <c r="K157" s="452"/>
      <c r="L157" s="452"/>
      <c r="AD157" s="443"/>
      <c r="AE157" s="444"/>
      <c r="AF157" s="444"/>
      <c r="AG157" s="444"/>
      <c r="AH157" s="444"/>
      <c r="AI157" s="453"/>
      <c r="AJ157" s="453"/>
    </row>
    <row r="158" spans="1:36" ht="13.2" customHeight="1" x14ac:dyDescent="0.25">
      <c r="A158" s="456"/>
      <c r="B158" s="457"/>
      <c r="C158" s="457"/>
      <c r="D158" s="452"/>
      <c r="E158" s="452"/>
      <c r="F158" s="452"/>
      <c r="G158" s="452"/>
      <c r="H158" s="457"/>
      <c r="I158" s="452"/>
      <c r="J158" s="452"/>
      <c r="K158" s="452"/>
      <c r="L158" s="452"/>
      <c r="AD158" s="443"/>
      <c r="AE158" s="444"/>
      <c r="AF158" s="444"/>
      <c r="AG158" s="444"/>
      <c r="AH158" s="444"/>
      <c r="AI158" s="453"/>
      <c r="AJ158" s="453"/>
    </row>
    <row r="159" spans="1:36" ht="13.2" customHeight="1" x14ac:dyDescent="0.25">
      <c r="A159" s="456"/>
      <c r="B159" s="457"/>
      <c r="C159" s="457"/>
      <c r="D159" s="452"/>
      <c r="E159" s="452"/>
      <c r="F159" s="452"/>
      <c r="G159" s="452"/>
      <c r="H159" s="457"/>
      <c r="I159" s="452"/>
      <c r="J159" s="452"/>
      <c r="K159" s="452"/>
      <c r="L159" s="452"/>
      <c r="AD159" s="443"/>
      <c r="AE159" s="444"/>
      <c r="AF159" s="444"/>
      <c r="AG159" s="444"/>
      <c r="AH159" s="444"/>
      <c r="AI159" s="453"/>
      <c r="AJ159" s="453"/>
    </row>
    <row r="160" spans="1:36" ht="13.2" customHeight="1" x14ac:dyDescent="0.25">
      <c r="A160" s="456"/>
      <c r="B160" s="457"/>
      <c r="C160" s="457"/>
      <c r="D160" s="452"/>
      <c r="E160" s="452"/>
      <c r="F160" s="452"/>
      <c r="G160" s="452"/>
      <c r="H160" s="457"/>
      <c r="I160" s="452"/>
      <c r="J160" s="452"/>
      <c r="K160" s="452"/>
      <c r="L160" s="452"/>
      <c r="AD160" s="443"/>
      <c r="AE160" s="444"/>
      <c r="AF160" s="444"/>
      <c r="AG160" s="444"/>
      <c r="AH160" s="444"/>
      <c r="AI160" s="453"/>
      <c r="AJ160" s="453"/>
    </row>
    <row r="161" spans="1:36" ht="13.2" customHeight="1" x14ac:dyDescent="0.25">
      <c r="A161" s="456"/>
      <c r="B161" s="457"/>
      <c r="C161" s="457"/>
      <c r="D161" s="452"/>
      <c r="E161" s="452"/>
      <c r="F161" s="452"/>
      <c r="G161" s="452"/>
      <c r="H161" s="457"/>
      <c r="I161" s="452"/>
      <c r="J161" s="452"/>
      <c r="K161" s="452"/>
      <c r="L161" s="452"/>
      <c r="AD161" s="443"/>
      <c r="AE161" s="444"/>
      <c r="AF161" s="444"/>
      <c r="AG161" s="444"/>
      <c r="AH161" s="444"/>
      <c r="AI161" s="453"/>
      <c r="AJ161" s="453"/>
    </row>
    <row r="162" spans="1:36" ht="13.2" customHeight="1" x14ac:dyDescent="0.25">
      <c r="A162" s="456"/>
      <c r="B162" s="457"/>
      <c r="C162" s="457"/>
      <c r="D162" s="452"/>
      <c r="E162" s="452"/>
      <c r="F162" s="452"/>
      <c r="G162" s="452"/>
      <c r="H162" s="457"/>
      <c r="I162" s="452"/>
      <c r="J162" s="452"/>
      <c r="K162" s="452"/>
      <c r="L162" s="452"/>
      <c r="AD162" s="443"/>
      <c r="AE162" s="444"/>
      <c r="AF162" s="444"/>
      <c r="AG162" s="444"/>
      <c r="AH162" s="444"/>
      <c r="AI162" s="453"/>
      <c r="AJ162" s="453"/>
    </row>
    <row r="163" spans="1:36" ht="13.2" customHeight="1" x14ac:dyDescent="0.25">
      <c r="A163" s="456"/>
      <c r="B163" s="457"/>
      <c r="C163" s="457"/>
      <c r="D163" s="452"/>
      <c r="E163" s="452"/>
      <c r="F163" s="452"/>
      <c r="G163" s="452"/>
      <c r="H163" s="457"/>
      <c r="I163" s="452"/>
      <c r="J163" s="452"/>
      <c r="K163" s="452"/>
      <c r="L163" s="452"/>
      <c r="AD163" s="443"/>
      <c r="AE163" s="444"/>
      <c r="AF163" s="444"/>
      <c r="AG163" s="444"/>
      <c r="AH163" s="444"/>
      <c r="AI163" s="453"/>
      <c r="AJ163" s="453"/>
    </row>
    <row r="164" spans="1:36" ht="13.2" customHeight="1" x14ac:dyDescent="0.25">
      <c r="A164" s="456"/>
      <c r="B164" s="457"/>
      <c r="C164" s="457"/>
      <c r="D164" s="452"/>
      <c r="E164" s="452"/>
      <c r="F164" s="452"/>
      <c r="G164" s="452"/>
      <c r="H164" s="457"/>
      <c r="I164" s="452"/>
      <c r="J164" s="452"/>
      <c r="K164" s="452"/>
      <c r="L164" s="452"/>
      <c r="AD164" s="443"/>
      <c r="AE164" s="444"/>
      <c r="AF164" s="444"/>
      <c r="AG164" s="444"/>
      <c r="AH164" s="444"/>
      <c r="AI164" s="453"/>
      <c r="AJ164" s="453"/>
    </row>
    <row r="165" spans="1:36" ht="13.2" customHeight="1" x14ac:dyDescent="0.25">
      <c r="A165" s="456"/>
      <c r="B165" s="457"/>
      <c r="C165" s="457"/>
      <c r="D165" s="452"/>
      <c r="E165" s="452"/>
      <c r="F165" s="452"/>
      <c r="G165" s="452"/>
      <c r="H165" s="457"/>
      <c r="I165" s="452"/>
      <c r="J165" s="452"/>
      <c r="K165" s="452"/>
      <c r="L165" s="452"/>
      <c r="AD165" s="443"/>
      <c r="AE165" s="444"/>
      <c r="AF165" s="444"/>
      <c r="AG165" s="444"/>
      <c r="AH165" s="444"/>
      <c r="AI165" s="453"/>
      <c r="AJ165" s="453"/>
    </row>
    <row r="166" spans="1:36" ht="13.2" customHeight="1" x14ac:dyDescent="0.25">
      <c r="A166" s="456"/>
      <c r="B166" s="457"/>
      <c r="C166" s="457"/>
      <c r="D166" s="452"/>
      <c r="E166" s="452"/>
      <c r="F166" s="452"/>
      <c r="G166" s="452"/>
      <c r="H166" s="457"/>
      <c r="I166" s="452"/>
      <c r="J166" s="452"/>
      <c r="K166" s="452"/>
      <c r="L166" s="452"/>
      <c r="AD166" s="443"/>
      <c r="AE166" s="444"/>
      <c r="AF166" s="444"/>
      <c r="AG166" s="444"/>
      <c r="AH166" s="444"/>
      <c r="AI166" s="453"/>
      <c r="AJ166" s="453"/>
    </row>
    <row r="167" spans="1:36" ht="13.2" customHeight="1" x14ac:dyDescent="0.25">
      <c r="A167" s="456"/>
      <c r="B167" s="457"/>
      <c r="C167" s="457"/>
      <c r="D167" s="452"/>
      <c r="E167" s="452"/>
      <c r="F167" s="452"/>
      <c r="G167" s="452"/>
      <c r="H167" s="457"/>
      <c r="I167" s="452"/>
      <c r="J167" s="452"/>
      <c r="K167" s="452"/>
      <c r="L167" s="452"/>
      <c r="AD167" s="443"/>
      <c r="AE167" s="444"/>
      <c r="AF167" s="444"/>
      <c r="AG167" s="444"/>
      <c r="AH167" s="444"/>
      <c r="AI167" s="453"/>
      <c r="AJ167" s="453"/>
    </row>
    <row r="168" spans="1:36" ht="13.2" customHeight="1" x14ac:dyDescent="0.25">
      <c r="A168" s="456"/>
      <c r="B168" s="457"/>
      <c r="C168" s="457"/>
      <c r="D168" s="452"/>
      <c r="E168" s="452"/>
      <c r="F168" s="452"/>
      <c r="G168" s="452"/>
      <c r="H168" s="457"/>
      <c r="I168" s="452"/>
      <c r="J168" s="452"/>
      <c r="K168" s="452"/>
      <c r="L168" s="452"/>
      <c r="AD168" s="443"/>
      <c r="AE168" s="444"/>
      <c r="AF168" s="444"/>
      <c r="AG168" s="444"/>
      <c r="AH168" s="444"/>
      <c r="AI168" s="453"/>
      <c r="AJ168" s="453"/>
    </row>
    <row r="169" spans="1:36" ht="13.2" customHeight="1" x14ac:dyDescent="0.25">
      <c r="A169" s="456"/>
      <c r="B169" s="457"/>
      <c r="C169" s="457"/>
      <c r="D169" s="452"/>
      <c r="E169" s="452"/>
      <c r="F169" s="452"/>
      <c r="G169" s="452"/>
      <c r="H169" s="457"/>
      <c r="I169" s="452"/>
      <c r="J169" s="452"/>
      <c r="K169" s="452"/>
      <c r="L169" s="452"/>
      <c r="AD169" s="443"/>
      <c r="AE169" s="444"/>
      <c r="AF169" s="444"/>
      <c r="AG169" s="444"/>
      <c r="AH169" s="444"/>
      <c r="AI169" s="453"/>
      <c r="AJ169" s="453"/>
    </row>
    <row r="170" spans="1:36" ht="13.2" customHeight="1" x14ac:dyDescent="0.25">
      <c r="A170" s="456"/>
      <c r="B170" s="457"/>
      <c r="C170" s="457"/>
      <c r="D170" s="452"/>
      <c r="E170" s="452"/>
      <c r="F170" s="452"/>
      <c r="G170" s="452"/>
      <c r="H170" s="457"/>
      <c r="I170" s="452"/>
      <c r="J170" s="452"/>
      <c r="K170" s="452"/>
      <c r="L170" s="452"/>
      <c r="AD170" s="443"/>
      <c r="AE170" s="444"/>
      <c r="AF170" s="444"/>
      <c r="AG170" s="444"/>
      <c r="AH170" s="444"/>
      <c r="AI170" s="453"/>
      <c r="AJ170" s="453"/>
    </row>
    <row r="171" spans="1:36" ht="13.2" customHeight="1" x14ac:dyDescent="0.25">
      <c r="A171" s="456"/>
      <c r="B171" s="457"/>
      <c r="C171" s="457"/>
      <c r="D171" s="452"/>
      <c r="E171" s="452"/>
      <c r="F171" s="452"/>
      <c r="G171" s="452"/>
      <c r="H171" s="457"/>
      <c r="I171" s="452"/>
      <c r="J171" s="452"/>
      <c r="K171" s="452"/>
      <c r="L171" s="452"/>
      <c r="AD171" s="443"/>
      <c r="AE171" s="444"/>
      <c r="AF171" s="444"/>
      <c r="AG171" s="444"/>
      <c r="AH171" s="444"/>
      <c r="AI171" s="453"/>
      <c r="AJ171" s="453"/>
    </row>
    <row r="172" spans="1:36" ht="13.2" customHeight="1" x14ac:dyDescent="0.25">
      <c r="A172" s="456"/>
      <c r="B172" s="457"/>
      <c r="C172" s="457"/>
      <c r="D172" s="452"/>
      <c r="E172" s="452"/>
      <c r="F172" s="452"/>
      <c r="G172" s="452"/>
      <c r="H172" s="457"/>
      <c r="I172" s="452"/>
      <c r="J172" s="452"/>
      <c r="K172" s="452"/>
      <c r="L172" s="452"/>
      <c r="AD172" s="443"/>
      <c r="AE172" s="444"/>
      <c r="AF172" s="444"/>
      <c r="AG172" s="444"/>
      <c r="AH172" s="444"/>
      <c r="AI172" s="453"/>
      <c r="AJ172" s="453"/>
    </row>
    <row r="173" spans="1:36" ht="13.2" customHeight="1" x14ac:dyDescent="0.25">
      <c r="A173" s="456"/>
      <c r="B173" s="457"/>
      <c r="C173" s="457"/>
      <c r="D173" s="452"/>
      <c r="E173" s="452"/>
      <c r="F173" s="452"/>
      <c r="G173" s="452"/>
      <c r="H173" s="457"/>
      <c r="I173" s="452"/>
      <c r="J173" s="452"/>
      <c r="K173" s="452"/>
      <c r="L173" s="452"/>
      <c r="AD173" s="443"/>
      <c r="AE173" s="444"/>
      <c r="AF173" s="444"/>
      <c r="AG173" s="444"/>
      <c r="AH173" s="444"/>
      <c r="AI173" s="453"/>
      <c r="AJ173" s="453"/>
    </row>
    <row r="174" spans="1:36" ht="13.2" customHeight="1" x14ac:dyDescent="0.25">
      <c r="A174" s="456"/>
      <c r="B174" s="457"/>
      <c r="C174" s="457"/>
      <c r="D174" s="452"/>
      <c r="E174" s="452"/>
      <c r="F174" s="452"/>
      <c r="G174" s="452"/>
      <c r="H174" s="457"/>
      <c r="I174" s="452"/>
      <c r="J174" s="452"/>
      <c r="K174" s="452"/>
      <c r="L174" s="452"/>
      <c r="AD174" s="443"/>
      <c r="AE174" s="444"/>
      <c r="AF174" s="444"/>
      <c r="AG174" s="444"/>
      <c r="AH174" s="444"/>
      <c r="AI174" s="453"/>
      <c r="AJ174" s="453"/>
    </row>
    <row r="175" spans="1:36" ht="13.2" customHeight="1" x14ac:dyDescent="0.25">
      <c r="A175" s="456"/>
      <c r="B175" s="457"/>
      <c r="C175" s="457"/>
      <c r="D175" s="452"/>
      <c r="E175" s="452"/>
      <c r="F175" s="452"/>
      <c r="G175" s="452"/>
      <c r="H175" s="457"/>
      <c r="I175" s="452"/>
      <c r="J175" s="452"/>
      <c r="K175" s="452"/>
      <c r="L175" s="452"/>
      <c r="AD175" s="443"/>
      <c r="AE175" s="444"/>
      <c r="AF175" s="444"/>
      <c r="AG175" s="444"/>
      <c r="AH175" s="444"/>
      <c r="AI175" s="453"/>
      <c r="AJ175" s="453"/>
    </row>
    <row r="176" spans="1:36" ht="13.2" customHeight="1" x14ac:dyDescent="0.25">
      <c r="A176" s="456"/>
      <c r="B176" s="457"/>
      <c r="C176" s="457"/>
      <c r="D176" s="452"/>
      <c r="E176" s="452"/>
      <c r="F176" s="452"/>
      <c r="G176" s="452"/>
      <c r="H176" s="457"/>
      <c r="I176" s="452"/>
      <c r="J176" s="452"/>
      <c r="K176" s="452"/>
      <c r="L176" s="452"/>
      <c r="AD176" s="443"/>
      <c r="AE176" s="444"/>
      <c r="AF176" s="444"/>
      <c r="AG176" s="444"/>
      <c r="AH176" s="444"/>
      <c r="AI176" s="453"/>
      <c r="AJ176" s="453"/>
    </row>
    <row r="177" spans="1:36" ht="13.2" customHeight="1" x14ac:dyDescent="0.25">
      <c r="A177" s="456"/>
      <c r="B177" s="457"/>
      <c r="C177" s="457"/>
      <c r="D177" s="452"/>
      <c r="E177" s="452"/>
      <c r="F177" s="452"/>
      <c r="G177" s="452"/>
      <c r="H177" s="457"/>
      <c r="I177" s="452"/>
      <c r="J177" s="452"/>
      <c r="K177" s="452"/>
      <c r="L177" s="452"/>
      <c r="AD177" s="443"/>
      <c r="AE177" s="444"/>
      <c r="AF177" s="444"/>
      <c r="AG177" s="444"/>
      <c r="AH177" s="444"/>
      <c r="AI177" s="453"/>
      <c r="AJ177" s="453"/>
    </row>
    <row r="178" spans="1:36" ht="13.2" customHeight="1" x14ac:dyDescent="0.25">
      <c r="A178" s="456"/>
      <c r="B178" s="457"/>
      <c r="C178" s="457"/>
      <c r="D178" s="452"/>
      <c r="E178" s="452"/>
      <c r="F178" s="452"/>
      <c r="G178" s="452"/>
      <c r="H178" s="457"/>
      <c r="I178" s="452"/>
      <c r="J178" s="452"/>
      <c r="K178" s="452"/>
      <c r="L178" s="452"/>
      <c r="AD178" s="443"/>
      <c r="AE178" s="444"/>
      <c r="AF178" s="444"/>
      <c r="AG178" s="444"/>
      <c r="AH178" s="444"/>
      <c r="AI178" s="453"/>
      <c r="AJ178" s="453"/>
    </row>
    <row r="179" spans="1:36" ht="13.2" customHeight="1" x14ac:dyDescent="0.25">
      <c r="A179" s="456"/>
      <c r="B179" s="457"/>
      <c r="C179" s="457"/>
      <c r="D179" s="452"/>
      <c r="E179" s="452"/>
      <c r="F179" s="452"/>
      <c r="G179" s="452"/>
      <c r="H179" s="457"/>
      <c r="I179" s="452"/>
      <c r="J179" s="452"/>
      <c r="K179" s="452"/>
      <c r="L179" s="452"/>
      <c r="AD179" s="443"/>
      <c r="AE179" s="444"/>
      <c r="AF179" s="444"/>
      <c r="AG179" s="444"/>
      <c r="AH179" s="444"/>
      <c r="AI179" s="453"/>
      <c r="AJ179" s="453"/>
    </row>
    <row r="180" spans="1:36" ht="13.2" customHeight="1" x14ac:dyDescent="0.25">
      <c r="A180" s="456"/>
      <c r="B180" s="457"/>
      <c r="C180" s="457"/>
      <c r="D180" s="452"/>
      <c r="E180" s="452"/>
      <c r="F180" s="452"/>
      <c r="G180" s="452"/>
      <c r="H180" s="457"/>
      <c r="I180" s="452"/>
      <c r="J180" s="452"/>
      <c r="K180" s="452"/>
      <c r="L180" s="452"/>
      <c r="AD180" s="443"/>
      <c r="AE180" s="444"/>
      <c r="AF180" s="444"/>
      <c r="AG180" s="444"/>
      <c r="AH180" s="444"/>
      <c r="AI180" s="453"/>
      <c r="AJ180" s="453"/>
    </row>
    <row r="181" spans="1:36" ht="13.2" customHeight="1" x14ac:dyDescent="0.25">
      <c r="A181" s="456"/>
      <c r="B181" s="457"/>
      <c r="C181" s="457"/>
      <c r="D181" s="452"/>
      <c r="E181" s="452"/>
      <c r="F181" s="452"/>
      <c r="G181" s="452"/>
      <c r="H181" s="457"/>
      <c r="I181" s="452"/>
      <c r="J181" s="452"/>
      <c r="K181" s="452"/>
      <c r="L181" s="452"/>
      <c r="AD181" s="443"/>
      <c r="AE181" s="444"/>
      <c r="AF181" s="444"/>
      <c r="AG181" s="444"/>
      <c r="AH181" s="444"/>
      <c r="AI181" s="453"/>
      <c r="AJ181" s="453"/>
    </row>
    <row r="182" spans="1:36" ht="13.2" customHeight="1" x14ac:dyDescent="0.25">
      <c r="A182" s="456"/>
      <c r="B182" s="457"/>
      <c r="C182" s="457"/>
      <c r="D182" s="452"/>
      <c r="E182" s="452"/>
      <c r="F182" s="452"/>
      <c r="G182" s="452"/>
      <c r="H182" s="457"/>
      <c r="I182" s="452"/>
      <c r="J182" s="452"/>
      <c r="K182" s="452"/>
      <c r="L182" s="452"/>
      <c r="AD182" s="443"/>
      <c r="AE182" s="444"/>
      <c r="AF182" s="444"/>
      <c r="AG182" s="444"/>
      <c r="AH182" s="444"/>
      <c r="AI182" s="453"/>
      <c r="AJ182" s="453"/>
    </row>
    <row r="183" spans="1:36" ht="13.2" customHeight="1" x14ac:dyDescent="0.25">
      <c r="A183" s="456"/>
      <c r="B183" s="457"/>
      <c r="C183" s="457"/>
      <c r="D183" s="452"/>
      <c r="E183" s="452"/>
      <c r="F183" s="452"/>
      <c r="G183" s="452"/>
      <c r="H183" s="457"/>
      <c r="I183" s="452"/>
      <c r="J183" s="452"/>
      <c r="K183" s="452"/>
      <c r="L183" s="452"/>
      <c r="AD183" s="443"/>
      <c r="AE183" s="444"/>
      <c r="AF183" s="444"/>
      <c r="AG183" s="444"/>
      <c r="AH183" s="444"/>
      <c r="AI183" s="453"/>
      <c r="AJ183" s="453"/>
    </row>
    <row r="184" spans="1:36" ht="13.2" customHeight="1" x14ac:dyDescent="0.25">
      <c r="A184" s="456"/>
      <c r="B184" s="457"/>
      <c r="C184" s="457"/>
      <c r="D184" s="452"/>
      <c r="E184" s="452"/>
      <c r="F184" s="452"/>
      <c r="G184" s="452"/>
      <c r="H184" s="457"/>
      <c r="I184" s="452"/>
      <c r="J184" s="452"/>
      <c r="K184" s="452"/>
      <c r="L184" s="452"/>
      <c r="AD184" s="443"/>
      <c r="AE184" s="444"/>
      <c r="AF184" s="444"/>
      <c r="AG184" s="444"/>
      <c r="AH184" s="444"/>
      <c r="AI184" s="453"/>
      <c r="AJ184" s="453"/>
    </row>
    <row r="185" spans="1:36" ht="13.2" customHeight="1" x14ac:dyDescent="0.25">
      <c r="A185" s="456"/>
      <c r="B185" s="457"/>
      <c r="C185" s="457"/>
      <c r="D185" s="452"/>
      <c r="E185" s="452"/>
      <c r="F185" s="452"/>
      <c r="G185" s="452"/>
      <c r="H185" s="457"/>
      <c r="I185" s="452"/>
      <c r="J185" s="452"/>
      <c r="K185" s="452"/>
      <c r="L185" s="452"/>
      <c r="AD185" s="443"/>
      <c r="AE185" s="444"/>
      <c r="AF185" s="444"/>
      <c r="AG185" s="444"/>
      <c r="AH185" s="444"/>
      <c r="AI185" s="453"/>
      <c r="AJ185" s="453"/>
    </row>
    <row r="186" spans="1:36" ht="13.2" customHeight="1" x14ac:dyDescent="0.25">
      <c r="A186" s="456"/>
      <c r="B186" s="457"/>
      <c r="C186" s="457"/>
      <c r="D186" s="452"/>
      <c r="E186" s="452"/>
      <c r="F186" s="452"/>
      <c r="G186" s="452"/>
      <c r="H186" s="457"/>
      <c r="I186" s="452"/>
      <c r="J186" s="452"/>
      <c r="K186" s="452"/>
      <c r="L186" s="452"/>
      <c r="AD186" s="443"/>
      <c r="AE186" s="444"/>
      <c r="AF186" s="444"/>
      <c r="AG186" s="444"/>
      <c r="AH186" s="444"/>
      <c r="AI186" s="453"/>
      <c r="AJ186" s="453"/>
    </row>
    <row r="187" spans="1:36" ht="13.2" customHeight="1" x14ac:dyDescent="0.25">
      <c r="A187" s="456"/>
      <c r="B187" s="457"/>
      <c r="C187" s="457"/>
      <c r="D187" s="452"/>
      <c r="E187" s="452"/>
      <c r="F187" s="452"/>
      <c r="G187" s="452"/>
      <c r="H187" s="457"/>
      <c r="I187" s="452"/>
      <c r="J187" s="452"/>
      <c r="K187" s="452"/>
      <c r="L187" s="452"/>
      <c r="AD187" s="443"/>
      <c r="AE187" s="444"/>
      <c r="AF187" s="444"/>
      <c r="AG187" s="444"/>
      <c r="AH187" s="444"/>
      <c r="AI187" s="453"/>
      <c r="AJ187" s="453"/>
    </row>
    <row r="188" spans="1:36" ht="13.2" customHeight="1" x14ac:dyDescent="0.25">
      <c r="A188" s="456"/>
      <c r="B188" s="457"/>
      <c r="C188" s="457"/>
      <c r="D188" s="452"/>
      <c r="E188" s="452"/>
      <c r="F188" s="452"/>
      <c r="G188" s="452"/>
      <c r="H188" s="457"/>
      <c r="I188" s="452"/>
      <c r="J188" s="452"/>
      <c r="K188" s="452"/>
      <c r="L188" s="452"/>
      <c r="AD188" s="443"/>
      <c r="AE188" s="444"/>
      <c r="AF188" s="444"/>
      <c r="AG188" s="444"/>
      <c r="AH188" s="444"/>
      <c r="AI188" s="453"/>
      <c r="AJ188" s="453"/>
    </row>
    <row r="189" spans="1:36" ht="13.2" customHeight="1" x14ac:dyDescent="0.25">
      <c r="A189" s="456"/>
      <c r="B189" s="457"/>
      <c r="C189" s="457"/>
      <c r="D189" s="452"/>
      <c r="E189" s="452"/>
      <c r="F189" s="452"/>
      <c r="G189" s="452"/>
      <c r="H189" s="457"/>
      <c r="I189" s="452"/>
      <c r="J189" s="452"/>
      <c r="K189" s="452"/>
      <c r="L189" s="452"/>
      <c r="AD189" s="443"/>
      <c r="AE189" s="444"/>
      <c r="AF189" s="444"/>
      <c r="AG189" s="444"/>
      <c r="AH189" s="444"/>
      <c r="AI189" s="453"/>
      <c r="AJ189" s="453"/>
    </row>
    <row r="190" spans="1:36" ht="13.2" customHeight="1" x14ac:dyDescent="0.25">
      <c r="A190" s="456"/>
      <c r="B190" s="457"/>
      <c r="C190" s="457"/>
      <c r="D190" s="452"/>
      <c r="E190" s="452"/>
      <c r="F190" s="452"/>
      <c r="G190" s="452"/>
      <c r="H190" s="457"/>
      <c r="I190" s="452"/>
      <c r="J190" s="452"/>
      <c r="K190" s="452"/>
      <c r="L190" s="452"/>
      <c r="AD190" s="443"/>
      <c r="AE190" s="444"/>
      <c r="AF190" s="444"/>
      <c r="AG190" s="444"/>
      <c r="AH190" s="444"/>
      <c r="AI190" s="453"/>
      <c r="AJ190" s="453"/>
    </row>
    <row r="191" spans="1:36" ht="13.2" customHeight="1" x14ac:dyDescent="0.25">
      <c r="A191" s="456"/>
      <c r="B191" s="457"/>
      <c r="C191" s="457"/>
      <c r="D191" s="452"/>
      <c r="E191" s="452"/>
      <c r="F191" s="452"/>
      <c r="G191" s="452"/>
      <c r="H191" s="457"/>
      <c r="I191" s="452"/>
      <c r="J191" s="452"/>
      <c r="K191" s="452"/>
      <c r="L191" s="452"/>
      <c r="AD191" s="443"/>
      <c r="AE191" s="444"/>
      <c r="AF191" s="444"/>
      <c r="AG191" s="444"/>
      <c r="AH191" s="444"/>
      <c r="AI191" s="453"/>
      <c r="AJ191" s="453"/>
    </row>
    <row r="192" spans="1:36" ht="13.2" customHeight="1" x14ac:dyDescent="0.25">
      <c r="A192" s="456"/>
      <c r="B192" s="457"/>
      <c r="C192" s="457"/>
      <c r="D192" s="452"/>
      <c r="E192" s="452"/>
      <c r="F192" s="452"/>
      <c r="G192" s="452"/>
      <c r="H192" s="457"/>
      <c r="I192" s="452"/>
      <c r="J192" s="452"/>
      <c r="K192" s="452"/>
      <c r="L192" s="452"/>
      <c r="AD192" s="443"/>
      <c r="AE192" s="444"/>
      <c r="AF192" s="444"/>
      <c r="AG192" s="444"/>
      <c r="AH192" s="444"/>
      <c r="AI192" s="453"/>
      <c r="AJ192" s="453"/>
    </row>
    <row r="193" spans="30:36" ht="13.2" customHeight="1" x14ac:dyDescent="0.25">
      <c r="AD193" s="443"/>
      <c r="AE193" s="444"/>
      <c r="AF193" s="444"/>
      <c r="AG193" s="444"/>
      <c r="AH193" s="444"/>
      <c r="AI193" s="453"/>
      <c r="AJ193" s="453"/>
    </row>
    <row r="194" spans="30:36" ht="13.2" customHeight="1" x14ac:dyDescent="0.25">
      <c r="AD194" s="443"/>
      <c r="AE194" s="444"/>
      <c r="AF194" s="444"/>
      <c r="AG194" s="444"/>
      <c r="AH194" s="444"/>
      <c r="AI194" s="453"/>
      <c r="AJ194" s="453"/>
    </row>
    <row r="195" spans="30:36" ht="13.2" customHeight="1" x14ac:dyDescent="0.25">
      <c r="AD195" s="443"/>
      <c r="AE195" s="444"/>
      <c r="AF195" s="444"/>
      <c r="AG195" s="444"/>
      <c r="AH195" s="444"/>
      <c r="AI195" s="453"/>
      <c r="AJ195" s="453"/>
    </row>
    <row r="196" spans="30:36" ht="13.2" customHeight="1" x14ac:dyDescent="0.25">
      <c r="AD196" s="443"/>
      <c r="AE196" s="444"/>
      <c r="AF196" s="444"/>
      <c r="AG196" s="444"/>
      <c r="AH196" s="444"/>
      <c r="AI196" s="453"/>
      <c r="AJ196" s="453"/>
    </row>
    <row r="197" spans="30:36" ht="13.2" customHeight="1" x14ac:dyDescent="0.25">
      <c r="AD197" s="443"/>
      <c r="AE197" s="444"/>
      <c r="AF197" s="444"/>
      <c r="AG197" s="444"/>
      <c r="AH197" s="444"/>
      <c r="AI197" s="453"/>
      <c r="AJ197" s="453"/>
    </row>
    <row r="198" spans="30:36" ht="13.2" customHeight="1" x14ac:dyDescent="0.25">
      <c r="AD198" s="443"/>
      <c r="AE198" s="444"/>
      <c r="AF198" s="444"/>
      <c r="AG198" s="444"/>
      <c r="AH198" s="444"/>
      <c r="AI198" s="453"/>
      <c r="AJ198" s="453"/>
    </row>
    <row r="199" spans="30:36" ht="13.2" customHeight="1" x14ac:dyDescent="0.25">
      <c r="AD199" s="443"/>
      <c r="AE199" s="444"/>
      <c r="AF199" s="444"/>
      <c r="AG199" s="444"/>
      <c r="AH199" s="444"/>
      <c r="AI199" s="453"/>
      <c r="AJ199" s="453"/>
    </row>
    <row r="200" spans="30:36" ht="13.2" customHeight="1" x14ac:dyDescent="0.25">
      <c r="AD200" s="443"/>
      <c r="AE200" s="444"/>
      <c r="AF200" s="444"/>
      <c r="AG200" s="444"/>
      <c r="AH200" s="444"/>
      <c r="AI200" s="453"/>
      <c r="AJ200" s="453"/>
    </row>
    <row r="201" spans="30:36" ht="13.2" customHeight="1" x14ac:dyDescent="0.25">
      <c r="AD201" s="443"/>
      <c r="AE201" s="444"/>
      <c r="AF201" s="444"/>
      <c r="AG201" s="444"/>
      <c r="AH201" s="444"/>
      <c r="AI201" s="453"/>
      <c r="AJ201" s="453"/>
    </row>
    <row r="202" spans="30:36" ht="13.2" customHeight="1" x14ac:dyDescent="0.25">
      <c r="AD202" s="443"/>
      <c r="AE202" s="444"/>
      <c r="AF202" s="444"/>
      <c r="AG202" s="444"/>
      <c r="AH202" s="444"/>
      <c r="AI202" s="453"/>
      <c r="AJ202" s="453"/>
    </row>
    <row r="203" spans="30:36" ht="13.2" customHeight="1" x14ac:dyDescent="0.25">
      <c r="AD203" s="443"/>
      <c r="AE203" s="444"/>
      <c r="AF203" s="444"/>
      <c r="AG203" s="444"/>
      <c r="AH203" s="444"/>
      <c r="AI203" s="453"/>
      <c r="AJ203" s="453"/>
    </row>
    <row r="204" spans="30:36" ht="13.2" customHeight="1" x14ac:dyDescent="0.25">
      <c r="AD204" s="443"/>
      <c r="AE204" s="444"/>
      <c r="AF204" s="444"/>
      <c r="AG204" s="444"/>
      <c r="AH204" s="444"/>
      <c r="AI204" s="453"/>
      <c r="AJ204" s="453"/>
    </row>
    <row r="205" spans="30:36" ht="13.2" customHeight="1" x14ac:dyDescent="0.25">
      <c r="AD205" s="443"/>
      <c r="AE205" s="444"/>
      <c r="AF205" s="444"/>
      <c r="AG205" s="444"/>
      <c r="AH205" s="444"/>
      <c r="AI205" s="453"/>
      <c r="AJ205" s="453"/>
    </row>
    <row r="206" spans="30:36" ht="13.2" customHeight="1" x14ac:dyDescent="0.25">
      <c r="AD206" s="443"/>
      <c r="AE206" s="444"/>
      <c r="AF206" s="444"/>
      <c r="AG206" s="444"/>
      <c r="AH206" s="444"/>
      <c r="AI206" s="453"/>
      <c r="AJ206" s="453"/>
    </row>
    <row r="207" spans="30:36" ht="13.2" customHeight="1" x14ac:dyDescent="0.25">
      <c r="AD207" s="443"/>
      <c r="AE207" s="444"/>
      <c r="AF207" s="444"/>
      <c r="AG207" s="444"/>
      <c r="AH207" s="444"/>
      <c r="AI207" s="453"/>
      <c r="AJ207" s="453"/>
    </row>
    <row r="208" spans="30:36" ht="13.2" customHeight="1" x14ac:dyDescent="0.25">
      <c r="AD208" s="443"/>
      <c r="AE208" s="444"/>
      <c r="AF208" s="444"/>
      <c r="AG208" s="444"/>
      <c r="AH208" s="444"/>
      <c r="AI208" s="453"/>
      <c r="AJ208" s="453"/>
    </row>
    <row r="209" spans="30:36" ht="13.2" customHeight="1" x14ac:dyDescent="0.25">
      <c r="AD209" s="443"/>
      <c r="AE209" s="444"/>
      <c r="AF209" s="444"/>
      <c r="AG209" s="444"/>
      <c r="AH209" s="444"/>
      <c r="AI209" s="453"/>
      <c r="AJ209" s="453"/>
    </row>
    <row r="210" spans="30:36" ht="13.2" customHeight="1" x14ac:dyDescent="0.25">
      <c r="AD210" s="443"/>
      <c r="AE210" s="444"/>
      <c r="AF210" s="444"/>
      <c r="AG210" s="444"/>
      <c r="AH210" s="444"/>
      <c r="AI210" s="453"/>
      <c r="AJ210" s="453"/>
    </row>
    <row r="211" spans="30:36" ht="13.2" customHeight="1" x14ac:dyDescent="0.25">
      <c r="AD211" s="443"/>
      <c r="AE211" s="444"/>
      <c r="AF211" s="444"/>
      <c r="AG211" s="444"/>
      <c r="AH211" s="444"/>
      <c r="AI211" s="453"/>
      <c r="AJ211" s="453"/>
    </row>
    <row r="212" spans="30:36" ht="13.2" customHeight="1" x14ac:dyDescent="0.25">
      <c r="AD212" s="443"/>
      <c r="AE212" s="444"/>
      <c r="AF212" s="444"/>
      <c r="AG212" s="444"/>
      <c r="AH212" s="444"/>
      <c r="AI212" s="453"/>
      <c r="AJ212" s="453"/>
    </row>
    <row r="213" spans="30:36" ht="13.2" customHeight="1" x14ac:dyDescent="0.25">
      <c r="AD213" s="443"/>
      <c r="AE213" s="444"/>
      <c r="AF213" s="444"/>
      <c r="AG213" s="444"/>
      <c r="AH213" s="444"/>
      <c r="AI213" s="453"/>
      <c r="AJ213" s="453"/>
    </row>
    <row r="214" spans="30:36" ht="13.2" customHeight="1" x14ac:dyDescent="0.25">
      <c r="AD214" s="443"/>
      <c r="AE214" s="444"/>
      <c r="AF214" s="444"/>
      <c r="AG214" s="444"/>
      <c r="AH214" s="444"/>
      <c r="AI214" s="453"/>
      <c r="AJ214" s="453"/>
    </row>
    <row r="215" spans="30:36" ht="13.2" customHeight="1" x14ac:dyDescent="0.25">
      <c r="AD215" s="443"/>
      <c r="AE215" s="444"/>
      <c r="AF215" s="444"/>
      <c r="AG215" s="444"/>
      <c r="AH215" s="444"/>
      <c r="AI215" s="453"/>
      <c r="AJ215" s="453"/>
    </row>
    <row r="216" spans="30:36" ht="13.2" customHeight="1" x14ac:dyDescent="0.25">
      <c r="AD216" s="443"/>
      <c r="AE216" s="444"/>
      <c r="AF216" s="444"/>
      <c r="AG216" s="444"/>
      <c r="AH216" s="444"/>
      <c r="AI216" s="453"/>
      <c r="AJ216" s="453"/>
    </row>
    <row r="217" spans="30:36" ht="13.2" customHeight="1" x14ac:dyDescent="0.25">
      <c r="AD217" s="443"/>
      <c r="AE217" s="444"/>
      <c r="AF217" s="444"/>
      <c r="AG217" s="444"/>
      <c r="AH217" s="444"/>
      <c r="AI217" s="453"/>
      <c r="AJ217" s="453"/>
    </row>
    <row r="218" spans="30:36" ht="13.2" customHeight="1" x14ac:dyDescent="0.25">
      <c r="AD218" s="443"/>
      <c r="AE218" s="444"/>
      <c r="AF218" s="444"/>
      <c r="AG218" s="444"/>
      <c r="AH218" s="444"/>
      <c r="AI218" s="453"/>
      <c r="AJ218" s="453"/>
    </row>
    <row r="219" spans="30:36" ht="13.2" customHeight="1" x14ac:dyDescent="0.25">
      <c r="AD219" s="443"/>
      <c r="AE219" s="444"/>
      <c r="AF219" s="444"/>
      <c r="AG219" s="444"/>
      <c r="AH219" s="444"/>
      <c r="AI219" s="453"/>
      <c r="AJ219" s="453"/>
    </row>
    <row r="220" spans="30:36" ht="13.2" customHeight="1" x14ac:dyDescent="0.25">
      <c r="AD220" s="443"/>
      <c r="AE220" s="444"/>
      <c r="AF220" s="444"/>
      <c r="AG220" s="444"/>
      <c r="AH220" s="444"/>
      <c r="AI220" s="453"/>
      <c r="AJ220" s="453"/>
    </row>
    <row r="221" spans="30:36" ht="13.2" customHeight="1" x14ac:dyDescent="0.25">
      <c r="AD221" s="443"/>
      <c r="AE221" s="444"/>
      <c r="AF221" s="444"/>
      <c r="AG221" s="444"/>
      <c r="AH221" s="444"/>
      <c r="AI221" s="453"/>
      <c r="AJ221" s="453"/>
    </row>
    <row r="222" spans="30:36" ht="13.2" customHeight="1" x14ac:dyDescent="0.25">
      <c r="AD222" s="443"/>
      <c r="AE222" s="444"/>
      <c r="AF222" s="444"/>
      <c r="AG222" s="444"/>
      <c r="AH222" s="444"/>
      <c r="AI222" s="453"/>
      <c r="AJ222" s="453"/>
    </row>
    <row r="223" spans="30:36" ht="13.2" customHeight="1" x14ac:dyDescent="0.25">
      <c r="AD223" s="443"/>
      <c r="AE223" s="444"/>
      <c r="AF223" s="444"/>
      <c r="AG223" s="444"/>
      <c r="AH223" s="444"/>
      <c r="AI223" s="453"/>
      <c r="AJ223" s="453"/>
    </row>
    <row r="224" spans="30:36" ht="13.2" customHeight="1" x14ac:dyDescent="0.25">
      <c r="AD224" s="443"/>
      <c r="AE224" s="444"/>
      <c r="AF224" s="444"/>
      <c r="AG224" s="444"/>
      <c r="AH224" s="444"/>
      <c r="AI224" s="453"/>
      <c r="AJ224" s="453"/>
    </row>
    <row r="225" spans="30:36" ht="13.2" customHeight="1" x14ac:dyDescent="0.25">
      <c r="AD225" s="443"/>
      <c r="AE225" s="444"/>
      <c r="AF225" s="444"/>
      <c r="AG225" s="444"/>
      <c r="AH225" s="444"/>
      <c r="AI225" s="453"/>
      <c r="AJ225" s="453"/>
    </row>
    <row r="226" spans="30:36" ht="13.2" customHeight="1" x14ac:dyDescent="0.25">
      <c r="AD226" s="443"/>
      <c r="AE226" s="444"/>
      <c r="AF226" s="444"/>
      <c r="AG226" s="444"/>
      <c r="AH226" s="444"/>
      <c r="AI226" s="453"/>
      <c r="AJ226" s="453"/>
    </row>
    <row r="227" spans="30:36" ht="13.2" customHeight="1" x14ac:dyDescent="0.25">
      <c r="AD227" s="443"/>
      <c r="AE227" s="444"/>
      <c r="AF227" s="444"/>
      <c r="AG227" s="444"/>
      <c r="AH227" s="444"/>
      <c r="AI227" s="453"/>
      <c r="AJ227" s="453"/>
    </row>
    <row r="228" spans="30:36" ht="13.2" customHeight="1" x14ac:dyDescent="0.25">
      <c r="AD228" s="443"/>
      <c r="AE228" s="444"/>
      <c r="AF228" s="444"/>
      <c r="AG228" s="444"/>
      <c r="AH228" s="444"/>
      <c r="AI228" s="453"/>
      <c r="AJ228" s="453"/>
    </row>
    <row r="229" spans="30:36" ht="13.2" customHeight="1" x14ac:dyDescent="0.25">
      <c r="AD229" s="443"/>
      <c r="AE229" s="444"/>
      <c r="AF229" s="444"/>
      <c r="AG229" s="444"/>
      <c r="AH229" s="444"/>
      <c r="AI229" s="453"/>
      <c r="AJ229" s="453"/>
    </row>
    <row r="230" spans="30:36" ht="13.2" customHeight="1" x14ac:dyDescent="0.25">
      <c r="AD230" s="443"/>
      <c r="AE230" s="444"/>
      <c r="AF230" s="444"/>
      <c r="AG230" s="444"/>
      <c r="AH230" s="444"/>
      <c r="AI230" s="453"/>
      <c r="AJ230" s="453"/>
    </row>
    <row r="231" spans="30:36" ht="13.2" customHeight="1" x14ac:dyDescent="0.25">
      <c r="AD231" s="443"/>
      <c r="AE231" s="444"/>
      <c r="AF231" s="444"/>
      <c r="AG231" s="444"/>
      <c r="AH231" s="444"/>
      <c r="AI231" s="453"/>
      <c r="AJ231" s="453"/>
    </row>
    <row r="232" spans="30:36" ht="13.2" customHeight="1" x14ac:dyDescent="0.25">
      <c r="AD232" s="443"/>
      <c r="AE232" s="444"/>
      <c r="AF232" s="444"/>
      <c r="AG232" s="444"/>
      <c r="AH232" s="444"/>
      <c r="AI232" s="453"/>
      <c r="AJ232" s="453"/>
    </row>
    <row r="233" spans="30:36" ht="13.2" customHeight="1" x14ac:dyDescent="0.25">
      <c r="AD233" s="443"/>
      <c r="AE233" s="444"/>
      <c r="AF233" s="444"/>
      <c r="AG233" s="444"/>
      <c r="AH233" s="444"/>
      <c r="AI233" s="453"/>
      <c r="AJ233" s="453"/>
    </row>
    <row r="234" spans="30:36" ht="13.2" customHeight="1" x14ac:dyDescent="0.25">
      <c r="AD234" s="443"/>
      <c r="AE234" s="444"/>
      <c r="AF234" s="444"/>
      <c r="AG234" s="444"/>
      <c r="AH234" s="444"/>
      <c r="AI234" s="453"/>
      <c r="AJ234" s="453"/>
    </row>
    <row r="235" spans="30:36" ht="13.2" customHeight="1" x14ac:dyDescent="0.25">
      <c r="AD235" s="443"/>
      <c r="AE235" s="444"/>
      <c r="AF235" s="444"/>
      <c r="AG235" s="444"/>
      <c r="AH235" s="444"/>
      <c r="AI235" s="453"/>
      <c r="AJ235" s="453"/>
    </row>
  </sheetData>
  <mergeCells count="3">
    <mergeCell ref="D3:G3"/>
    <mergeCell ref="K3:M3"/>
    <mergeCell ref="H3:J3"/>
  </mergeCells>
  <hyperlinks>
    <hyperlink ref="AD22" r:id="rId1" location=":~:text=Private%2Dsector%20forecasters%2C%20on%20average,forecast%20since%20the%202023%20Budget." xr:uid="{00000000-0004-0000-0200-000000000000}"/>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theme="4" tint="0.79998168889431442"/>
  </sheetPr>
  <dimension ref="A1:W204"/>
  <sheetViews>
    <sheetView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33203125" style="1"/>
    <col min="13" max="13" width="14.77734375" style="1" bestFit="1" customWidth="1"/>
    <col min="14" max="14" width="12.88671875" style="1" bestFit="1" customWidth="1"/>
    <col min="15" max="15" width="13.88671875" style="1" bestFit="1" customWidth="1"/>
    <col min="16" max="16" width="13.77734375" style="1" customWidth="1"/>
    <col min="17" max="17" width="13.88671875" style="1" bestFit="1" customWidth="1"/>
    <col min="18" max="18" width="12.44140625" style="1" customWidth="1"/>
    <col min="19" max="19" width="19.6640625" style="1" customWidth="1"/>
    <col min="20" max="20" width="9.33203125" style="1"/>
    <col min="21" max="21" width="13.77734375" style="1" bestFit="1" customWidth="1"/>
    <col min="22" max="22" width="12.44140625" style="1" bestFit="1" customWidth="1"/>
    <col min="23" max="16384" width="9.33203125" style="1"/>
  </cols>
  <sheetData>
    <row r="1" spans="1:20" x14ac:dyDescent="0.25">
      <c r="A1" s="273" t="str">
        <f>'Monthly Data'!A1</f>
        <v>Date</v>
      </c>
      <c r="B1" s="274" t="s">
        <v>1</v>
      </c>
      <c r="C1" s="274" t="s">
        <v>2</v>
      </c>
      <c r="D1" s="275" t="str">
        <f>'Monthly Data'!N1</f>
        <v>GS_50_999_NoCDM</v>
      </c>
      <c r="E1" s="276" t="str">
        <f>G1&amp;"Norm"</f>
        <v>HDD18Norm</v>
      </c>
      <c r="F1" s="276" t="str">
        <f>H1&amp;"Norm"</f>
        <v>CDD12Norm</v>
      </c>
      <c r="G1" s="276" t="str">
        <f>'Monthly Data'!BB1</f>
        <v>HDD18</v>
      </c>
      <c r="H1" s="276" t="str">
        <f>'Monthly Data'!BI1</f>
        <v>CDD12</v>
      </c>
      <c r="I1" s="276" t="str">
        <f>'Monthly Data'!CG1</f>
        <v>COVID_AM</v>
      </c>
      <c r="J1" s="275" t="str">
        <f>'Monthly Data'!AL1</f>
        <v>OEA_GDP</v>
      </c>
      <c r="K1" s="276" t="str">
        <f>'Monthly Data'!CD1</f>
        <v>Month Days</v>
      </c>
      <c r="M1" s="274" t="s">
        <v>152</v>
      </c>
      <c r="N1" s="276" t="str">
        <f>E1</f>
        <v>HDD18Norm</v>
      </c>
      <c r="O1" s="276" t="str">
        <f>F1</f>
        <v>CDD12Norm</v>
      </c>
      <c r="P1" s="276" t="str">
        <f>I1</f>
        <v>COVID_AM</v>
      </c>
      <c r="Q1" s="276" t="str">
        <f>J1</f>
        <v>OEA_GDP</v>
      </c>
      <c r="R1" s="276" t="str">
        <f>K1</f>
        <v>Month Days</v>
      </c>
      <c r="S1" s="274" t="s">
        <v>425</v>
      </c>
      <c r="T1" s="274"/>
    </row>
    <row r="2" spans="1:20" x14ac:dyDescent="0.25">
      <c r="A2" s="3">
        <f>'Monthly Data'!A2</f>
        <v>42005</v>
      </c>
      <c r="B2" s="1">
        <f t="shared" ref="B2:B57" si="0">YEAR(A2)</f>
        <v>2015</v>
      </c>
      <c r="C2" s="1">
        <f t="shared" ref="C2:C57" si="1">MONTH(A2)</f>
        <v>1</v>
      </c>
      <c r="D2" s="268">
        <f>'Monthly Data'!N2</f>
        <v>32704294.381073207</v>
      </c>
      <c r="E2" s="278">
        <f ca="1">Weather!AP34</f>
        <v>697.33418478260876</v>
      </c>
      <c r="F2" s="278">
        <f ca="1">Weather!BS34</f>
        <v>0</v>
      </c>
      <c r="G2" s="278">
        <f>'Monthly Data'!BB2</f>
        <v>797.89184782608675</v>
      </c>
      <c r="H2" s="278">
        <f>'Monthly Data'!BI2</f>
        <v>0</v>
      </c>
      <c r="I2" s="24">
        <f>'Monthly Data'!CG2</f>
        <v>0</v>
      </c>
      <c r="J2" s="278">
        <f>'Monthly Data'!AL2</f>
        <v>718587</v>
      </c>
      <c r="K2" s="278">
        <f>'Monthly Data'!CD2</f>
        <v>31</v>
      </c>
      <c r="M2" s="18"/>
      <c r="N2" s="18">
        <f ca="1">(E2-G2)*'GS 50-999 Predicted Monthly'!$V$11</f>
        <v>-1855778.2732567245</v>
      </c>
      <c r="O2" s="18">
        <f ca="1">(F2-H2)*'GS 50-999 Predicted Monthly'!$V$12</f>
        <v>0</v>
      </c>
      <c r="P2" s="18"/>
      <c r="Q2" s="18"/>
      <c r="R2" s="18"/>
      <c r="S2" s="18">
        <f t="shared" ref="S2:S33" ca="1" si="2">D2+N2+O2</f>
        <v>30848516.107816484</v>
      </c>
    </row>
    <row r="3" spans="1:20" x14ac:dyDescent="0.25">
      <c r="A3" s="3">
        <f>'Monthly Data'!A3</f>
        <v>42036</v>
      </c>
      <c r="B3" s="1">
        <f t="shared" si="0"/>
        <v>2015</v>
      </c>
      <c r="C3" s="1">
        <f t="shared" si="1"/>
        <v>2</v>
      </c>
      <c r="D3" s="268">
        <f>'Monthly Data'!N3</f>
        <v>34105863.490816332</v>
      </c>
      <c r="E3" s="278">
        <f ca="1">Weather!AP35</f>
        <v>624.25501811594188</v>
      </c>
      <c r="F3" s="278">
        <f ca="1">Weather!BS35</f>
        <v>0</v>
      </c>
      <c r="G3" s="278">
        <f>'Monthly Data'!BB3</f>
        <v>865.85434782608706</v>
      </c>
      <c r="H3" s="278">
        <f>'Monthly Data'!BI3</f>
        <v>0</v>
      </c>
      <c r="I3" s="24">
        <f>'Monthly Data'!CG3</f>
        <v>0</v>
      </c>
      <c r="J3" s="278">
        <f>'Monthly Data'!AL3</f>
        <v>718587</v>
      </c>
      <c r="K3" s="278">
        <f>'Monthly Data'!CD3</f>
        <v>28</v>
      </c>
      <c r="M3" s="18"/>
      <c r="N3" s="18">
        <f ca="1">(E3-G3)*'GS 50-999 Predicted Monthly'!$V$11</f>
        <v>-4458683.4393279478</v>
      </c>
      <c r="O3" s="18">
        <f ca="1">(F3-H3)*'GS 50-999 Predicted Monthly'!$V$12</f>
        <v>0</v>
      </c>
      <c r="P3" s="18"/>
      <c r="Q3" s="18"/>
      <c r="R3" s="18"/>
      <c r="S3" s="18">
        <f t="shared" ca="1" si="2"/>
        <v>29647180.051488385</v>
      </c>
    </row>
    <row r="4" spans="1:20" x14ac:dyDescent="0.25">
      <c r="A4" s="3">
        <f>'Monthly Data'!A4</f>
        <v>42064</v>
      </c>
      <c r="B4" s="1">
        <f t="shared" si="0"/>
        <v>2015</v>
      </c>
      <c r="C4" s="1">
        <f t="shared" si="1"/>
        <v>3</v>
      </c>
      <c r="D4" s="268">
        <f>'Monthly Data'!N4</f>
        <v>29483042.357302777</v>
      </c>
      <c r="E4" s="278">
        <f ca="1">Weather!AP36</f>
        <v>546.13298913043491</v>
      </c>
      <c r="F4" s="278">
        <f ca="1">Weather!BS36</f>
        <v>0</v>
      </c>
      <c r="G4" s="278">
        <f>'Monthly Data'!BB4</f>
        <v>637.79999999999995</v>
      </c>
      <c r="H4" s="278">
        <f>'Monthly Data'!BI4</f>
        <v>0</v>
      </c>
      <c r="I4" s="24">
        <f>'Monthly Data'!CG4</f>
        <v>0</v>
      </c>
      <c r="J4" s="278">
        <f>'Monthly Data'!AL4</f>
        <v>718587</v>
      </c>
      <c r="K4" s="278">
        <f>'Monthly Data'!CD4</f>
        <v>31</v>
      </c>
      <c r="M4" s="18"/>
      <c r="N4" s="18">
        <f ca="1">(E4-G4)*'GS 50-999 Predicted Monthly'!$V$11</f>
        <v>-1691702.4719694909</v>
      </c>
      <c r="O4" s="18">
        <f ca="1">(F4-H4)*'GS 50-999 Predicted Monthly'!$V$12</f>
        <v>0</v>
      </c>
      <c r="P4" s="18"/>
      <c r="Q4" s="18"/>
      <c r="R4" s="18"/>
      <c r="S4" s="18">
        <f t="shared" ca="1" si="2"/>
        <v>27791339.885333285</v>
      </c>
    </row>
    <row r="5" spans="1:20" x14ac:dyDescent="0.25">
      <c r="A5" s="3">
        <f>'Monthly Data'!A5</f>
        <v>42095</v>
      </c>
      <c r="B5" s="1">
        <f t="shared" si="0"/>
        <v>2015</v>
      </c>
      <c r="C5" s="1">
        <f t="shared" si="1"/>
        <v>4</v>
      </c>
      <c r="D5" s="268">
        <f>'Monthly Data'!N5</f>
        <v>24984134.040233206</v>
      </c>
      <c r="E5" s="278">
        <f ca="1">Weather!AP37</f>
        <v>352.41399621212122</v>
      </c>
      <c r="F5" s="278">
        <f ca="1">Weather!BS37</f>
        <v>2.1908333333333347</v>
      </c>
      <c r="G5" s="278">
        <f>'Monthly Data'!BB5</f>
        <v>346.75037878787867</v>
      </c>
      <c r="H5" s="278">
        <f>'Monthly Data'!BI5</f>
        <v>1.5333333333333332</v>
      </c>
      <c r="I5" s="24">
        <f>'Monthly Data'!CG5</f>
        <v>0</v>
      </c>
      <c r="J5" s="278">
        <f>'Monthly Data'!AL5</f>
        <v>723726</v>
      </c>
      <c r="K5" s="278">
        <f>'Monthly Data'!CD5</f>
        <v>30</v>
      </c>
      <c r="M5" s="18"/>
      <c r="N5" s="18">
        <f ca="1">(E5-G5)*'GS 50-999 Predicted Monthly'!$V$11</f>
        <v>104521.3049492126</v>
      </c>
      <c r="O5" s="18">
        <f ca="1">(F5-H5)*'GS 50-999 Predicted Monthly'!$V$12</f>
        <v>18953.714815882511</v>
      </c>
      <c r="P5" s="18"/>
      <c r="Q5" s="18"/>
      <c r="R5" s="18"/>
      <c r="S5" s="18">
        <f t="shared" ca="1" si="2"/>
        <v>25107609.0599983</v>
      </c>
    </row>
    <row r="6" spans="1:20" x14ac:dyDescent="0.25">
      <c r="A6" s="3">
        <f>'Monthly Data'!A6</f>
        <v>42125</v>
      </c>
      <c r="B6" s="1">
        <f t="shared" si="0"/>
        <v>2015</v>
      </c>
      <c r="C6" s="1">
        <f t="shared" si="1"/>
        <v>5</v>
      </c>
      <c r="D6" s="268">
        <f>'Monthly Data'!N6</f>
        <v>25167162.68985121</v>
      </c>
      <c r="E6" s="278">
        <f ca="1">Weather!AP38</f>
        <v>150.136897859768</v>
      </c>
      <c r="F6" s="278">
        <f ca="1">Weather!BS38</f>
        <v>52.487435064935063</v>
      </c>
      <c r="G6" s="278">
        <f>'Monthly Data'!BB6</f>
        <v>108.22189440993786</v>
      </c>
      <c r="H6" s="278">
        <f>'Monthly Data'!BI6</f>
        <v>105.49404761904762</v>
      </c>
      <c r="I6" s="24">
        <f>'Monthly Data'!CG6</f>
        <v>0</v>
      </c>
      <c r="J6" s="278">
        <f>'Monthly Data'!AL6</f>
        <v>723726</v>
      </c>
      <c r="K6" s="278">
        <f>'Monthly Data'!CD6</f>
        <v>31</v>
      </c>
      <c r="M6" s="18"/>
      <c r="N6" s="18">
        <f ca="1">(E6-G6)*'GS 50-999 Predicted Monthly'!$V$11</f>
        <v>773535.80395005445</v>
      </c>
      <c r="O6" s="18">
        <f ca="1">(F6-H6)*'GS 50-999 Predicted Monthly'!$V$12</f>
        <v>-1528018.5820633075</v>
      </c>
      <c r="P6" s="18"/>
      <c r="Q6" s="18"/>
      <c r="R6" s="18"/>
      <c r="S6" s="18">
        <f t="shared" ca="1" si="2"/>
        <v>24412679.911737956</v>
      </c>
    </row>
    <row r="7" spans="1:20" x14ac:dyDescent="0.25">
      <c r="A7" s="3">
        <f>'Monthly Data'!A7</f>
        <v>42156</v>
      </c>
      <c r="B7" s="1">
        <f t="shared" si="0"/>
        <v>2015</v>
      </c>
      <c r="C7" s="1">
        <f t="shared" si="1"/>
        <v>6</v>
      </c>
      <c r="D7" s="268">
        <f>'Monthly Data'!N7</f>
        <v>24309134.101347797</v>
      </c>
      <c r="E7" s="278">
        <f ca="1">Weather!AP39</f>
        <v>32.520923826173821</v>
      </c>
      <c r="F7" s="278">
        <f ca="1">Weather!BS39</f>
        <v>137.65451754405018</v>
      </c>
      <c r="G7" s="278">
        <f>'Monthly Data'!BB7</f>
        <v>44.925000000000004</v>
      </c>
      <c r="H7" s="278">
        <f>'Monthly Data'!BI7</f>
        <v>150.2583333333333</v>
      </c>
      <c r="I7" s="24">
        <f>'Monthly Data'!CG7</f>
        <v>0</v>
      </c>
      <c r="J7" s="278">
        <f>'Monthly Data'!AL7</f>
        <v>723726</v>
      </c>
      <c r="K7" s="278">
        <f>'Monthly Data'!CD7</f>
        <v>30</v>
      </c>
      <c r="M7" s="18"/>
      <c r="N7" s="18">
        <f ca="1">(E7-G7)*'GS 50-999 Predicted Monthly'!$V$11</f>
        <v>-228915.57308024596</v>
      </c>
      <c r="O7" s="18">
        <f ca="1">(F7-H7)*'GS 50-999 Predicted Monthly'!$V$12</f>
        <v>-363329.47537945065</v>
      </c>
      <c r="P7" s="18"/>
      <c r="Q7" s="18"/>
      <c r="R7" s="18"/>
      <c r="S7" s="18">
        <f t="shared" ca="1" si="2"/>
        <v>23716889.052888099</v>
      </c>
    </row>
    <row r="8" spans="1:20" x14ac:dyDescent="0.25">
      <c r="A8" s="3">
        <f>'Monthly Data'!A8</f>
        <v>42186</v>
      </c>
      <c r="B8" s="1">
        <f t="shared" si="0"/>
        <v>2015</v>
      </c>
      <c r="C8" s="1">
        <f t="shared" si="1"/>
        <v>7</v>
      </c>
      <c r="D8" s="268">
        <f>'Monthly Data'!N8</f>
        <v>27428159.367891241</v>
      </c>
      <c r="E8" s="278">
        <f ca="1">Weather!AP40</f>
        <v>1.6179166666666653</v>
      </c>
      <c r="F8" s="278">
        <f ca="1">Weather!BS40</f>
        <v>235.94737858727848</v>
      </c>
      <c r="G8" s="278">
        <f>'Monthly Data'!BB8</f>
        <v>6.0874999999999986</v>
      </c>
      <c r="H8" s="278">
        <f>'Monthly Data'!BI8</f>
        <v>267.53749999999997</v>
      </c>
      <c r="I8" s="24">
        <f>'Monthly Data'!CG8</f>
        <v>0</v>
      </c>
      <c r="J8" s="278">
        <f>'Monthly Data'!AL8</f>
        <v>730341</v>
      </c>
      <c r="K8" s="278">
        <f>'Monthly Data'!CD8</f>
        <v>31</v>
      </c>
      <c r="M8" s="18"/>
      <c r="N8" s="18">
        <f ca="1">(E8-G8)*'GS 50-999 Predicted Monthly'!$V$11</f>
        <v>-82485.564893488641</v>
      </c>
      <c r="O8" s="18">
        <f ca="1">(F8-H8)*'GS 50-999 Predicted Monthly'!$V$12</f>
        <v>-910646.61940049462</v>
      </c>
      <c r="P8" s="18"/>
      <c r="Q8" s="18"/>
      <c r="R8" s="18"/>
      <c r="S8" s="18">
        <f t="shared" ca="1" si="2"/>
        <v>26435027.183597259</v>
      </c>
    </row>
    <row r="9" spans="1:20" x14ac:dyDescent="0.25">
      <c r="A9" s="3">
        <f>'Monthly Data'!A9</f>
        <v>42217</v>
      </c>
      <c r="B9" s="1">
        <f t="shared" si="0"/>
        <v>2015</v>
      </c>
      <c r="C9" s="1">
        <f t="shared" si="1"/>
        <v>8</v>
      </c>
      <c r="D9" s="268">
        <f>'Monthly Data'!N9</f>
        <v>26677898.168446716</v>
      </c>
      <c r="E9" s="278">
        <f ca="1">Weather!AP41</f>
        <v>5.6499999999999977</v>
      </c>
      <c r="F9" s="278">
        <f ca="1">Weather!BS41</f>
        <v>210.96558794466404</v>
      </c>
      <c r="G9" s="278">
        <f>'Monthly Data'!BB9</f>
        <v>9.4166666666666572</v>
      </c>
      <c r="H9" s="278">
        <f>'Monthly Data'!BI9</f>
        <v>229.94166666666666</v>
      </c>
      <c r="I9" s="24">
        <f>'Monthly Data'!CG9</f>
        <v>0</v>
      </c>
      <c r="J9" s="278">
        <f>'Monthly Data'!AL9</f>
        <v>730341</v>
      </c>
      <c r="K9" s="278">
        <f>'Monthly Data'!CD9</f>
        <v>31</v>
      </c>
      <c r="M9" s="18"/>
      <c r="N9" s="18">
        <f ca="1">(E9-G9)*'GS 50-999 Predicted Monthly'!$V$11</f>
        <v>-69513.331466126212</v>
      </c>
      <c r="O9" s="18">
        <f ca="1">(F9-H9)*'GS 50-999 Predicted Monthly'!$V$12</f>
        <v>-547022.33371950302</v>
      </c>
      <c r="P9" s="18"/>
      <c r="Q9" s="18"/>
      <c r="R9" s="18"/>
      <c r="S9" s="18">
        <f t="shared" ca="1" si="2"/>
        <v>26061362.503261086</v>
      </c>
    </row>
    <row r="10" spans="1:20" x14ac:dyDescent="0.25">
      <c r="A10" s="3">
        <f>'Monthly Data'!A10</f>
        <v>42248</v>
      </c>
      <c r="B10" s="1">
        <f t="shared" si="0"/>
        <v>2015</v>
      </c>
      <c r="C10" s="1">
        <f t="shared" si="1"/>
        <v>9</v>
      </c>
      <c r="D10" s="268">
        <f>'Monthly Data'!N10</f>
        <v>25368422.182837464</v>
      </c>
      <c r="E10" s="278">
        <f ca="1">Weather!AP42</f>
        <v>54.959440993788824</v>
      </c>
      <c r="F10" s="278">
        <f ca="1">Weather!BS42</f>
        <v>106.4160119047619</v>
      </c>
      <c r="G10" s="278">
        <f>'Monthly Data'!BB10</f>
        <v>42.631547619047623</v>
      </c>
      <c r="H10" s="278">
        <f>'Monthly Data'!BI10</f>
        <v>188.96011904761906</v>
      </c>
      <c r="I10" s="24">
        <f>'Monthly Data'!CG10</f>
        <v>0</v>
      </c>
      <c r="J10" s="278">
        <f>'Monthly Data'!AL10</f>
        <v>730341</v>
      </c>
      <c r="K10" s="278">
        <f>'Monthly Data'!CD10</f>
        <v>30</v>
      </c>
      <c r="M10" s="18"/>
      <c r="N10" s="18">
        <f ca="1">(E10-G10)*'GS 50-999 Predicted Monthly'!$V$11</f>
        <v>227509.62967365878</v>
      </c>
      <c r="O10" s="18">
        <f ca="1">(F10-H10)*'GS 50-999 Predicted Monthly'!$V$12</f>
        <v>-2379494.2456537816</v>
      </c>
      <c r="P10" s="18"/>
      <c r="Q10" s="18"/>
      <c r="R10" s="18"/>
      <c r="S10" s="18">
        <f t="shared" ca="1" si="2"/>
        <v>23216437.566857342</v>
      </c>
    </row>
    <row r="11" spans="1:20" x14ac:dyDescent="0.25">
      <c r="A11" s="3">
        <f>'Monthly Data'!A11</f>
        <v>42278</v>
      </c>
      <c r="B11" s="1">
        <f t="shared" si="0"/>
        <v>2015</v>
      </c>
      <c r="C11" s="1">
        <f t="shared" si="1"/>
        <v>10</v>
      </c>
      <c r="D11" s="268">
        <f>'Monthly Data'!N11</f>
        <v>25684615.714819368</v>
      </c>
      <c r="E11" s="278">
        <f ca="1">Weather!AP43</f>
        <v>237.89681159420289</v>
      </c>
      <c r="F11" s="278">
        <f ca="1">Weather!BS43</f>
        <v>17.987083333333334</v>
      </c>
      <c r="G11" s="278">
        <f>'Monthly Data'!BB11</f>
        <v>276.98750000000001</v>
      </c>
      <c r="H11" s="278">
        <f>'Monthly Data'!BI11</f>
        <v>13.895833333333337</v>
      </c>
      <c r="I11" s="24">
        <f>'Monthly Data'!CG11</f>
        <v>0</v>
      </c>
      <c r="J11" s="278">
        <f>'Monthly Data'!AL11</f>
        <v>737784</v>
      </c>
      <c r="K11" s="278">
        <f>'Monthly Data'!CD11</f>
        <v>31</v>
      </c>
      <c r="M11" s="18"/>
      <c r="N11" s="18">
        <f ca="1">(E11-G11)*'GS 50-999 Predicted Monthly'!$V$11</f>
        <v>-721413.44612156751</v>
      </c>
      <c r="O11" s="18">
        <f ca="1">(F11-H11)*'GS 50-999 Predicted Monthly'!$V$12</f>
        <v>117938.22926308606</v>
      </c>
      <c r="P11" s="18"/>
      <c r="Q11" s="18"/>
      <c r="R11" s="18"/>
      <c r="S11" s="18">
        <f t="shared" ca="1" si="2"/>
        <v>25081140.497960888</v>
      </c>
    </row>
    <row r="12" spans="1:20" x14ac:dyDescent="0.25">
      <c r="A12" s="3">
        <f>'Monthly Data'!A12</f>
        <v>42309</v>
      </c>
      <c r="B12" s="1">
        <f t="shared" si="0"/>
        <v>2015</v>
      </c>
      <c r="C12" s="1">
        <f t="shared" si="1"/>
        <v>11</v>
      </c>
      <c r="D12" s="268">
        <f>'Monthly Data'!N12</f>
        <v>27097679.115704805</v>
      </c>
      <c r="E12" s="278">
        <f ca="1">Weather!AP44</f>
        <v>426.62991389045737</v>
      </c>
      <c r="F12" s="278">
        <f ca="1">Weather!BS44</f>
        <v>0.8083333333333329</v>
      </c>
      <c r="G12" s="278">
        <f>'Monthly Data'!BB12</f>
        <v>371.77083333333326</v>
      </c>
      <c r="H12" s="278">
        <f>'Monthly Data'!BI12</f>
        <v>3.5374999999999979</v>
      </c>
      <c r="I12" s="24">
        <f>'Monthly Data'!CG12</f>
        <v>0</v>
      </c>
      <c r="J12" s="278">
        <f>'Monthly Data'!AL12</f>
        <v>737784</v>
      </c>
      <c r="K12" s="278">
        <f>'Monthly Data'!CD12</f>
        <v>30</v>
      </c>
      <c r="M12" s="18"/>
      <c r="N12" s="18">
        <f ca="1">(E12-G12)*'GS 50-999 Predicted Monthly'!$V$11</f>
        <v>1012417.0223082202</v>
      </c>
      <c r="O12" s="18">
        <f ca="1">(F12-H12)*'GS 50-999 Predicted Monthly'!$V$12</f>
        <v>-78673.531079866982</v>
      </c>
      <c r="P12" s="18"/>
      <c r="Q12" s="18"/>
      <c r="R12" s="18"/>
      <c r="S12" s="18">
        <f t="shared" ca="1" si="2"/>
        <v>28031422.606933158</v>
      </c>
    </row>
    <row r="13" spans="1:20" x14ac:dyDescent="0.25">
      <c r="A13" s="3">
        <f>'Monthly Data'!A13</f>
        <v>42339</v>
      </c>
      <c r="B13" s="1">
        <f t="shared" si="0"/>
        <v>2015</v>
      </c>
      <c r="C13" s="1">
        <f t="shared" si="1"/>
        <v>12</v>
      </c>
      <c r="D13" s="268">
        <f>'Monthly Data'!N13</f>
        <v>28956193.241493594</v>
      </c>
      <c r="E13" s="278">
        <f ca="1">Weather!AP45</f>
        <v>577.92800724637686</v>
      </c>
      <c r="F13" s="278">
        <f ca="1">Weather!BS45</f>
        <v>0</v>
      </c>
      <c r="G13" s="278">
        <f>'Monthly Data'!BB13</f>
        <v>437.62590579710155</v>
      </c>
      <c r="H13" s="278">
        <f>'Monthly Data'!BI13</f>
        <v>0</v>
      </c>
      <c r="I13" s="24">
        <f>'Monthly Data'!CG13</f>
        <v>0</v>
      </c>
      <c r="J13" s="278">
        <f>'Monthly Data'!AL13</f>
        <v>737784</v>
      </c>
      <c r="K13" s="278">
        <f>'Monthly Data'!CD13</f>
        <v>31</v>
      </c>
      <c r="M13" s="18"/>
      <c r="N13" s="18">
        <f ca="1">(E13-G13)*'GS 50-999 Predicted Monthly'!$V$11</f>
        <v>2589256.5885232463</v>
      </c>
      <c r="O13" s="18">
        <f ca="1">(F13-H13)*'GS 50-999 Predicted Monthly'!$V$12</f>
        <v>0</v>
      </c>
      <c r="P13" s="18"/>
      <c r="Q13" s="18"/>
      <c r="R13" s="18"/>
      <c r="S13" s="18">
        <f t="shared" ca="1" si="2"/>
        <v>31545449.83001684</v>
      </c>
    </row>
    <row r="14" spans="1:20" x14ac:dyDescent="0.25">
      <c r="A14" s="3">
        <f>'Monthly Data'!A14</f>
        <v>42370</v>
      </c>
      <c r="B14" s="1">
        <f t="shared" si="0"/>
        <v>2016</v>
      </c>
      <c r="C14" s="1">
        <f t="shared" si="1"/>
        <v>1</v>
      </c>
      <c r="D14" s="268">
        <f>'Monthly Data'!N14</f>
        <v>32424680.392063037</v>
      </c>
      <c r="E14" s="278">
        <f t="shared" ref="E14:F25" ca="1" si="3">E2</f>
        <v>697.33418478260876</v>
      </c>
      <c r="F14" s="278">
        <f t="shared" ca="1" si="3"/>
        <v>0</v>
      </c>
      <c r="G14" s="278">
        <f>'Monthly Data'!BB14</f>
        <v>675.87916666666683</v>
      </c>
      <c r="H14" s="278">
        <f>'Monthly Data'!BI14</f>
        <v>0</v>
      </c>
      <c r="I14" s="24">
        <f>'Monthly Data'!CG14</f>
        <v>0</v>
      </c>
      <c r="J14" s="278">
        <f>'Monthly Data'!AL14</f>
        <v>743287</v>
      </c>
      <c r="K14" s="278">
        <f>'Monthly Data'!CD14</f>
        <v>31</v>
      </c>
      <c r="M14" s="18"/>
      <c r="N14" s="18">
        <f ca="1">(E14-G14)*'GS 50-999 Predicted Monthly'!$V$11</f>
        <v>395949.50068280089</v>
      </c>
      <c r="O14" s="18">
        <f ca="1">(F14-H14)*'GS 50-999 Predicted Monthly'!$V$12</f>
        <v>0</v>
      </c>
      <c r="P14" s="18"/>
      <c r="Q14" s="18"/>
      <c r="R14" s="18"/>
      <c r="S14" s="18">
        <f t="shared" ca="1" si="2"/>
        <v>32820629.892745838</v>
      </c>
    </row>
    <row r="15" spans="1:20"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Data'!BB15</f>
        <v>603.70833333333337</v>
      </c>
      <c r="H15" s="278">
        <f>'Monthly Data'!BI15</f>
        <v>0</v>
      </c>
      <c r="I15" s="24">
        <f>'Monthly Data'!CG15</f>
        <v>0</v>
      </c>
      <c r="J15" s="278">
        <f>'Monthly Data'!AL15</f>
        <v>743287</v>
      </c>
      <c r="K15" s="278">
        <f>'Monthly Data'!CD15</f>
        <v>29</v>
      </c>
      <c r="M15" s="18"/>
      <c r="N15" s="18">
        <f ca="1">(E15-G15)*'GS 50-999 Predicted Monthly'!$V$11</f>
        <v>379186.33004163171</v>
      </c>
      <c r="O15" s="18">
        <f ca="1">(F15-H15)*'GS 50-999 Predicted Monthly'!$V$12</f>
        <v>0</v>
      </c>
      <c r="P15" s="18"/>
      <c r="Q15" s="18"/>
      <c r="R15" s="18"/>
      <c r="S15" s="18">
        <f t="shared" ca="1" si="2"/>
        <v>29261600.968810976</v>
      </c>
    </row>
    <row r="16" spans="1:20" x14ac:dyDescent="0.25">
      <c r="A16" s="3">
        <f>'Monthly Data'!A16</f>
        <v>42430</v>
      </c>
      <c r="B16" s="1">
        <f t="shared" si="0"/>
        <v>2016</v>
      </c>
      <c r="C16" s="1">
        <f t="shared" si="1"/>
        <v>3</v>
      </c>
      <c r="D16" s="268">
        <f>'Monthly Data'!N16</f>
        <v>31071039.310371984</v>
      </c>
      <c r="E16" s="278">
        <f t="shared" ca="1" si="3"/>
        <v>546.13298913043491</v>
      </c>
      <c r="F16" s="278">
        <f t="shared" ca="1" si="3"/>
        <v>0</v>
      </c>
      <c r="G16" s="278">
        <f>'Monthly Data'!BB16</f>
        <v>515.07934782608686</v>
      </c>
      <c r="H16" s="278">
        <f>'Monthly Data'!BI16</f>
        <v>0</v>
      </c>
      <c r="I16" s="24">
        <f>'Monthly Data'!CG16</f>
        <v>0</v>
      </c>
      <c r="J16" s="278">
        <f>'Monthly Data'!AL16</f>
        <v>743287</v>
      </c>
      <c r="K16" s="278">
        <f>'Monthly Data'!CD16</f>
        <v>31</v>
      </c>
      <c r="M16" s="18"/>
      <c r="N16" s="18">
        <f ca="1">(E16-G16)*'GS 50-999 Predicted Monthly'!$V$11</f>
        <v>573090.8127130986</v>
      </c>
      <c r="O16" s="18">
        <f ca="1">(F16-H16)*'GS 50-999 Predicted Monthly'!$V$12</f>
        <v>0</v>
      </c>
      <c r="P16" s="18"/>
      <c r="Q16" s="18"/>
      <c r="R16" s="18"/>
      <c r="S16" s="18">
        <f t="shared" ca="1" si="2"/>
        <v>31644130.123085082</v>
      </c>
    </row>
    <row r="17" spans="1:21" x14ac:dyDescent="0.25">
      <c r="A17" s="3">
        <f>'Monthly Data'!A17</f>
        <v>42461</v>
      </c>
      <c r="B17" s="1">
        <f t="shared" si="0"/>
        <v>2016</v>
      </c>
      <c r="C17" s="1">
        <f t="shared" si="1"/>
        <v>4</v>
      </c>
      <c r="D17" s="268">
        <f>'Monthly Data'!N17</f>
        <v>25693792.188505106</v>
      </c>
      <c r="E17" s="278">
        <f t="shared" ca="1" si="3"/>
        <v>352.41399621212122</v>
      </c>
      <c r="F17" s="278">
        <f t="shared" ca="1" si="3"/>
        <v>2.1908333333333347</v>
      </c>
      <c r="G17" s="278">
        <f>'Monthly Data'!BB17</f>
        <v>405.98333333333341</v>
      </c>
      <c r="H17" s="278">
        <f>'Monthly Data'!BI17</f>
        <v>3.2208333333333368</v>
      </c>
      <c r="I17" s="24">
        <f>'Monthly Data'!CG17</f>
        <v>0</v>
      </c>
      <c r="J17" s="278">
        <f>'Monthly Data'!AL17</f>
        <v>740632</v>
      </c>
      <c r="K17" s="278">
        <f>'Monthly Data'!CD17</f>
        <v>30</v>
      </c>
      <c r="M17" s="18"/>
      <c r="N17" s="18">
        <f ca="1">(E17-G17)*'GS 50-999 Predicted Monthly'!$V$11</f>
        <v>-988614.9790426963</v>
      </c>
      <c r="O17" s="18">
        <f ca="1">(F17-H17)*'GS 50-999 Predicted Monthly'!$V$12</f>
        <v>-29691.750966325442</v>
      </c>
      <c r="P17" s="18"/>
      <c r="Q17" s="18"/>
      <c r="R17" s="18"/>
      <c r="S17" s="18">
        <f t="shared" ca="1" si="2"/>
        <v>24675485.458496083</v>
      </c>
    </row>
    <row r="18" spans="1:21" x14ac:dyDescent="0.25">
      <c r="A18" s="3">
        <f>'Monthly Data'!A18</f>
        <v>42491</v>
      </c>
      <c r="B18" s="1">
        <f t="shared" si="0"/>
        <v>2016</v>
      </c>
      <c r="C18" s="1">
        <f t="shared" si="1"/>
        <v>5</v>
      </c>
      <c r="D18" s="268">
        <f>'Monthly Data'!N18</f>
        <v>25563625.514173936</v>
      </c>
      <c r="E18" s="278">
        <f t="shared" ca="1" si="3"/>
        <v>150.136897859768</v>
      </c>
      <c r="F18" s="278">
        <f t="shared" ca="1" si="3"/>
        <v>52.487435064935063</v>
      </c>
      <c r="G18" s="278">
        <f>'Monthly Data'!BB18</f>
        <v>154.58611111111114</v>
      </c>
      <c r="H18" s="278">
        <f>'Monthly Data'!BI18</f>
        <v>98.295833333333348</v>
      </c>
      <c r="I18" s="24">
        <f>'Monthly Data'!CG18</f>
        <v>0</v>
      </c>
      <c r="J18" s="278">
        <f>'Monthly Data'!AL18</f>
        <v>740632</v>
      </c>
      <c r="K18" s="278">
        <f>'Monthly Data'!CD18</f>
        <v>31</v>
      </c>
      <c r="M18" s="18"/>
      <c r="N18" s="18">
        <f ca="1">(E18-G18)*'GS 50-999 Predicted Monthly'!$V$11</f>
        <v>-82109.637744450607</v>
      </c>
      <c r="O18" s="18">
        <f ca="1">(F18-H18)*'GS 50-999 Predicted Monthly'!$V$12</f>
        <v>-1320516.0714092553</v>
      </c>
      <c r="P18" s="18"/>
      <c r="Q18" s="18"/>
      <c r="R18" s="18"/>
      <c r="S18" s="18">
        <f t="shared" ca="1" si="2"/>
        <v>24160999.805020232</v>
      </c>
    </row>
    <row r="19" spans="1:21" x14ac:dyDescent="0.25">
      <c r="A19" s="3">
        <f>'Monthly Data'!A19</f>
        <v>42522</v>
      </c>
      <c r="B19" s="1">
        <f t="shared" si="0"/>
        <v>2016</v>
      </c>
      <c r="C19" s="1">
        <f t="shared" si="1"/>
        <v>6</v>
      </c>
      <c r="D19" s="268">
        <f>'Monthly Data'!N19</f>
        <v>24988466.374266114</v>
      </c>
      <c r="E19" s="278">
        <f t="shared" ca="1" si="3"/>
        <v>32.520923826173821</v>
      </c>
      <c r="F19" s="278">
        <f t="shared" ca="1" si="3"/>
        <v>137.65451754405018</v>
      </c>
      <c r="G19" s="278">
        <f>'Monthly Data'!BB19</f>
        <v>30.204166666666669</v>
      </c>
      <c r="H19" s="278">
        <f>'Monthly Data'!BI19</f>
        <v>203.85416666666669</v>
      </c>
      <c r="I19" s="24">
        <f>'Monthly Data'!CG19</f>
        <v>0</v>
      </c>
      <c r="J19" s="278">
        <f>'Monthly Data'!AL19</f>
        <v>740632</v>
      </c>
      <c r="K19" s="278">
        <f>'Monthly Data'!CD19</f>
        <v>30</v>
      </c>
      <c r="M19" s="18"/>
      <c r="N19" s="18">
        <f ca="1">(E19-G19)*'GS 50-999 Predicted Monthly'!$V$11</f>
        <v>42755.44469610849</v>
      </c>
      <c r="O19" s="18">
        <f ca="1">(F19-H19)*'GS 50-999 Predicted Monthly'!$V$12</f>
        <v>-1908333.4910746117</v>
      </c>
      <c r="P19" s="18"/>
      <c r="Q19" s="18"/>
      <c r="R19" s="18"/>
      <c r="S19" s="18">
        <f t="shared" ca="1" si="2"/>
        <v>23122888.327887613</v>
      </c>
      <c r="U19" s="288"/>
    </row>
    <row r="20" spans="1:21" x14ac:dyDescent="0.25">
      <c r="A20" s="3">
        <f>'Monthly Data'!A20</f>
        <v>42552</v>
      </c>
      <c r="B20" s="1">
        <f t="shared" si="0"/>
        <v>2016</v>
      </c>
      <c r="C20" s="1">
        <f t="shared" si="1"/>
        <v>7</v>
      </c>
      <c r="D20" s="268">
        <f>'Monthly Data'!N20</f>
        <v>30177913.769882832</v>
      </c>
      <c r="E20" s="278">
        <f t="shared" ca="1" si="3"/>
        <v>1.6179166666666653</v>
      </c>
      <c r="F20" s="278">
        <f t="shared" ca="1" si="3"/>
        <v>235.94737858727848</v>
      </c>
      <c r="G20" s="278">
        <f>'Monthly Data'!BB20</f>
        <v>1.6583333333333314</v>
      </c>
      <c r="H20" s="278">
        <f>'Monthly Data'!BI20</f>
        <v>313.22916666666657</v>
      </c>
      <c r="I20" s="24">
        <f>'Monthly Data'!CG20</f>
        <v>0</v>
      </c>
      <c r="J20" s="278">
        <f>'Monthly Data'!AL20</f>
        <v>746606</v>
      </c>
      <c r="K20" s="278">
        <f>'Monthly Data'!CD20</f>
        <v>31</v>
      </c>
      <c r="M20" s="18"/>
      <c r="N20" s="18">
        <f ca="1">(E20-G20)*'GS 50-999 Predicted Monthly'!$V$11</f>
        <v>-745.88419825377889</v>
      </c>
      <c r="O20" s="18">
        <f ca="1">(F20-H20)*'GS 50-999 Predicted Monthly'!$V$12</f>
        <v>-2227797.6756170145</v>
      </c>
      <c r="P20" s="18"/>
      <c r="Q20" s="18"/>
      <c r="R20" s="18"/>
      <c r="S20" s="18">
        <f t="shared" ca="1" si="2"/>
        <v>27949370.210067566</v>
      </c>
    </row>
    <row r="21" spans="1:21" x14ac:dyDescent="0.25">
      <c r="A21" s="3">
        <f>'Monthly Data'!A21</f>
        <v>42583</v>
      </c>
      <c r="B21" s="1">
        <f t="shared" si="0"/>
        <v>2016</v>
      </c>
      <c r="C21" s="1">
        <f t="shared" si="1"/>
        <v>8</v>
      </c>
      <c r="D21" s="268">
        <f>'Monthly Data'!N21</f>
        <v>30103803.929514974</v>
      </c>
      <c r="E21" s="278">
        <f t="shared" ca="1" si="3"/>
        <v>5.6499999999999977</v>
      </c>
      <c r="F21" s="278">
        <f t="shared" ca="1" si="3"/>
        <v>210.96558794466404</v>
      </c>
      <c r="G21" s="278">
        <f>'Monthly Data'!BB21</f>
        <v>1.1291666666666664</v>
      </c>
      <c r="H21" s="278">
        <f>'Monthly Data'!BI21</f>
        <v>328.02499999999998</v>
      </c>
      <c r="I21" s="24">
        <f>'Monthly Data'!CG21</f>
        <v>0</v>
      </c>
      <c r="J21" s="278">
        <f>'Monthly Data'!AL21</f>
        <v>746606</v>
      </c>
      <c r="K21" s="278">
        <f>'Monthly Data'!CD21</f>
        <v>31</v>
      </c>
      <c r="M21" s="18"/>
      <c r="N21" s="18">
        <f ca="1">(E21-G21)*'GS 50-999 Predicted Monthly'!$V$11</f>
        <v>83431.376814985677</v>
      </c>
      <c r="O21" s="18">
        <f ca="1">(F21-H21)*'GS 50-999 Predicted Monthly'!$V$12</f>
        <v>-3374464.9621470897</v>
      </c>
      <c r="P21" s="18"/>
      <c r="Q21" s="18"/>
      <c r="R21" s="18"/>
      <c r="S21" s="18">
        <f t="shared" ca="1" si="2"/>
        <v>26812770.344182871</v>
      </c>
    </row>
    <row r="22" spans="1:21" x14ac:dyDescent="0.25">
      <c r="A22" s="3">
        <f>'Monthly Data'!A22</f>
        <v>42614</v>
      </c>
      <c r="B22" s="1">
        <f t="shared" si="0"/>
        <v>2016</v>
      </c>
      <c r="C22" s="1">
        <f t="shared" si="1"/>
        <v>9</v>
      </c>
      <c r="D22" s="268">
        <f>'Monthly Data'!N22</f>
        <v>25339421.831471663</v>
      </c>
      <c r="E22" s="278">
        <f t="shared" ca="1" si="3"/>
        <v>54.959440993788824</v>
      </c>
      <c r="F22" s="278">
        <f t="shared" ca="1" si="3"/>
        <v>106.4160119047619</v>
      </c>
      <c r="G22" s="278">
        <f>'Monthly Data'!BB22</f>
        <v>40.929166666666667</v>
      </c>
      <c r="H22" s="278">
        <f>'Monthly Data'!BI22</f>
        <v>176.5541666666667</v>
      </c>
      <c r="I22" s="24">
        <f>'Monthly Data'!CG22</f>
        <v>0</v>
      </c>
      <c r="J22" s="278">
        <f>'Monthly Data'!AL22</f>
        <v>746606</v>
      </c>
      <c r="K22" s="278">
        <f>'Monthly Data'!CD22</f>
        <v>30</v>
      </c>
      <c r="M22" s="18"/>
      <c r="N22" s="18">
        <f ca="1">(E22-G22)*'GS 50-999 Predicted Monthly'!$V$11</f>
        <v>258926.84332617486</v>
      </c>
      <c r="O22" s="18">
        <f ca="1">(F22-H22)*'GS 50-999 Predicted Monthly'!$V$12</f>
        <v>-2021868.5674058895</v>
      </c>
      <c r="P22" s="18"/>
      <c r="Q22" s="18"/>
      <c r="R22" s="18"/>
      <c r="S22" s="18">
        <f t="shared" ca="1" si="2"/>
        <v>23576480.107391946</v>
      </c>
    </row>
    <row r="23" spans="1:21" x14ac:dyDescent="0.25">
      <c r="A23" s="3">
        <f>'Monthly Data'!A23</f>
        <v>42644</v>
      </c>
      <c r="B23" s="1">
        <f t="shared" si="0"/>
        <v>2016</v>
      </c>
      <c r="C23" s="1">
        <f t="shared" si="1"/>
        <v>10</v>
      </c>
      <c r="D23" s="268">
        <f>'Monthly Data'!N23</f>
        <v>26431491.689325772</v>
      </c>
      <c r="E23" s="278">
        <f t="shared" ca="1" si="3"/>
        <v>237.89681159420289</v>
      </c>
      <c r="F23" s="278">
        <f t="shared" ca="1" si="3"/>
        <v>17.987083333333334</v>
      </c>
      <c r="G23" s="278">
        <f>'Monthly Data'!BB23</f>
        <v>222.13333333333333</v>
      </c>
      <c r="H23" s="278">
        <f>'Monthly Data'!BI23</f>
        <v>52.383333333333333</v>
      </c>
      <c r="I23" s="24">
        <f>'Monthly Data'!CG23</f>
        <v>0</v>
      </c>
      <c r="J23" s="278">
        <f>'Monthly Data'!AL23</f>
        <v>745380</v>
      </c>
      <c r="K23" s="278">
        <f>'Monthly Data'!CD23</f>
        <v>31</v>
      </c>
      <c r="M23" s="18"/>
      <c r="N23" s="18">
        <f ca="1">(E23-G23)*'GS 50-999 Predicted Monthly'!$V$11</f>
        <v>290912.89099298301</v>
      </c>
      <c r="O23" s="18">
        <f ca="1">(F23-H23)*'GS 50-999 Predicted Monthly'!$V$12</f>
        <v>-991538.72735482466</v>
      </c>
      <c r="P23" s="18"/>
      <c r="Q23" s="18"/>
      <c r="R23" s="18"/>
      <c r="S23" s="18">
        <f t="shared" ca="1" si="2"/>
        <v>25730865.852963932</v>
      </c>
    </row>
    <row r="24" spans="1:21" x14ac:dyDescent="0.25">
      <c r="A24" s="3">
        <f>'Monthly Data'!A24</f>
        <v>42675</v>
      </c>
      <c r="B24" s="1">
        <f t="shared" si="0"/>
        <v>2016</v>
      </c>
      <c r="C24" s="1">
        <f t="shared" si="1"/>
        <v>11</v>
      </c>
      <c r="D24" s="268">
        <f>'Monthly Data'!N24</f>
        <v>26484968.386753168</v>
      </c>
      <c r="E24" s="278">
        <f t="shared" ca="1" si="3"/>
        <v>426.62991389045737</v>
      </c>
      <c r="F24" s="278">
        <f t="shared" ca="1" si="3"/>
        <v>0.8083333333333329</v>
      </c>
      <c r="G24" s="278">
        <f>'Monthly Data'!BB24</f>
        <v>377.33511904761912</v>
      </c>
      <c r="H24" s="278">
        <f>'Monthly Data'!BI24</f>
        <v>1.3291666666666675</v>
      </c>
      <c r="I24" s="24">
        <f>'Monthly Data'!CG24</f>
        <v>0</v>
      </c>
      <c r="J24" s="278">
        <f>'Monthly Data'!AL24</f>
        <v>745380</v>
      </c>
      <c r="K24" s="278">
        <f>'Monthly Data'!CD24</f>
        <v>30</v>
      </c>
      <c r="M24" s="18"/>
      <c r="N24" s="18">
        <f ca="1">(E24-G24)*'GS 50-999 Predicted Monthly'!$V$11</f>
        <v>909728.87083139247</v>
      </c>
      <c r="O24" s="18">
        <f ca="1">(F24-H24)*'GS 50-999 Predicted Monthly'!$V$12</f>
        <v>-15014.03264882962</v>
      </c>
      <c r="P24" s="18"/>
      <c r="Q24" s="18"/>
      <c r="R24" s="18"/>
      <c r="S24" s="18">
        <f t="shared" ca="1" si="2"/>
        <v>27379683.224935733</v>
      </c>
    </row>
    <row r="25" spans="1:21"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Data'!BB25</f>
        <v>616.67083333333335</v>
      </c>
      <c r="H25" s="278">
        <f>'Monthly Data'!BI25</f>
        <v>0</v>
      </c>
      <c r="I25" s="24">
        <f>'Monthly Data'!CG25</f>
        <v>0</v>
      </c>
      <c r="J25" s="278">
        <f>'Monthly Data'!AL25</f>
        <v>745380</v>
      </c>
      <c r="K25" s="278">
        <f>'Monthly Data'!CD25</f>
        <v>31</v>
      </c>
      <c r="M25" s="18"/>
      <c r="N25" s="18">
        <f ca="1">(E25-G25)*'GS 50-999 Predicted Monthly'!$V$11</f>
        <v>-714993.69337621937</v>
      </c>
      <c r="O25" s="18">
        <f ca="1">(F25-H25)*'GS 50-999 Predicted Monthly'!$V$12</f>
        <v>0</v>
      </c>
      <c r="P25" s="18"/>
      <c r="Q25" s="18"/>
      <c r="R25" s="18"/>
      <c r="S25" s="18">
        <f t="shared" ca="1" si="2"/>
        <v>30506248.797964282</v>
      </c>
    </row>
    <row r="26" spans="1:21" x14ac:dyDescent="0.25">
      <c r="A26" s="3">
        <f>'Monthly Data'!A26</f>
        <v>42736</v>
      </c>
      <c r="B26" s="1">
        <f t="shared" si="0"/>
        <v>2017</v>
      </c>
      <c r="C26" s="1">
        <f t="shared" si="1"/>
        <v>1</v>
      </c>
      <c r="D26" s="268">
        <f>'Monthly Data'!N26</f>
        <v>34806736.410082474</v>
      </c>
      <c r="E26" s="278">
        <f t="shared" ref="E26:F33" ca="1" si="4">E14</f>
        <v>697.33418478260876</v>
      </c>
      <c r="F26" s="278">
        <f t="shared" ca="1" si="4"/>
        <v>0</v>
      </c>
      <c r="G26" s="278">
        <f>'Monthly Data'!BB26</f>
        <v>620.2166666666667</v>
      </c>
      <c r="H26" s="278">
        <f>'Monthly Data'!BI26</f>
        <v>0</v>
      </c>
      <c r="I26" s="24">
        <f>'Monthly Data'!CG26</f>
        <v>0</v>
      </c>
      <c r="J26" s="278">
        <f>'Monthly Data'!AL26</f>
        <v>756702</v>
      </c>
      <c r="K26" s="278">
        <f>'Monthly Data'!CD26</f>
        <v>31</v>
      </c>
      <c r="M26" s="18"/>
      <c r="N26" s="18">
        <f ca="1">(E26-G26)*'GS 50-999 Predicted Monthly'!$V$11</f>
        <v>1423193.5217624293</v>
      </c>
      <c r="O26" s="18">
        <f ca="1">(F26-H26)*'GS 50-999 Predicted Monthly'!$V$12</f>
        <v>0</v>
      </c>
      <c r="P26" s="18"/>
      <c r="Q26" s="18"/>
      <c r="R26" s="18"/>
      <c r="S26" s="18">
        <f t="shared" ca="1" si="2"/>
        <v>36229929.931844905</v>
      </c>
    </row>
    <row r="27" spans="1:21" x14ac:dyDescent="0.25">
      <c r="A27" s="3">
        <f>'Monthly Data'!A27</f>
        <v>42767</v>
      </c>
      <c r="B27" s="1">
        <f t="shared" si="0"/>
        <v>2017</v>
      </c>
      <c r="C27" s="1">
        <f t="shared" si="1"/>
        <v>2</v>
      </c>
      <c r="D27" s="268">
        <f>'Monthly Data'!N27</f>
        <v>28838170.041093104</v>
      </c>
      <c r="E27" s="278">
        <f t="shared" ca="1" si="4"/>
        <v>624.25501811594188</v>
      </c>
      <c r="F27" s="278">
        <f t="shared" ca="1" si="4"/>
        <v>0</v>
      </c>
      <c r="G27" s="278">
        <f>'Monthly Data'!BB27</f>
        <v>530.08333333333337</v>
      </c>
      <c r="H27" s="278">
        <f>'Monthly Data'!BI27</f>
        <v>0</v>
      </c>
      <c r="I27" s="24">
        <f>'Monthly Data'!CG27</f>
        <v>0</v>
      </c>
      <c r="J27" s="278">
        <f>'Monthly Data'!AL27</f>
        <v>756702</v>
      </c>
      <c r="K27" s="278">
        <f>'Monthly Data'!CD27</f>
        <v>28</v>
      </c>
      <c r="M27" s="18"/>
      <c r="N27" s="18">
        <f ca="1">(E27-G27)*'GS 50-999 Predicted Monthly'!$V$11</f>
        <v>1737925.8953142562</v>
      </c>
      <c r="O27" s="18">
        <f ca="1">(F27-H27)*'GS 50-999 Predicted Monthly'!$V$12</f>
        <v>0</v>
      </c>
      <c r="P27" s="18"/>
      <c r="Q27" s="18"/>
      <c r="R27" s="18"/>
      <c r="S27" s="18">
        <f t="shared" ca="1" si="2"/>
        <v>30576095.936407361</v>
      </c>
    </row>
    <row r="28" spans="1:21" x14ac:dyDescent="0.25">
      <c r="A28" s="3">
        <f>'Monthly Data'!A28</f>
        <v>42795</v>
      </c>
      <c r="B28" s="1">
        <f t="shared" si="0"/>
        <v>2017</v>
      </c>
      <c r="C28" s="1">
        <f t="shared" si="1"/>
        <v>3</v>
      </c>
      <c r="D28" s="268">
        <f>'Monthly Data'!N28</f>
        <v>30947017.582069278</v>
      </c>
      <c r="E28" s="278">
        <f t="shared" ca="1" si="4"/>
        <v>546.13298913043491</v>
      </c>
      <c r="F28" s="278">
        <f t="shared" ca="1" si="4"/>
        <v>0</v>
      </c>
      <c r="G28" s="278">
        <f>'Monthly Data'!BB28</f>
        <v>599.67916666666667</v>
      </c>
      <c r="H28" s="278">
        <f>'Monthly Data'!BI28</f>
        <v>0</v>
      </c>
      <c r="I28" s="24">
        <f>'Monthly Data'!CG28</f>
        <v>0</v>
      </c>
      <c r="J28" s="278">
        <f>'Monthly Data'!AL28</f>
        <v>756702</v>
      </c>
      <c r="K28" s="278">
        <f>'Monthly Data'!CD28</f>
        <v>31</v>
      </c>
      <c r="M28" s="18"/>
      <c r="N28" s="18">
        <f ca="1">(E28-G28)*'GS 50-999 Predicted Monthly'!$V$11</f>
        <v>-988187.57198764442</v>
      </c>
      <c r="O28" s="18">
        <f ca="1">(F28-H28)*'GS 50-999 Predicted Monthly'!$V$12</f>
        <v>0</v>
      </c>
      <c r="P28" s="18"/>
      <c r="Q28" s="18"/>
      <c r="R28" s="18"/>
      <c r="S28" s="18">
        <f t="shared" ca="1" si="2"/>
        <v>29958830.010081634</v>
      </c>
    </row>
    <row r="29" spans="1:21" x14ac:dyDescent="0.25">
      <c r="A29" s="3">
        <f>'Monthly Data'!A29</f>
        <v>42826</v>
      </c>
      <c r="B29" s="1">
        <f t="shared" si="0"/>
        <v>2017</v>
      </c>
      <c r="C29" s="1">
        <f t="shared" si="1"/>
        <v>4</v>
      </c>
      <c r="D29" s="268">
        <f>'Monthly Data'!N29</f>
        <v>25802014.556424748</v>
      </c>
      <c r="E29" s="278">
        <f t="shared" ca="1" si="4"/>
        <v>352.41399621212122</v>
      </c>
      <c r="F29" s="278">
        <f t="shared" ca="1" si="4"/>
        <v>2.1908333333333347</v>
      </c>
      <c r="G29" s="278">
        <f>'Monthly Data'!BB29</f>
        <v>288.73333333333335</v>
      </c>
      <c r="H29" s="278">
        <f>'Monthly Data'!BI29</f>
        <v>12.412500000000001</v>
      </c>
      <c r="I29" s="24">
        <f>'Monthly Data'!CG29</f>
        <v>0</v>
      </c>
      <c r="J29" s="278">
        <f>'Monthly Data'!AL29</f>
        <v>764644</v>
      </c>
      <c r="K29" s="278">
        <f>'Monthly Data'!CD29</f>
        <v>30</v>
      </c>
      <c r="M29" s="18"/>
      <c r="N29" s="18">
        <f ca="1">(E29-G29)*'GS 50-999 Predicted Monthly'!$V$11</f>
        <v>1175218.1486749989</v>
      </c>
      <c r="O29" s="18">
        <f ca="1">(F29-H29)*'GS 50-999 Predicted Monthly'!$V$12</f>
        <v>-294659.39915286994</v>
      </c>
      <c r="P29" s="18"/>
      <c r="Q29" s="18"/>
      <c r="R29" s="18"/>
      <c r="S29" s="18">
        <f t="shared" ca="1" si="2"/>
        <v>26682573.305946875</v>
      </c>
    </row>
    <row r="30" spans="1:21" x14ac:dyDescent="0.25">
      <c r="A30" s="3">
        <f>'Monthly Data'!A30</f>
        <v>42856</v>
      </c>
      <c r="B30" s="1">
        <f t="shared" si="0"/>
        <v>2017</v>
      </c>
      <c r="C30" s="1">
        <f t="shared" si="1"/>
        <v>5</v>
      </c>
      <c r="D30" s="268">
        <f>'Monthly Data'!N30</f>
        <v>27647143.955622979</v>
      </c>
      <c r="E30" s="278">
        <f t="shared" ca="1" si="4"/>
        <v>150.136897859768</v>
      </c>
      <c r="F30" s="278">
        <f t="shared" ca="1" si="4"/>
        <v>52.487435064935063</v>
      </c>
      <c r="G30" s="278">
        <f>'Monthly Data'!BB30</f>
        <v>188.63749999999999</v>
      </c>
      <c r="H30" s="278">
        <f>'Monthly Data'!BI30</f>
        <v>54.529166666666683</v>
      </c>
      <c r="I30" s="24">
        <f>'Monthly Data'!CG30</f>
        <v>0</v>
      </c>
      <c r="J30" s="278">
        <f>'Monthly Data'!AL30</f>
        <v>764644</v>
      </c>
      <c r="K30" s="278">
        <f>'Monthly Data'!CD30</f>
        <v>31</v>
      </c>
      <c r="M30" s="18"/>
      <c r="N30" s="18">
        <f ca="1">(E30-G30)*'GS 50-999 Predicted Monthly'!$V$11</f>
        <v>-710523.48271311505</v>
      </c>
      <c r="O30" s="18">
        <f ca="1">(F30-H30)*'GS 50-999 Predicted Monthly'!$V$12</f>
        <v>-58856.879862807662</v>
      </c>
      <c r="P30" s="18"/>
      <c r="Q30" s="18"/>
      <c r="R30" s="18"/>
      <c r="S30" s="18">
        <f t="shared" ca="1" si="2"/>
        <v>26877763.593047056</v>
      </c>
    </row>
    <row r="31" spans="1:21" x14ac:dyDescent="0.25">
      <c r="A31" s="3">
        <f>'Monthly Data'!A31</f>
        <v>42887</v>
      </c>
      <c r="B31" s="1">
        <f t="shared" si="0"/>
        <v>2017</v>
      </c>
      <c r="C31" s="1">
        <f t="shared" si="1"/>
        <v>6</v>
      </c>
      <c r="D31" s="268">
        <f>'Monthly Data'!N31</f>
        <v>24510322.97232236</v>
      </c>
      <c r="E31" s="278">
        <f t="shared" ca="1" si="4"/>
        <v>32.520923826173821</v>
      </c>
      <c r="F31" s="278">
        <f t="shared" ca="1" si="4"/>
        <v>137.65451754405018</v>
      </c>
      <c r="G31" s="278">
        <f>'Monthly Data'!BB31</f>
        <v>47.73249999999998</v>
      </c>
      <c r="H31" s="278">
        <f>'Monthly Data'!BI31</f>
        <v>168.62166666666667</v>
      </c>
      <c r="I31" s="24">
        <f>'Monthly Data'!CG31</f>
        <v>0</v>
      </c>
      <c r="J31" s="278">
        <f>'Monthly Data'!AL31</f>
        <v>764644</v>
      </c>
      <c r="K31" s="278">
        <f>'Monthly Data'!CD31</f>
        <v>30</v>
      </c>
      <c r="M31" s="18"/>
      <c r="N31" s="18">
        <f ca="1">(E31-G31)*'GS 50-999 Predicted Monthly'!$V$11</f>
        <v>-280727.61151152418</v>
      </c>
      <c r="O31" s="18">
        <f ca="1">(F31-H31)*'GS 50-999 Predicted Monthly'!$V$12</f>
        <v>-892688.23289882566</v>
      </c>
      <c r="P31" s="18"/>
      <c r="Q31" s="18"/>
      <c r="R31" s="18"/>
      <c r="S31" s="18">
        <f t="shared" ca="1" si="2"/>
        <v>23336907.127912011</v>
      </c>
    </row>
    <row r="32" spans="1:21" x14ac:dyDescent="0.25">
      <c r="A32" s="3">
        <f>'Monthly Data'!A32</f>
        <v>42917</v>
      </c>
      <c r="B32" s="1">
        <f t="shared" si="0"/>
        <v>2017</v>
      </c>
      <c r="C32" s="1">
        <f t="shared" si="1"/>
        <v>7</v>
      </c>
      <c r="D32" s="268">
        <f>'Monthly Data'!N32</f>
        <v>31469547.442503113</v>
      </c>
      <c r="E32" s="278">
        <f t="shared" ca="1" si="4"/>
        <v>1.6179166666666653</v>
      </c>
      <c r="F32" s="278">
        <f t="shared" ca="1" si="4"/>
        <v>235.94737858727848</v>
      </c>
      <c r="G32" s="278">
        <f>'Monthly Data'!BB32</f>
        <v>1.8041666666666707</v>
      </c>
      <c r="H32" s="278">
        <f>'Monthly Data'!BI32</f>
        <v>260.16666666666657</v>
      </c>
      <c r="I32" s="24">
        <f>'Monthly Data'!CG32</f>
        <v>0</v>
      </c>
      <c r="J32" s="278">
        <f>'Monthly Data'!AL32</f>
        <v>765060</v>
      </c>
      <c r="K32" s="278">
        <f>'Monthly Data'!CD32</f>
        <v>31</v>
      </c>
      <c r="M32" s="18"/>
      <c r="N32" s="18">
        <f ca="1">(E32-G32)*'GS 50-999 Predicted Monthly'!$V$11</f>
        <v>-3437.2189342211695</v>
      </c>
      <c r="O32" s="18">
        <f ca="1">(F32-H32)*'GS 50-999 Predicted Monthly'!$V$12</f>
        <v>-698168.02935425658</v>
      </c>
      <c r="P32" s="18"/>
      <c r="Q32" s="18"/>
      <c r="R32" s="18"/>
      <c r="S32" s="18">
        <f t="shared" ca="1" si="2"/>
        <v>30767942.194214638</v>
      </c>
    </row>
    <row r="33" spans="1:19" x14ac:dyDescent="0.25">
      <c r="A33" s="3">
        <f>'Monthly Data'!A33</f>
        <v>42948</v>
      </c>
      <c r="B33" s="1">
        <f t="shared" si="0"/>
        <v>2017</v>
      </c>
      <c r="C33" s="1">
        <f t="shared" si="1"/>
        <v>8</v>
      </c>
      <c r="D33" s="268">
        <f>'Monthly Data'!N33</f>
        <v>27041145.811984874</v>
      </c>
      <c r="E33" s="278">
        <f t="shared" ca="1" si="4"/>
        <v>5.6499999999999977</v>
      </c>
      <c r="F33" s="278">
        <f t="shared" ca="1" si="4"/>
        <v>210.96558794466404</v>
      </c>
      <c r="G33" s="278">
        <f>'Monthly Data'!BB33</f>
        <v>17.950000000000006</v>
      </c>
      <c r="H33" s="278">
        <f>'Monthly Data'!BI33</f>
        <v>217.42409420289852</v>
      </c>
      <c r="I33" s="24">
        <f>'Monthly Data'!CG33</f>
        <v>0</v>
      </c>
      <c r="J33" s="278">
        <f>'Monthly Data'!AL33</f>
        <v>765060</v>
      </c>
      <c r="K33" s="278">
        <f>'Monthly Data'!CD33</f>
        <v>31</v>
      </c>
      <c r="M33" s="18"/>
      <c r="N33" s="18">
        <f ca="1">(E33-G33)*'GS 50-999 Predicted Monthly'!$V$11</f>
        <v>-226994.8611592977</v>
      </c>
      <c r="O33" s="18">
        <f ca="1">(F33-H33)*'GS 50-999 Predicted Monthly'!$V$12</f>
        <v>-186178.98974170111</v>
      </c>
      <c r="P33" s="18"/>
      <c r="Q33" s="18"/>
      <c r="R33" s="18"/>
      <c r="S33" s="18">
        <f t="shared" ca="1" si="2"/>
        <v>26627971.961083874</v>
      </c>
    </row>
    <row r="34" spans="1:19" x14ac:dyDescent="0.25">
      <c r="A34" s="3">
        <f>'Monthly Data'!A34</f>
        <v>42979</v>
      </c>
      <c r="B34" s="1">
        <f t="shared" si="0"/>
        <v>2017</v>
      </c>
      <c r="C34" s="1">
        <f t="shared" si="1"/>
        <v>9</v>
      </c>
      <c r="D34" s="268">
        <f>'Monthly Data'!N34</f>
        <v>27701627.05622584</v>
      </c>
      <c r="E34" s="278">
        <f t="shared" ref="E34:F49" ca="1" si="5">E22</f>
        <v>54.959440993788824</v>
      </c>
      <c r="F34" s="278">
        <f t="shared" ca="1" si="5"/>
        <v>106.4160119047619</v>
      </c>
      <c r="G34" s="278">
        <f>'Monthly Data'!BB34</f>
        <v>65.699999999999989</v>
      </c>
      <c r="H34" s="278">
        <f>'Monthly Data'!BI34</f>
        <v>161.3125</v>
      </c>
      <c r="I34" s="24">
        <f>'Monthly Data'!CG34</f>
        <v>0</v>
      </c>
      <c r="J34" s="278">
        <f>'Monthly Data'!AL34</f>
        <v>765060</v>
      </c>
      <c r="K34" s="278">
        <f>'Monthly Data'!CD34</f>
        <v>30</v>
      </c>
      <c r="M34" s="18"/>
      <c r="N34" s="18">
        <f ca="1">(E34-G34)*'GS 50-999 Predicted Monthly'!$V$11</f>
        <v>-198215.58539741024</v>
      </c>
      <c r="O34" s="18">
        <f ca="1">(F34-H34)*'GS 50-999 Predicted Monthly'!$V$12</f>
        <v>-1582497.9159705397</v>
      </c>
      <c r="P34" s="18"/>
      <c r="Q34" s="18"/>
      <c r="R34" s="18"/>
      <c r="S34" s="18">
        <f t="shared" ref="S34:S65" ca="1" si="6">D34+N34+O34</f>
        <v>25920913.554857887</v>
      </c>
    </row>
    <row r="35" spans="1:19" x14ac:dyDescent="0.25">
      <c r="A35" s="3">
        <f>'Monthly Data'!A35</f>
        <v>43009</v>
      </c>
      <c r="B35" s="1">
        <f t="shared" si="0"/>
        <v>2017</v>
      </c>
      <c r="C35" s="1">
        <f t="shared" si="1"/>
        <v>10</v>
      </c>
      <c r="D35" s="268">
        <f>'Monthly Data'!N35</f>
        <v>28543126.735597521</v>
      </c>
      <c r="E35" s="278">
        <f t="shared" ca="1" si="5"/>
        <v>237.89681159420289</v>
      </c>
      <c r="F35" s="278">
        <f t="shared" ca="1" si="5"/>
        <v>17.987083333333334</v>
      </c>
      <c r="G35" s="278">
        <f>'Monthly Data'!BB35</f>
        <v>179.70833333333334</v>
      </c>
      <c r="H35" s="278">
        <f>'Monthly Data'!BI35</f>
        <v>59.400000000000006</v>
      </c>
      <c r="I35" s="24">
        <f>'Monthly Data'!CG35</f>
        <v>0</v>
      </c>
      <c r="J35" s="278">
        <f>'Monthly Data'!AL35</f>
        <v>771453</v>
      </c>
      <c r="K35" s="278">
        <f>'Monthly Data'!CD35</f>
        <v>31</v>
      </c>
      <c r="M35" s="18"/>
      <c r="N35" s="18">
        <f ca="1">(E35-G35)*'GS 50-999 Predicted Monthly'!$V$11</f>
        <v>1073860.61332495</v>
      </c>
      <c r="O35" s="18">
        <f ca="1">(F35-H35)*'GS 50-999 Predicted Monthly'!$V$12</f>
        <v>-1193807.7751998571</v>
      </c>
      <c r="P35" s="18"/>
      <c r="Q35" s="18"/>
      <c r="R35" s="18"/>
      <c r="S35" s="18">
        <f t="shared" ca="1" si="6"/>
        <v>28423179.573722616</v>
      </c>
    </row>
    <row r="36" spans="1:19" x14ac:dyDescent="0.25">
      <c r="A36" s="3">
        <f>'Monthly Data'!A36</f>
        <v>43040</v>
      </c>
      <c r="B36" s="1">
        <f t="shared" si="0"/>
        <v>2017</v>
      </c>
      <c r="C36" s="1">
        <f t="shared" si="1"/>
        <v>11</v>
      </c>
      <c r="D36" s="268">
        <f>'Monthly Data'!N36</f>
        <v>28958644.867446724</v>
      </c>
      <c r="E36" s="278">
        <f t="shared" ca="1" si="5"/>
        <v>426.62991389045737</v>
      </c>
      <c r="F36" s="278">
        <f t="shared" ca="1" si="5"/>
        <v>0.8083333333333329</v>
      </c>
      <c r="G36" s="278">
        <f>'Monthly Data'!BB36</f>
        <v>442.61174242424244</v>
      </c>
      <c r="H36" s="278">
        <f>'Monthly Data'!BI36</f>
        <v>0</v>
      </c>
      <c r="I36" s="24">
        <f>'Monthly Data'!CG36</f>
        <v>0</v>
      </c>
      <c r="J36" s="278">
        <f>'Monthly Data'!AL36</f>
        <v>771453</v>
      </c>
      <c r="K36" s="278">
        <f>'Monthly Data'!CD36</f>
        <v>30</v>
      </c>
      <c r="M36" s="18"/>
      <c r="N36" s="18">
        <f ca="1">(E36-G36)*'GS 50-999 Predicted Monthly'!$V$11</f>
        <v>-294942.51618684881</v>
      </c>
      <c r="O36" s="18">
        <f ca="1">(F36-H36)*'GS 50-999 Predicted Monthly'!$V$12</f>
        <v>23301.778670983502</v>
      </c>
      <c r="P36" s="18"/>
      <c r="Q36" s="18"/>
      <c r="R36" s="18"/>
      <c r="S36" s="18">
        <f t="shared" ca="1" si="6"/>
        <v>28687004.129930861</v>
      </c>
    </row>
    <row r="37" spans="1:19" x14ac:dyDescent="0.25">
      <c r="A37" s="3">
        <f>'Monthly Data'!A37</f>
        <v>43070</v>
      </c>
      <c r="B37" s="1">
        <f t="shared" si="0"/>
        <v>2017</v>
      </c>
      <c r="C37" s="1">
        <f t="shared" si="1"/>
        <v>12</v>
      </c>
      <c r="D37" s="268">
        <f>'Monthly Data'!N37</f>
        <v>32603693.979294565</v>
      </c>
      <c r="E37" s="278">
        <f t="shared" ca="1" si="5"/>
        <v>577.92800724637686</v>
      </c>
      <c r="F37" s="278">
        <f t="shared" ca="1" si="5"/>
        <v>0</v>
      </c>
      <c r="G37" s="278">
        <f>'Monthly Data'!BB37</f>
        <v>736.31250000000011</v>
      </c>
      <c r="H37" s="278">
        <f>'Monthly Data'!BI37</f>
        <v>0</v>
      </c>
      <c r="I37" s="24">
        <f>'Monthly Data'!CG37</f>
        <v>0</v>
      </c>
      <c r="J37" s="278">
        <f>'Monthly Data'!AL37</f>
        <v>771453</v>
      </c>
      <c r="K37" s="278">
        <f>'Monthly Data'!CD37</f>
        <v>31</v>
      </c>
      <c r="M37" s="18"/>
      <c r="N37" s="18">
        <f ca="1">(E37-G37)*'GS 50-999 Predicted Monthly'!$V$11</f>
        <v>-2922964.7107637785</v>
      </c>
      <c r="O37" s="18">
        <f ca="1">(F37-H37)*'GS 50-999 Predicted Monthly'!$V$12</f>
        <v>0</v>
      </c>
      <c r="P37" s="18"/>
      <c r="Q37" s="18"/>
      <c r="R37" s="18"/>
      <c r="S37" s="18">
        <f t="shared" ca="1" si="6"/>
        <v>29680729.268530786</v>
      </c>
    </row>
    <row r="38" spans="1:19" x14ac:dyDescent="0.25">
      <c r="A38" s="3">
        <f>'Monthly Data'!A38</f>
        <v>43101</v>
      </c>
      <c r="B38" s="1">
        <f t="shared" si="0"/>
        <v>2018</v>
      </c>
      <c r="C38" s="1">
        <f t="shared" si="1"/>
        <v>1</v>
      </c>
      <c r="D38" s="268">
        <f>'Monthly Data'!N38</f>
        <v>33872703.090109438</v>
      </c>
      <c r="E38" s="278">
        <f t="shared" ca="1" si="5"/>
        <v>697.33418478260876</v>
      </c>
      <c r="F38" s="278">
        <f t="shared" ca="1" si="5"/>
        <v>0</v>
      </c>
      <c r="G38" s="278">
        <f>'Monthly Data'!BB38</f>
        <v>750.53750000000002</v>
      </c>
      <c r="H38" s="278">
        <f>'Monthly Data'!BI38</f>
        <v>0</v>
      </c>
      <c r="I38" s="24">
        <f>'Monthly Data'!CG38</f>
        <v>0</v>
      </c>
      <c r="J38" s="278">
        <f>'Monthly Data'!AL38</f>
        <v>779459</v>
      </c>
      <c r="K38" s="278">
        <f>'Monthly Data'!CD38</f>
        <v>31</v>
      </c>
      <c r="M38" s="18"/>
      <c r="N38" s="18">
        <f ca="1">(E38-G38)*'GS 50-999 Predicted Monthly'!$V$11</f>
        <v>-981860.09357610345</v>
      </c>
      <c r="O38" s="18">
        <f ca="1">(F38-H38)*'GS 50-999 Predicted Monthly'!$V$12</f>
        <v>0</v>
      </c>
      <c r="P38" s="18"/>
      <c r="Q38" s="18"/>
      <c r="R38" s="18"/>
      <c r="S38" s="18">
        <f t="shared" ca="1" si="6"/>
        <v>32890842.996533334</v>
      </c>
    </row>
    <row r="39" spans="1:19" x14ac:dyDescent="0.25">
      <c r="A39" s="3">
        <f>'Monthly Data'!A39</f>
        <v>43132</v>
      </c>
      <c r="B39" s="1">
        <f t="shared" si="0"/>
        <v>2018</v>
      </c>
      <c r="C39" s="1">
        <f t="shared" si="1"/>
        <v>2</v>
      </c>
      <c r="D39" s="268">
        <f>'Monthly Data'!N39</f>
        <v>27039739.170188677</v>
      </c>
      <c r="E39" s="278">
        <f t="shared" ca="1" si="5"/>
        <v>624.25501811594188</v>
      </c>
      <c r="F39" s="278">
        <f t="shared" ca="1" si="5"/>
        <v>0</v>
      </c>
      <c r="G39" s="278">
        <f>'Monthly Data'!BB39</f>
        <v>576.49583333333317</v>
      </c>
      <c r="H39" s="278">
        <f>'Monthly Data'!BI39</f>
        <v>0</v>
      </c>
      <c r="I39" s="24">
        <f>'Monthly Data'!CG39</f>
        <v>0</v>
      </c>
      <c r="J39" s="278">
        <f>'Monthly Data'!AL39</f>
        <v>779459</v>
      </c>
      <c r="K39" s="278">
        <f>'Monthly Data'!CD39</f>
        <v>28</v>
      </c>
      <c r="M39" s="18"/>
      <c r="N39" s="18">
        <f ca="1">(E39-G39)*'GS 50-999 Predicted Monthly'!$V$11</f>
        <v>881389.39177313016</v>
      </c>
      <c r="O39" s="18">
        <f ca="1">(F39-H39)*'GS 50-999 Predicted Monthly'!$V$12</f>
        <v>0</v>
      </c>
      <c r="P39" s="18"/>
      <c r="Q39" s="18"/>
      <c r="R39" s="18"/>
      <c r="S39" s="18">
        <f t="shared" ca="1" si="6"/>
        <v>27921128.561961807</v>
      </c>
    </row>
    <row r="40" spans="1:19" x14ac:dyDescent="0.25">
      <c r="A40" s="3">
        <f>'Monthly Data'!A40</f>
        <v>43160</v>
      </c>
      <c r="B40" s="1">
        <f t="shared" si="0"/>
        <v>2018</v>
      </c>
      <c r="C40" s="1">
        <f t="shared" si="1"/>
        <v>3</v>
      </c>
      <c r="D40" s="268">
        <f>'Monthly Data'!N40</f>
        <v>28989337.312387191</v>
      </c>
      <c r="E40" s="278">
        <f t="shared" ca="1" si="5"/>
        <v>546.13298913043491</v>
      </c>
      <c r="F40" s="278">
        <f t="shared" ca="1" si="5"/>
        <v>0</v>
      </c>
      <c r="G40" s="278">
        <f>'Monthly Data'!BB40</f>
        <v>567.2791666666667</v>
      </c>
      <c r="H40" s="278">
        <f>'Monthly Data'!BI40</f>
        <v>0</v>
      </c>
      <c r="I40" s="24">
        <f>'Monthly Data'!CG40</f>
        <v>0</v>
      </c>
      <c r="J40" s="278">
        <f>'Monthly Data'!AL40</f>
        <v>779459</v>
      </c>
      <c r="K40" s="278">
        <f>'Monthly Data'!CD40</f>
        <v>31</v>
      </c>
      <c r="M40" s="18"/>
      <c r="N40" s="18">
        <f ca="1">(E40-G40)*'GS 50-999 Predicted Monthly'!$V$11</f>
        <v>-390249.88893388549</v>
      </c>
      <c r="O40" s="18">
        <f ca="1">(F40-H40)*'GS 50-999 Predicted Monthly'!$V$12</f>
        <v>0</v>
      </c>
      <c r="P40" s="18"/>
      <c r="Q40" s="18"/>
      <c r="R40" s="18"/>
      <c r="S40" s="18">
        <f t="shared" ca="1" si="6"/>
        <v>28599087.423453305</v>
      </c>
    </row>
    <row r="41" spans="1:19" x14ac:dyDescent="0.25">
      <c r="A41" s="3">
        <f>'Monthly Data'!A41</f>
        <v>43191</v>
      </c>
      <c r="B41" s="1">
        <f t="shared" si="0"/>
        <v>2018</v>
      </c>
      <c r="C41" s="1">
        <f t="shared" si="1"/>
        <v>4</v>
      </c>
      <c r="D41" s="268">
        <f>'Monthly Data'!N41</f>
        <v>27292635.35976962</v>
      </c>
      <c r="E41" s="278">
        <f t="shared" ca="1" si="5"/>
        <v>352.41399621212122</v>
      </c>
      <c r="F41" s="278">
        <f t="shared" ca="1" si="5"/>
        <v>2.1908333333333347</v>
      </c>
      <c r="G41" s="278">
        <f>'Monthly Data'!BB41</f>
        <v>452.51666666666677</v>
      </c>
      <c r="H41" s="278">
        <f>'Monthly Data'!BI41</f>
        <v>0</v>
      </c>
      <c r="I41" s="24">
        <f>'Monthly Data'!CG41</f>
        <v>0</v>
      </c>
      <c r="J41" s="278">
        <f>'Monthly Data'!AL41</f>
        <v>784896</v>
      </c>
      <c r="K41" s="278">
        <f>'Monthly Data'!CD41</f>
        <v>30</v>
      </c>
      <c r="M41" s="18"/>
      <c r="N41" s="18">
        <f ca="1">(E41-G41)*'GS 50-999 Predicted Monthly'!$V$11</f>
        <v>-1847381.445650771</v>
      </c>
      <c r="O41" s="18">
        <f ca="1">(F41-H41)*'GS 50-999 Predicted Monthly'!$V$12</f>
        <v>63155.026934036803</v>
      </c>
      <c r="P41" s="18"/>
      <c r="Q41" s="18"/>
      <c r="R41" s="18"/>
      <c r="S41" s="18">
        <f t="shared" ca="1" si="6"/>
        <v>25508408.941052884</v>
      </c>
    </row>
    <row r="42" spans="1:19" x14ac:dyDescent="0.25">
      <c r="A42" s="3">
        <f>'Monthly Data'!A42</f>
        <v>43221</v>
      </c>
      <c r="B42" s="1">
        <f t="shared" si="0"/>
        <v>2018</v>
      </c>
      <c r="C42" s="1">
        <f t="shared" si="1"/>
        <v>5</v>
      </c>
      <c r="D42" s="268">
        <f>'Monthly Data'!N42</f>
        <v>23108874.049163755</v>
      </c>
      <c r="E42" s="278">
        <f t="shared" ca="1" si="5"/>
        <v>150.136897859768</v>
      </c>
      <c r="F42" s="278">
        <f t="shared" ca="1" si="5"/>
        <v>52.487435064935063</v>
      </c>
      <c r="G42" s="278">
        <f>'Monthly Data'!BB42</f>
        <v>95.407196969696969</v>
      </c>
      <c r="H42" s="278">
        <f>'Monthly Data'!BI42</f>
        <v>127.46720779220779</v>
      </c>
      <c r="I42" s="24">
        <f>'Monthly Data'!CG42</f>
        <v>0</v>
      </c>
      <c r="J42" s="278">
        <f>'Monthly Data'!AL42</f>
        <v>784896</v>
      </c>
      <c r="K42" s="278">
        <f>'Monthly Data'!CD42</f>
        <v>31</v>
      </c>
      <c r="M42" s="18"/>
      <c r="N42" s="18">
        <f ca="1">(E42-G42)*'GS 50-999 Predicted Monthly'!$V$11</f>
        <v>1010029.3377911835</v>
      </c>
      <c r="O42" s="18">
        <f ca="1">(F42-H42)*'GS 50-999 Predicted Monthly'!$V$12</f>
        <v>-2161437.6109998617</v>
      </c>
      <c r="P42" s="18"/>
      <c r="Q42" s="18"/>
      <c r="R42" s="18"/>
      <c r="S42" s="18">
        <f t="shared" ca="1" si="6"/>
        <v>21957465.775955074</v>
      </c>
    </row>
    <row r="43" spans="1:19" x14ac:dyDescent="0.25">
      <c r="A43" s="3">
        <f>'Monthly Data'!A43</f>
        <v>43252</v>
      </c>
      <c r="B43" s="1">
        <f t="shared" si="0"/>
        <v>2018</v>
      </c>
      <c r="C43" s="1">
        <f t="shared" si="1"/>
        <v>6</v>
      </c>
      <c r="D43" s="268">
        <f>'Monthly Data'!N43</f>
        <v>26998818.891324371</v>
      </c>
      <c r="E43" s="278">
        <f t="shared" ca="1" si="5"/>
        <v>32.520923826173821</v>
      </c>
      <c r="F43" s="278">
        <f t="shared" ca="1" si="5"/>
        <v>137.65451754405018</v>
      </c>
      <c r="G43" s="278">
        <f>'Monthly Data'!BB43</f>
        <v>23.060227272727261</v>
      </c>
      <c r="H43" s="278">
        <f>'Monthly Data'!BI43</f>
        <v>198.19393939393944</v>
      </c>
      <c r="I43" s="24">
        <f>'Monthly Data'!CG43</f>
        <v>0</v>
      </c>
      <c r="J43" s="278">
        <f>'Monthly Data'!AL43</f>
        <v>784896</v>
      </c>
      <c r="K43" s="278">
        <f>'Monthly Data'!CD43</f>
        <v>30</v>
      </c>
      <c r="M43" s="18"/>
      <c r="N43" s="18">
        <f ca="1">(E43-G43)*'GS 50-999 Predicted Monthly'!$V$11</f>
        <v>174595.89435933714</v>
      </c>
      <c r="O43" s="18">
        <f ca="1">(F43-H43)*'GS 50-999 Predicted Monthly'!$V$12</f>
        <v>-1745166.4438953686</v>
      </c>
      <c r="P43" s="18"/>
      <c r="Q43" s="18"/>
      <c r="R43" s="18"/>
      <c r="S43" s="18">
        <f t="shared" ca="1" si="6"/>
        <v>25428248.341788337</v>
      </c>
    </row>
    <row r="44" spans="1:19" x14ac:dyDescent="0.25">
      <c r="A44" s="3">
        <f>'Monthly Data'!A44</f>
        <v>43282</v>
      </c>
      <c r="B44" s="1">
        <f t="shared" si="0"/>
        <v>2018</v>
      </c>
      <c r="C44" s="1">
        <f t="shared" si="1"/>
        <v>7</v>
      </c>
      <c r="D44" s="268">
        <f>'Monthly Data'!N44</f>
        <v>29341632.11251267</v>
      </c>
      <c r="E44" s="278">
        <f t="shared" ca="1" si="5"/>
        <v>1.6179166666666653</v>
      </c>
      <c r="F44" s="278">
        <f t="shared" ca="1" si="5"/>
        <v>235.94737858727848</v>
      </c>
      <c r="G44" s="278">
        <f>'Monthly Data'!BB44</f>
        <v>0.19999999999999574</v>
      </c>
      <c r="H44" s="278">
        <f>'Monthly Data'!BI44</f>
        <v>318.39861424807077</v>
      </c>
      <c r="I44" s="24">
        <f>'Monthly Data'!CG44</f>
        <v>0</v>
      </c>
      <c r="J44" s="278">
        <f>'Monthly Data'!AL44</f>
        <v>794140</v>
      </c>
      <c r="K44" s="278">
        <f>'Monthly Data'!CD44</f>
        <v>31</v>
      </c>
      <c r="M44" s="18"/>
      <c r="N44" s="18">
        <f ca="1">(E44-G44)*'GS 50-999 Predicted Monthly'!$V$11</f>
        <v>26167.463161419077</v>
      </c>
      <c r="O44" s="18">
        <f ca="1">(F44-H44)*'GS 50-999 Predicted Monthly'!$V$12</f>
        <v>-2376817.0447631571</v>
      </c>
      <c r="P44" s="18"/>
      <c r="Q44" s="18"/>
      <c r="R44" s="18"/>
      <c r="S44" s="18">
        <f t="shared" ca="1" si="6"/>
        <v>26990982.530910932</v>
      </c>
    </row>
    <row r="45" spans="1:19" x14ac:dyDescent="0.25">
      <c r="A45" s="3">
        <f>'Monthly Data'!A45</f>
        <v>43313</v>
      </c>
      <c r="B45" s="1">
        <f t="shared" si="0"/>
        <v>2018</v>
      </c>
      <c r="C45" s="1">
        <f t="shared" si="1"/>
        <v>8</v>
      </c>
      <c r="D45" s="268">
        <f>'Monthly Data'!N45</f>
        <v>26369450.398397464</v>
      </c>
      <c r="E45" s="278">
        <f t="shared" ca="1" si="5"/>
        <v>5.6499999999999977</v>
      </c>
      <c r="F45" s="278">
        <f t="shared" ca="1" si="5"/>
        <v>210.96558794466404</v>
      </c>
      <c r="G45" s="278">
        <f>'Monthly Data'!BB45</f>
        <v>0.90833333333333144</v>
      </c>
      <c r="H45" s="278">
        <f>'Monthly Data'!BI45</f>
        <v>314.24583333333334</v>
      </c>
      <c r="I45" s="24">
        <f>'Monthly Data'!CG45</f>
        <v>0</v>
      </c>
      <c r="J45" s="278">
        <f>'Monthly Data'!AL45</f>
        <v>794140</v>
      </c>
      <c r="K45" s="278">
        <f>'Monthly Data'!CD45</f>
        <v>31</v>
      </c>
      <c r="M45" s="18"/>
      <c r="N45" s="18">
        <f ca="1">(E45-G45)*'GS 50-999 Predicted Monthly'!$V$11</f>
        <v>87506.826558021872</v>
      </c>
      <c r="O45" s="18">
        <f ca="1">(F45-H45)*'GS 50-999 Predicted Monthly'!$V$12</f>
        <v>-2977253.7143896548</v>
      </c>
      <c r="P45" s="18"/>
      <c r="Q45" s="18"/>
      <c r="R45" s="18"/>
      <c r="S45" s="18">
        <f t="shared" ca="1" si="6"/>
        <v>23479703.510565832</v>
      </c>
    </row>
    <row r="46" spans="1:19" x14ac:dyDescent="0.25">
      <c r="A46" s="3">
        <f>'Monthly Data'!A46</f>
        <v>43344</v>
      </c>
      <c r="B46" s="1">
        <f t="shared" si="0"/>
        <v>2018</v>
      </c>
      <c r="C46" s="1">
        <f t="shared" si="1"/>
        <v>9</v>
      </c>
      <c r="D46" s="268">
        <f>'Monthly Data'!N46</f>
        <v>25218454.832945697</v>
      </c>
      <c r="E46" s="278">
        <f t="shared" ca="1" si="5"/>
        <v>54.959440993788824</v>
      </c>
      <c r="F46" s="278">
        <f t="shared" ca="1" si="5"/>
        <v>106.4160119047619</v>
      </c>
      <c r="G46" s="278">
        <f>'Monthly Data'!BB46</f>
        <v>59.1875</v>
      </c>
      <c r="H46" s="278">
        <f>'Monthly Data'!BI46</f>
        <v>183.48333333333329</v>
      </c>
      <c r="I46" s="24">
        <f>'Monthly Data'!CG46</f>
        <v>0</v>
      </c>
      <c r="J46" s="278">
        <f>'Monthly Data'!AL46</f>
        <v>794140</v>
      </c>
      <c r="K46" s="278">
        <f>'Monthly Data'!CD46</f>
        <v>30</v>
      </c>
      <c r="M46" s="18"/>
      <c r="N46" s="18">
        <f ca="1">(E46-G46)*'GS 50-999 Predicted Monthly'!$V$11</f>
        <v>-78028.265616928722</v>
      </c>
      <c r="O46" s="18">
        <f ca="1">(F46-H46)*'GS 50-999 Predicted Monthly'!$V$12</f>
        <v>-2221615.2577659162</v>
      </c>
      <c r="P46" s="18"/>
      <c r="Q46" s="18"/>
      <c r="R46" s="18"/>
      <c r="S46" s="18">
        <f t="shared" ca="1" si="6"/>
        <v>22918811.309562854</v>
      </c>
    </row>
    <row r="47" spans="1:19" x14ac:dyDescent="0.25">
      <c r="A47" s="3">
        <f>'Monthly Data'!A47</f>
        <v>43374</v>
      </c>
      <c r="B47" s="1">
        <f t="shared" si="0"/>
        <v>2018</v>
      </c>
      <c r="C47" s="1">
        <f t="shared" si="1"/>
        <v>10</v>
      </c>
      <c r="D47" s="268">
        <f>'Monthly Data'!N47</f>
        <v>25367309.651391424</v>
      </c>
      <c r="E47" s="278">
        <f t="shared" ca="1" si="5"/>
        <v>237.89681159420289</v>
      </c>
      <c r="F47" s="278">
        <f t="shared" ca="1" si="5"/>
        <v>17.987083333333334</v>
      </c>
      <c r="G47" s="278">
        <f>'Monthly Data'!BB47</f>
        <v>305.10000000000002</v>
      </c>
      <c r="H47" s="278">
        <f>'Monthly Data'!BI47</f>
        <v>25.358333333333334</v>
      </c>
      <c r="I47" s="24">
        <f>'Monthly Data'!CG47</f>
        <v>0</v>
      </c>
      <c r="J47" s="278">
        <f>'Monthly Data'!AL47</f>
        <v>799632</v>
      </c>
      <c r="K47" s="278">
        <f>'Monthly Data'!CD47</f>
        <v>31</v>
      </c>
      <c r="M47" s="18"/>
      <c r="N47" s="18">
        <f ca="1">(E47-G47)*'GS 50-999 Predicted Monthly'!$V$11</f>
        <v>-1240225.887937889</v>
      </c>
      <c r="O47" s="18">
        <f ca="1">(F47-H47)*'GS 50-999 Predicted Monthly'!$V$12</f>
        <v>-212490.60127235533</v>
      </c>
      <c r="P47" s="18"/>
      <c r="Q47" s="18"/>
      <c r="R47" s="18"/>
      <c r="S47" s="18">
        <f t="shared" ca="1" si="6"/>
        <v>23914593.16218118</v>
      </c>
    </row>
    <row r="48" spans="1:19" x14ac:dyDescent="0.25">
      <c r="A48" s="3">
        <f>'Monthly Data'!A48</f>
        <v>43405</v>
      </c>
      <c r="B48" s="1">
        <f t="shared" si="0"/>
        <v>2018</v>
      </c>
      <c r="C48" s="1">
        <f t="shared" si="1"/>
        <v>11</v>
      </c>
      <c r="D48" s="268">
        <f>'Monthly Data'!N48</f>
        <v>28453365.92921941</v>
      </c>
      <c r="E48" s="278">
        <f t="shared" ca="1" si="5"/>
        <v>426.62991389045737</v>
      </c>
      <c r="F48" s="278">
        <f t="shared" ca="1" si="5"/>
        <v>0.8083333333333329</v>
      </c>
      <c r="G48" s="278">
        <f>'Monthly Data'!BB48</f>
        <v>503.52500000000003</v>
      </c>
      <c r="H48" s="278">
        <f>'Monthly Data'!BI48</f>
        <v>0</v>
      </c>
      <c r="I48" s="24">
        <f>'Monthly Data'!CG48</f>
        <v>0</v>
      </c>
      <c r="J48" s="278">
        <f>'Monthly Data'!AL48</f>
        <v>799632</v>
      </c>
      <c r="K48" s="278">
        <f>'Monthly Data'!CD48</f>
        <v>30</v>
      </c>
      <c r="M48" s="18"/>
      <c r="N48" s="18">
        <f ca="1">(E48-G48)*'GS 50-999 Predicted Monthly'!$V$11</f>
        <v>-1419088.5687209647</v>
      </c>
      <c r="O48" s="18">
        <f ca="1">(F48-H48)*'GS 50-999 Predicted Monthly'!$V$12</f>
        <v>23301.778670983502</v>
      </c>
      <c r="P48" s="18"/>
      <c r="Q48" s="18"/>
      <c r="R48" s="18"/>
      <c r="S48" s="18">
        <f t="shared" ca="1" si="6"/>
        <v>27057579.139169428</v>
      </c>
    </row>
    <row r="49" spans="1:19" x14ac:dyDescent="0.25">
      <c r="A49" s="3">
        <f>'Monthly Data'!A49</f>
        <v>43435</v>
      </c>
      <c r="B49" s="1">
        <f t="shared" si="0"/>
        <v>2018</v>
      </c>
      <c r="C49" s="1">
        <f t="shared" si="1"/>
        <v>12</v>
      </c>
      <c r="D49" s="268">
        <f>'Monthly Data'!N49</f>
        <v>29806855.699458219</v>
      </c>
      <c r="E49" s="278">
        <f t="shared" ca="1" si="5"/>
        <v>577.92800724637686</v>
      </c>
      <c r="F49" s="278">
        <f t="shared" ca="1" si="5"/>
        <v>0</v>
      </c>
      <c r="G49" s="278">
        <f>'Monthly Data'!BB49</f>
        <v>584.91666666666663</v>
      </c>
      <c r="H49" s="278">
        <f>'Monthly Data'!BI49</f>
        <v>0</v>
      </c>
      <c r="I49" s="24">
        <f>'Monthly Data'!CG49</f>
        <v>0</v>
      </c>
      <c r="J49" s="278">
        <f>'Monthly Data'!AL49</f>
        <v>799632</v>
      </c>
      <c r="K49" s="278">
        <f>'Monthly Data'!CD49</f>
        <v>31</v>
      </c>
      <c r="M49" s="18"/>
      <c r="N49" s="18">
        <f ca="1">(E49-G49)*'GS 50-999 Predicted Monthly'!$V$11</f>
        <v>-128974.77843888552</v>
      </c>
      <c r="O49" s="18">
        <f ca="1">(F49-H49)*'GS 50-999 Predicted Monthly'!$V$12</f>
        <v>0</v>
      </c>
      <c r="P49" s="18"/>
      <c r="Q49" s="18"/>
      <c r="R49" s="18"/>
      <c r="S49" s="18">
        <f t="shared" ca="1" si="6"/>
        <v>29677880.921019334</v>
      </c>
    </row>
    <row r="50" spans="1:19" x14ac:dyDescent="0.25">
      <c r="A50" s="3">
        <f>'Monthly Data'!A50</f>
        <v>43466</v>
      </c>
      <c r="B50" s="1">
        <f t="shared" si="0"/>
        <v>2019</v>
      </c>
      <c r="C50" s="1">
        <f t="shared" si="1"/>
        <v>1</v>
      </c>
      <c r="D50" s="268">
        <f>'Monthly Data'!N50</f>
        <v>34592789.583499245</v>
      </c>
      <c r="E50" s="278">
        <f t="shared" ref="E50:F65" ca="1" si="7">E38</f>
        <v>697.33418478260876</v>
      </c>
      <c r="F50" s="278">
        <f t="shared" ca="1" si="7"/>
        <v>0</v>
      </c>
      <c r="G50" s="278">
        <f>'Monthly Data'!BB50</f>
        <v>779.93333333333351</v>
      </c>
      <c r="H50" s="278">
        <f>'Monthly Data'!BI50</f>
        <v>0</v>
      </c>
      <c r="I50" s="24">
        <f>'Monthly Data'!CG50</f>
        <v>0</v>
      </c>
      <c r="J50" s="278">
        <f>'Monthly Data'!AL50</f>
        <v>800724</v>
      </c>
      <c r="K50" s="278">
        <f>'Monthly Data'!CD50</f>
        <v>31</v>
      </c>
      <c r="M50" s="18"/>
      <c r="N50" s="18">
        <f ca="1">(E50-G50)*'GS 50-999 Predicted Monthly'!$V$11</f>
        <v>-1524356.2810689397</v>
      </c>
      <c r="O50" s="18">
        <f ca="1">(F50-H50)*'GS 50-999 Predicted Monthly'!$V$12</f>
        <v>0</v>
      </c>
      <c r="P50" s="18"/>
      <c r="Q50" s="18"/>
      <c r="R50" s="18"/>
      <c r="S50" s="18">
        <f t="shared" ca="1" si="6"/>
        <v>33068433.302430306</v>
      </c>
    </row>
    <row r="51" spans="1:19" x14ac:dyDescent="0.25">
      <c r="A51" s="3">
        <f>'Monthly Data'!A51</f>
        <v>43497</v>
      </c>
      <c r="B51" s="1">
        <f t="shared" si="0"/>
        <v>2019</v>
      </c>
      <c r="C51" s="1">
        <f t="shared" si="1"/>
        <v>2</v>
      </c>
      <c r="D51" s="268">
        <f>'Monthly Data'!N51</f>
        <v>30102232.581914391</v>
      </c>
      <c r="E51" s="278">
        <f t="shared" ca="1" si="7"/>
        <v>624.25501811594188</v>
      </c>
      <c r="F51" s="278">
        <f t="shared" ca="1" si="7"/>
        <v>0</v>
      </c>
      <c r="G51" s="278">
        <f>'Monthly Data'!BB51</f>
        <v>639.30416666666645</v>
      </c>
      <c r="H51" s="278">
        <f>'Monthly Data'!BI51</f>
        <v>0</v>
      </c>
      <c r="I51" s="24">
        <f>'Monthly Data'!CG51</f>
        <v>0</v>
      </c>
      <c r="J51" s="278">
        <f>'Monthly Data'!AL51</f>
        <v>800724</v>
      </c>
      <c r="K51" s="278">
        <f>'Monthly Data'!CD51</f>
        <v>28</v>
      </c>
      <c r="M51" s="18"/>
      <c r="N51" s="18">
        <f ca="1">(E51-G51)*'GS 50-999 Predicted Monthly'!$V$11</f>
        <v>-277730.03136889165</v>
      </c>
      <c r="O51" s="18">
        <f ca="1">(F51-H51)*'GS 50-999 Predicted Monthly'!$V$12</f>
        <v>0</v>
      </c>
      <c r="P51" s="18"/>
      <c r="Q51" s="18"/>
      <c r="R51" s="18"/>
      <c r="S51" s="18">
        <f t="shared" ca="1" si="6"/>
        <v>29824502.550545499</v>
      </c>
    </row>
    <row r="52" spans="1:19" x14ac:dyDescent="0.25">
      <c r="A52" s="3">
        <f>'Monthly Data'!A52</f>
        <v>43525</v>
      </c>
      <c r="B52" s="1">
        <f t="shared" si="0"/>
        <v>2019</v>
      </c>
      <c r="C52" s="1">
        <f t="shared" si="1"/>
        <v>3</v>
      </c>
      <c r="D52" s="268">
        <f>'Monthly Data'!N52</f>
        <v>30690466.510151513</v>
      </c>
      <c r="E52" s="278">
        <f t="shared" ca="1" si="7"/>
        <v>546.13298913043491</v>
      </c>
      <c r="F52" s="278">
        <f t="shared" ca="1" si="7"/>
        <v>0</v>
      </c>
      <c r="G52" s="278">
        <f>'Monthly Data'!BB52</f>
        <v>611.45833333333337</v>
      </c>
      <c r="H52" s="278">
        <f>'Monthly Data'!BI52</f>
        <v>0</v>
      </c>
      <c r="I52" s="24">
        <f>'Monthly Data'!CG52</f>
        <v>0</v>
      </c>
      <c r="J52" s="278">
        <f>'Monthly Data'!AL52</f>
        <v>800724</v>
      </c>
      <c r="K52" s="278">
        <f>'Monthly Data'!CD52</f>
        <v>31</v>
      </c>
      <c r="M52" s="18"/>
      <c r="N52" s="18">
        <f ca="1">(E52-G52)*'GS 50-999 Predicted Monthly'!$V$11</f>
        <v>-1205570.5233756308</v>
      </c>
      <c r="O52" s="18">
        <f ca="1">(F52-H52)*'GS 50-999 Predicted Monthly'!$V$12</f>
        <v>0</v>
      </c>
      <c r="P52" s="18"/>
      <c r="Q52" s="18"/>
      <c r="R52" s="18"/>
      <c r="S52" s="18">
        <f t="shared" ca="1" si="6"/>
        <v>29484895.986775883</v>
      </c>
    </row>
    <row r="53" spans="1:19" x14ac:dyDescent="0.25">
      <c r="A53" s="3">
        <f>'Monthly Data'!A53</f>
        <v>43556</v>
      </c>
      <c r="B53" s="1">
        <f t="shared" si="0"/>
        <v>2019</v>
      </c>
      <c r="C53" s="1">
        <f t="shared" si="1"/>
        <v>4</v>
      </c>
      <c r="D53" s="268">
        <f>'Monthly Data'!N53</f>
        <v>25578026.449102744</v>
      </c>
      <c r="E53" s="278">
        <f t="shared" ca="1" si="7"/>
        <v>352.41399621212122</v>
      </c>
      <c r="F53" s="278">
        <f t="shared" ca="1" si="7"/>
        <v>2.1908333333333347</v>
      </c>
      <c r="G53" s="278">
        <f>'Monthly Data'!BB53</f>
        <v>366.65416666666664</v>
      </c>
      <c r="H53" s="278">
        <f>'Monthly Data'!BI53</f>
        <v>0.84583333333333144</v>
      </c>
      <c r="I53" s="24">
        <f>'Monthly Data'!CG53</f>
        <v>0</v>
      </c>
      <c r="J53" s="278">
        <f>'Monthly Data'!AL53</f>
        <v>806630</v>
      </c>
      <c r="K53" s="278">
        <f>'Monthly Data'!CD53</f>
        <v>30</v>
      </c>
      <c r="M53" s="18"/>
      <c r="N53" s="18">
        <f ca="1">(E53-G53)*'GS 50-999 Predicted Monthly'!$V$11</f>
        <v>-262800.44839140394</v>
      </c>
      <c r="O53" s="18">
        <f ca="1">(F53-H53)*'GS 50-999 Predicted Monthly'!$V$12</f>
        <v>38772.237912337616</v>
      </c>
      <c r="P53" s="18"/>
      <c r="Q53" s="18"/>
      <c r="R53" s="18"/>
      <c r="S53" s="18">
        <f t="shared" ca="1" si="6"/>
        <v>25353998.238623679</v>
      </c>
    </row>
    <row r="54" spans="1:19" x14ac:dyDescent="0.25">
      <c r="A54" s="3">
        <f>'Monthly Data'!A54</f>
        <v>43586</v>
      </c>
      <c r="B54" s="1">
        <f t="shared" si="0"/>
        <v>2019</v>
      </c>
      <c r="C54" s="1">
        <f t="shared" si="1"/>
        <v>5</v>
      </c>
      <c r="D54" s="268">
        <f>'Monthly Data'!N54</f>
        <v>24776294.111912861</v>
      </c>
      <c r="E54" s="278">
        <f t="shared" ca="1" si="7"/>
        <v>150.136897859768</v>
      </c>
      <c r="F54" s="278">
        <f t="shared" ca="1" si="7"/>
        <v>52.487435064935063</v>
      </c>
      <c r="G54" s="278">
        <f>'Monthly Data'!BB54</f>
        <v>205.53464912280697</v>
      </c>
      <c r="H54" s="278">
        <f>'Monthly Data'!BI54</f>
        <v>27.579166666666666</v>
      </c>
      <c r="I54" s="24">
        <f>'Monthly Data'!CG54</f>
        <v>0</v>
      </c>
      <c r="J54" s="278">
        <f>'Monthly Data'!AL54</f>
        <v>806630</v>
      </c>
      <c r="K54" s="278">
        <f>'Monthly Data'!CD54</f>
        <v>31</v>
      </c>
      <c r="M54" s="18"/>
      <c r="N54" s="18">
        <f ca="1">(E54-G54)*'GS 50-999 Predicted Monthly'!$V$11</f>
        <v>-1022358.1184138887</v>
      </c>
      <c r="O54" s="18">
        <f ca="1">(F54-H54)*'GS 50-999 Predicted Monthly'!$V$12</f>
        <v>718029.22551823081</v>
      </c>
      <c r="P54" s="18"/>
      <c r="Q54" s="18"/>
      <c r="R54" s="18"/>
      <c r="S54" s="18">
        <f t="shared" ca="1" si="6"/>
        <v>24471965.219017204</v>
      </c>
    </row>
    <row r="55" spans="1:19" x14ac:dyDescent="0.25">
      <c r="A55" s="3">
        <f>'Monthly Data'!A55</f>
        <v>43617</v>
      </c>
      <c r="B55" s="1">
        <f t="shared" si="0"/>
        <v>2019</v>
      </c>
      <c r="C55" s="1">
        <f t="shared" si="1"/>
        <v>6</v>
      </c>
      <c r="D55" s="268">
        <f>'Monthly Data'!N55</f>
        <v>24832534.618167989</v>
      </c>
      <c r="E55" s="278">
        <f t="shared" ca="1" si="7"/>
        <v>32.520923826173821</v>
      </c>
      <c r="F55" s="278">
        <f t="shared" ca="1" si="7"/>
        <v>137.65451754405018</v>
      </c>
      <c r="G55" s="278">
        <f>'Monthly Data'!BB55</f>
        <v>46.120833333333351</v>
      </c>
      <c r="H55" s="278">
        <f>'Monthly Data'!BI55</f>
        <v>173.67083333333326</v>
      </c>
      <c r="I55" s="24">
        <f>'Monthly Data'!CG55</f>
        <v>0</v>
      </c>
      <c r="J55" s="278">
        <f>'Monthly Data'!AL55</f>
        <v>806630</v>
      </c>
      <c r="K55" s="278">
        <f>'Monthly Data'!CD55</f>
        <v>30</v>
      </c>
      <c r="M55" s="18"/>
      <c r="N55" s="18">
        <f ca="1">(E55-G55)*'GS 50-999 Predicted Monthly'!$V$11</f>
        <v>-250984.51791517792</v>
      </c>
      <c r="O55" s="18">
        <f ca="1">(F55-H55)*'GS 50-999 Predicted Monthly'!$V$12</f>
        <v>-1038240.2710096372</v>
      </c>
      <c r="P55" s="18"/>
      <c r="Q55" s="18"/>
      <c r="R55" s="18"/>
      <c r="S55" s="18">
        <f t="shared" ca="1" si="6"/>
        <v>23543309.829243172</v>
      </c>
    </row>
    <row r="56" spans="1:19" x14ac:dyDescent="0.25">
      <c r="A56" s="3">
        <f>'Monthly Data'!A56</f>
        <v>43647</v>
      </c>
      <c r="B56" s="1">
        <f t="shared" si="0"/>
        <v>2019</v>
      </c>
      <c r="C56" s="1">
        <f t="shared" si="1"/>
        <v>7</v>
      </c>
      <c r="D56" s="268">
        <f>'Monthly Data'!N56</f>
        <v>29793419.238445286</v>
      </c>
      <c r="E56" s="278">
        <f t="shared" ca="1" si="7"/>
        <v>1.6179166666666653</v>
      </c>
      <c r="F56" s="278">
        <f t="shared" ca="1" si="7"/>
        <v>235.94737858727848</v>
      </c>
      <c r="G56" s="278">
        <f>'Monthly Data'!BB56</f>
        <v>0</v>
      </c>
      <c r="H56" s="278">
        <f>'Monthly Data'!BI56</f>
        <v>321.60000000000002</v>
      </c>
      <c r="I56" s="24">
        <f>'Monthly Data'!CG56</f>
        <v>0</v>
      </c>
      <c r="J56" s="278">
        <f>'Monthly Data'!AL56</f>
        <v>810347</v>
      </c>
      <c r="K56" s="278">
        <f>'Monthly Data'!CD56</f>
        <v>31</v>
      </c>
      <c r="M56" s="18"/>
      <c r="N56" s="18">
        <f ca="1">(E56-G56)*'GS 50-999 Predicted Monthly'!$V$11</f>
        <v>29858.436513602697</v>
      </c>
      <c r="O56" s="18">
        <f ca="1">(F56-H56)*'GS 50-999 Predicted Monthly'!$V$12</f>
        <v>-2469103.2083490072</v>
      </c>
      <c r="P56" s="18"/>
      <c r="Q56" s="18"/>
      <c r="R56" s="18"/>
      <c r="S56" s="18">
        <f t="shared" ca="1" si="6"/>
        <v>27354174.46660988</v>
      </c>
    </row>
    <row r="57" spans="1:19" x14ac:dyDescent="0.25">
      <c r="A57" s="3">
        <f>'Monthly Data'!A57</f>
        <v>43678</v>
      </c>
      <c r="B57" s="1">
        <f t="shared" si="0"/>
        <v>2019</v>
      </c>
      <c r="C57" s="1">
        <f t="shared" si="1"/>
        <v>8</v>
      </c>
      <c r="D57" s="268">
        <f>'Monthly Data'!N57</f>
        <v>26285773.15454014</v>
      </c>
      <c r="E57" s="278">
        <f t="shared" ca="1" si="7"/>
        <v>5.6499999999999977</v>
      </c>
      <c r="F57" s="278">
        <f t="shared" ca="1" si="7"/>
        <v>210.96558794466404</v>
      </c>
      <c r="G57" s="278">
        <f>'Monthly Data'!BB57</f>
        <v>4.645833333333325</v>
      </c>
      <c r="H57" s="278">
        <f>'Monthly Data'!BI57</f>
        <v>252.07083333333335</v>
      </c>
      <c r="I57" s="24">
        <f>'Monthly Data'!CG57</f>
        <v>0</v>
      </c>
      <c r="J57" s="278">
        <f>'Monthly Data'!AL57</f>
        <v>810347</v>
      </c>
      <c r="K57" s="278">
        <f>'Monthly Data'!CD57</f>
        <v>31</v>
      </c>
      <c r="M57" s="18"/>
      <c r="N57" s="18">
        <f ca="1">(E57-G57)*'GS 50-999 Predicted Monthly'!$V$11</f>
        <v>18531.762039089102</v>
      </c>
      <c r="O57" s="18">
        <f ca="1">(F57-H57)*'GS 50-999 Predicted Monthly'!$V$12</f>
        <v>-1184938.5529029751</v>
      </c>
      <c r="P57" s="18"/>
      <c r="Q57" s="18"/>
      <c r="R57" s="18"/>
      <c r="S57" s="18">
        <f t="shared" ca="1" si="6"/>
        <v>25119366.363676254</v>
      </c>
    </row>
    <row r="58" spans="1:19" x14ac:dyDescent="0.25">
      <c r="A58" s="3">
        <f>'Monthly Data'!A58</f>
        <v>43709</v>
      </c>
      <c r="B58" s="1">
        <f t="shared" ref="B58:B115" si="8">YEAR(A58)</f>
        <v>2019</v>
      </c>
      <c r="C58" s="1">
        <f t="shared" ref="C58:C115" si="9">MONTH(A58)</f>
        <v>9</v>
      </c>
      <c r="D58" s="268">
        <f>'Monthly Data'!N58</f>
        <v>24447792.044599112</v>
      </c>
      <c r="E58" s="278">
        <f t="shared" ca="1" si="7"/>
        <v>54.959440993788824</v>
      </c>
      <c r="F58" s="278">
        <f t="shared" ca="1" si="7"/>
        <v>106.4160119047619</v>
      </c>
      <c r="G58" s="278">
        <f>'Monthly Data'!BB58</f>
        <v>62.054166666666653</v>
      </c>
      <c r="H58" s="278">
        <f>'Monthly Data'!BI58</f>
        <v>131.93750000000003</v>
      </c>
      <c r="I58" s="24">
        <f>'Monthly Data'!CG58</f>
        <v>0</v>
      </c>
      <c r="J58" s="278">
        <f>'Monthly Data'!AL58</f>
        <v>810347</v>
      </c>
      <c r="K58" s="278">
        <f>'Monthly Data'!CD58</f>
        <v>30</v>
      </c>
      <c r="M58" s="18"/>
      <c r="N58" s="18">
        <f ca="1">(E58-G58)*'GS 50-999 Predicted Monthly'!$V$11</f>
        <v>-130932.21699822818</v>
      </c>
      <c r="O58" s="18">
        <f ca="1">(F58-H58)*'GS 50-999 Predicted Monthly'!$V$12</f>
        <v>-735706.47457655193</v>
      </c>
      <c r="P58" s="18"/>
      <c r="Q58" s="18"/>
      <c r="R58" s="18"/>
      <c r="S58" s="18">
        <f t="shared" ca="1" si="6"/>
        <v>23581153.353024334</v>
      </c>
    </row>
    <row r="59" spans="1:19" x14ac:dyDescent="0.25">
      <c r="A59" s="3">
        <f>'Monthly Data'!A59</f>
        <v>43739</v>
      </c>
      <c r="B59" s="1">
        <f t="shared" si="8"/>
        <v>2019</v>
      </c>
      <c r="C59" s="1">
        <f t="shared" si="9"/>
        <v>10</v>
      </c>
      <c r="D59" s="268">
        <f>'Monthly Data'!N59</f>
        <v>24249973.509908725</v>
      </c>
      <c r="E59" s="278">
        <f t="shared" ca="1" si="7"/>
        <v>237.89681159420289</v>
      </c>
      <c r="F59" s="278">
        <f t="shared" ca="1" si="7"/>
        <v>17.987083333333334</v>
      </c>
      <c r="G59" s="278">
        <f>'Monthly Data'!BB59</f>
        <v>243.77916666666664</v>
      </c>
      <c r="H59" s="278">
        <f>'Monthly Data'!BI59</f>
        <v>16.670833333333334</v>
      </c>
      <c r="I59" s="24">
        <f>'Monthly Data'!CG59</f>
        <v>0</v>
      </c>
      <c r="J59" s="278">
        <f>'Monthly Data'!AL59</f>
        <v>811397</v>
      </c>
      <c r="K59" s="278">
        <f>'Monthly Data'!CD59</f>
        <v>31</v>
      </c>
      <c r="M59" s="18"/>
      <c r="N59" s="18">
        <f ca="1">(E59-G59)*'GS 50-999 Predicted Monthly'!$V$11</f>
        <v>-108558.07910273164</v>
      </c>
      <c r="O59" s="18">
        <f ca="1">(F59-H59)*'GS 50-999 Predicted Monthly'!$V$12</f>
        <v>37943.463310122126</v>
      </c>
      <c r="P59" s="18"/>
      <c r="Q59" s="18"/>
      <c r="R59" s="18"/>
      <c r="S59" s="18">
        <f t="shared" ca="1" si="6"/>
        <v>24179358.894116115</v>
      </c>
    </row>
    <row r="60" spans="1:19" x14ac:dyDescent="0.25">
      <c r="A60" s="3">
        <f>'Monthly Data'!A60</f>
        <v>43770</v>
      </c>
      <c r="B60" s="1">
        <f t="shared" si="8"/>
        <v>2019</v>
      </c>
      <c r="C60" s="1">
        <f t="shared" si="9"/>
        <v>11</v>
      </c>
      <c r="D60" s="268">
        <f>'Monthly Data'!N60</f>
        <v>30825542.226426981</v>
      </c>
      <c r="E60" s="278">
        <f t="shared" ca="1" si="7"/>
        <v>426.62991389045737</v>
      </c>
      <c r="F60" s="278">
        <f t="shared" ca="1" si="7"/>
        <v>0.8083333333333329</v>
      </c>
      <c r="G60" s="278">
        <f>'Monthly Data'!BB60</f>
        <v>529.72500000000002</v>
      </c>
      <c r="H60" s="278">
        <f>'Monthly Data'!BI60</f>
        <v>0</v>
      </c>
      <c r="I60" s="24">
        <f>'Monthly Data'!CG60</f>
        <v>0</v>
      </c>
      <c r="J60" s="278">
        <f>'Monthly Data'!AL60</f>
        <v>811397</v>
      </c>
      <c r="K60" s="278">
        <f>'Monthly Data'!CD60</f>
        <v>30</v>
      </c>
      <c r="M60" s="18"/>
      <c r="N60" s="18">
        <f ca="1">(E60-G60)*'GS 50-999 Predicted Monthly'!$V$11</f>
        <v>-1902606.0778570292</v>
      </c>
      <c r="O60" s="18">
        <f ca="1">(F60-H60)*'GS 50-999 Predicted Monthly'!$V$12</f>
        <v>23301.778670983502</v>
      </c>
      <c r="P60" s="18"/>
      <c r="Q60" s="18"/>
      <c r="R60" s="18"/>
      <c r="S60" s="18">
        <f t="shared" ca="1" si="6"/>
        <v>28946237.927240938</v>
      </c>
    </row>
    <row r="61" spans="1:19" x14ac:dyDescent="0.25">
      <c r="A61" s="3">
        <f>'Monthly Data'!A61</f>
        <v>43800</v>
      </c>
      <c r="B61" s="1">
        <f t="shared" si="8"/>
        <v>2019</v>
      </c>
      <c r="C61" s="1">
        <f t="shared" si="9"/>
        <v>12</v>
      </c>
      <c r="D61" s="268">
        <f>'Monthly Data'!N61</f>
        <v>30515644.19160156</v>
      </c>
      <c r="E61" s="278">
        <f t="shared" ca="1" si="7"/>
        <v>577.92800724637686</v>
      </c>
      <c r="F61" s="278">
        <f t="shared" ca="1" si="7"/>
        <v>0</v>
      </c>
      <c r="G61" s="278">
        <f>'Monthly Data'!BB61</f>
        <v>614.42916666666667</v>
      </c>
      <c r="H61" s="278">
        <f>'Monthly Data'!BI61</f>
        <v>0</v>
      </c>
      <c r="I61" s="24">
        <f>'Monthly Data'!CG61</f>
        <v>0</v>
      </c>
      <c r="J61" s="278">
        <f>'Monthly Data'!AL61</f>
        <v>811397</v>
      </c>
      <c r="K61" s="278">
        <f>'Monthly Data'!CD61</f>
        <v>31</v>
      </c>
      <c r="M61" s="18"/>
      <c r="N61" s="18">
        <f ca="1">(E61-G61)*'GS 50-999 Predicted Monthly'!$V$11</f>
        <v>-673624.03372049355</v>
      </c>
      <c r="O61" s="18">
        <f ca="1">(F61-H61)*'GS 50-999 Predicted Monthly'!$V$12</f>
        <v>0</v>
      </c>
      <c r="P61" s="18"/>
      <c r="Q61" s="18"/>
      <c r="R61" s="18"/>
      <c r="S61" s="18">
        <f t="shared" ca="1" si="6"/>
        <v>29842020.157881066</v>
      </c>
    </row>
    <row r="62" spans="1:19" x14ac:dyDescent="0.25">
      <c r="A62" s="3">
        <f>'Monthly Data'!A62</f>
        <v>43831</v>
      </c>
      <c r="B62" s="1">
        <f t="shared" si="8"/>
        <v>2020</v>
      </c>
      <c r="C62" s="1">
        <f t="shared" si="9"/>
        <v>1</v>
      </c>
      <c r="D62" s="268">
        <f>'Monthly Data'!N62</f>
        <v>31665184.615771491</v>
      </c>
      <c r="E62" s="278">
        <f t="shared" ca="1" si="7"/>
        <v>697.33418478260876</v>
      </c>
      <c r="F62" s="278">
        <f t="shared" ca="1" si="7"/>
        <v>0</v>
      </c>
      <c r="G62" s="278">
        <f>'Monthly Data'!BB62</f>
        <v>628.82083333333333</v>
      </c>
      <c r="H62" s="278">
        <f>'Monthly Data'!BI62</f>
        <v>0</v>
      </c>
      <c r="I62" s="24">
        <f>'Monthly Data'!CG62</f>
        <v>0</v>
      </c>
      <c r="J62" s="278">
        <f>'Monthly Data'!AL62</f>
        <v>800126</v>
      </c>
      <c r="K62" s="278">
        <f>'Monthly Data'!CD62</f>
        <v>31</v>
      </c>
      <c r="M62" s="18"/>
      <c r="N62" s="18">
        <f ca="1">(E62-G62)*'GS 50-999 Predicted Monthly'!$V$11</f>
        <v>1264404.7723403606</v>
      </c>
      <c r="O62" s="18">
        <f ca="1">(F62-H62)*'GS 50-999 Predicted Monthly'!$V$12</f>
        <v>0</v>
      </c>
      <c r="P62" s="18"/>
      <c r="Q62" s="18"/>
      <c r="R62" s="18"/>
      <c r="S62" s="18">
        <f t="shared" ca="1" si="6"/>
        <v>32929589.388111852</v>
      </c>
    </row>
    <row r="63" spans="1:19" x14ac:dyDescent="0.25">
      <c r="A63" s="3">
        <f>'Monthly Data'!A63</f>
        <v>43862</v>
      </c>
      <c r="B63" s="1">
        <f t="shared" si="8"/>
        <v>2020</v>
      </c>
      <c r="C63" s="1">
        <f t="shared" si="9"/>
        <v>2</v>
      </c>
      <c r="D63" s="268">
        <f>'Monthly Data'!N63</f>
        <v>28996456.425020933</v>
      </c>
      <c r="E63" s="278">
        <f t="shared" ca="1" si="7"/>
        <v>624.25501811594188</v>
      </c>
      <c r="F63" s="278">
        <f t="shared" ca="1" si="7"/>
        <v>0</v>
      </c>
      <c r="G63" s="278">
        <f>'Monthly Data'!BB63</f>
        <v>620.40000000000009</v>
      </c>
      <c r="H63" s="278">
        <f>'Monthly Data'!BI63</f>
        <v>0</v>
      </c>
      <c r="I63" s="24">
        <f>'Monthly Data'!CG63</f>
        <v>0</v>
      </c>
      <c r="J63" s="278">
        <f>'Monthly Data'!AL63</f>
        <v>800126</v>
      </c>
      <c r="K63" s="278">
        <f>'Monthly Data'!CD63</f>
        <v>29</v>
      </c>
      <c r="M63" s="18"/>
      <c r="N63" s="18">
        <f ca="1">(E63-G63)*'GS 50-999 Predicted Monthly'!$V$11</f>
        <v>71143.845690632777</v>
      </c>
      <c r="O63" s="18">
        <f ca="1">(F63-H63)*'GS 50-999 Predicted Monthly'!$V$12</f>
        <v>0</v>
      </c>
      <c r="P63" s="18"/>
      <c r="Q63" s="18"/>
      <c r="R63" s="18"/>
      <c r="S63" s="18">
        <f t="shared" ca="1" si="6"/>
        <v>29067600.270711567</v>
      </c>
    </row>
    <row r="64" spans="1:19" x14ac:dyDescent="0.25">
      <c r="A64" s="3">
        <f>'Monthly Data'!A64</f>
        <v>43891</v>
      </c>
      <c r="B64" s="1">
        <f t="shared" si="8"/>
        <v>2020</v>
      </c>
      <c r="C64" s="1">
        <f t="shared" si="9"/>
        <v>3</v>
      </c>
      <c r="D64" s="268">
        <f>'Monthly Data'!N64</f>
        <v>27523984.230147589</v>
      </c>
      <c r="E64" s="278">
        <f t="shared" ca="1" si="7"/>
        <v>546.13298913043491</v>
      </c>
      <c r="F64" s="278">
        <f t="shared" ca="1" si="7"/>
        <v>0</v>
      </c>
      <c r="G64" s="278">
        <f>'Monthly Data'!BB64</f>
        <v>481.57083333333344</v>
      </c>
      <c r="H64" s="278">
        <f>'Monthly Data'!BI64</f>
        <v>0</v>
      </c>
      <c r="I64" s="24">
        <f>'Monthly Data'!CG64</f>
        <v>0.5</v>
      </c>
      <c r="J64" s="278">
        <f>'Monthly Data'!AL64</f>
        <v>800126</v>
      </c>
      <c r="K64" s="278">
        <f>'Monthly Data'!CD64</f>
        <v>31</v>
      </c>
      <c r="M64" s="18"/>
      <c r="N64" s="18">
        <f ca="1">(E64-G64)*'GS 50-999 Predicted Monthly'!$V$11</f>
        <v>1191485.9830331695</v>
      </c>
      <c r="O64" s="18">
        <f ca="1">(F64-H64)*'GS 50-999 Predicted Monthly'!$V$12</f>
        <v>0</v>
      </c>
      <c r="P64" s="18"/>
      <c r="Q64" s="18"/>
      <c r="R64" s="18"/>
      <c r="S64" s="18">
        <f t="shared" ca="1" si="6"/>
        <v>28715470.213180758</v>
      </c>
    </row>
    <row r="65" spans="1:19" x14ac:dyDescent="0.25">
      <c r="A65" s="3">
        <f>'Monthly Data'!A65</f>
        <v>43922</v>
      </c>
      <c r="B65" s="1">
        <f t="shared" si="8"/>
        <v>2020</v>
      </c>
      <c r="C65" s="1">
        <f t="shared" si="9"/>
        <v>4</v>
      </c>
      <c r="D65" s="268">
        <f>'Monthly Data'!N65</f>
        <v>22124574.074711651</v>
      </c>
      <c r="E65" s="278">
        <f t="shared" ca="1" si="7"/>
        <v>352.41399621212122</v>
      </c>
      <c r="F65" s="278">
        <f t="shared" ca="1" si="7"/>
        <v>2.1908333333333347</v>
      </c>
      <c r="G65" s="278">
        <f>'Monthly Data'!BB65</f>
        <v>379.67500000000013</v>
      </c>
      <c r="H65" s="278">
        <f>'Monthly Data'!BI65</f>
        <v>0</v>
      </c>
      <c r="I65" s="24">
        <f>'Monthly Data'!CG65</f>
        <v>1</v>
      </c>
      <c r="J65" s="278">
        <f>'Monthly Data'!AL65</f>
        <v>706539</v>
      </c>
      <c r="K65" s="278">
        <f>'Monthly Data'!CD65</f>
        <v>30</v>
      </c>
      <c r="M65" s="18"/>
      <c r="N65" s="18">
        <f ca="1">(E65-G65)*'GS 50-999 Predicted Monthly'!$V$11</f>
        <v>-503098.1926741997</v>
      </c>
      <c r="O65" s="18">
        <f ca="1">(F65-H65)*'GS 50-999 Predicted Monthly'!$V$12</f>
        <v>63155.026934036803</v>
      </c>
      <c r="P65" s="18"/>
      <c r="Q65" s="18"/>
      <c r="R65" s="18"/>
      <c r="S65" s="18">
        <f t="shared" ca="1" si="6"/>
        <v>21684630.908971485</v>
      </c>
    </row>
    <row r="66" spans="1:19" x14ac:dyDescent="0.25">
      <c r="A66" s="3">
        <f>'Monthly Data'!A66</f>
        <v>43952</v>
      </c>
      <c r="B66" s="1">
        <f t="shared" si="8"/>
        <v>2020</v>
      </c>
      <c r="C66" s="1">
        <f t="shared" si="9"/>
        <v>5</v>
      </c>
      <c r="D66" s="268">
        <f>'Monthly Data'!N66</f>
        <v>21859678.942449689</v>
      </c>
      <c r="E66" s="278">
        <f t="shared" ref="E66:F81" ca="1" si="10">E54</f>
        <v>150.136897859768</v>
      </c>
      <c r="F66" s="278">
        <f t="shared" ca="1" si="10"/>
        <v>52.487435064935063</v>
      </c>
      <c r="G66" s="278">
        <f>'Monthly Data'!BB66</f>
        <v>212.73690476190475</v>
      </c>
      <c r="H66" s="278">
        <f>'Monthly Data'!BI66</f>
        <v>77.750595238095229</v>
      </c>
      <c r="I66" s="24">
        <f>'Monthly Data'!CG66</f>
        <v>1</v>
      </c>
      <c r="J66" s="278">
        <f>'Monthly Data'!AL66</f>
        <v>706539</v>
      </c>
      <c r="K66" s="278">
        <f>'Monthly Data'!CD66</f>
        <v>31</v>
      </c>
      <c r="M66" s="18"/>
      <c r="N66" s="18">
        <f ca="1">(E66-G66)*'GS 50-999 Predicted Monthly'!$V$11</f>
        <v>-1155274.7866115123</v>
      </c>
      <c r="O66" s="18">
        <f ca="1">(F66-H66)*'GS 50-999 Predicted Monthly'!$V$12</f>
        <v>-728259.67037268088</v>
      </c>
      <c r="P66" s="18"/>
      <c r="Q66" s="18"/>
      <c r="R66" s="18"/>
      <c r="S66" s="18">
        <f t="shared" ref="S66:S97" ca="1" si="11">D66+N66+O66</f>
        <v>19976144.485465497</v>
      </c>
    </row>
    <row r="67" spans="1:19" x14ac:dyDescent="0.25">
      <c r="A67" s="3">
        <f>'Monthly Data'!A67</f>
        <v>43983</v>
      </c>
      <c r="B67" s="1">
        <f t="shared" si="8"/>
        <v>2020</v>
      </c>
      <c r="C67" s="1">
        <f t="shared" si="9"/>
        <v>6</v>
      </c>
      <c r="D67" s="268">
        <f>'Monthly Data'!N67</f>
        <v>24219008.095878799</v>
      </c>
      <c r="E67" s="278">
        <f t="shared" ca="1" si="10"/>
        <v>32.520923826173821</v>
      </c>
      <c r="F67" s="278">
        <f t="shared" ca="1" si="10"/>
        <v>137.65451754405018</v>
      </c>
      <c r="G67" s="278">
        <f>'Monthly Data'!BB67</f>
        <v>29.733333333333348</v>
      </c>
      <c r="H67" s="278">
        <f>'Monthly Data'!BI67</f>
        <v>222.53623188405788</v>
      </c>
      <c r="I67" s="24">
        <f>'Monthly Data'!CG67</f>
        <v>0.5</v>
      </c>
      <c r="J67" s="278">
        <f>'Monthly Data'!AL67</f>
        <v>706539</v>
      </c>
      <c r="K67" s="278">
        <f>'Monthly Data'!CD67</f>
        <v>30</v>
      </c>
      <c r="M67" s="18"/>
      <c r="N67" s="18">
        <f ca="1">(E67-G67)*'GS 50-999 Predicted Monthly'!$V$11</f>
        <v>51444.611129374047</v>
      </c>
      <c r="O67" s="18">
        <f ca="1">(F67-H67)*'GS 50-999 Predicted Monthly'!$V$12</f>
        <v>-2446880.3143478436</v>
      </c>
      <c r="P67" s="18"/>
      <c r="Q67" s="18"/>
      <c r="R67" s="18"/>
      <c r="S67" s="18">
        <f t="shared" ca="1" si="11"/>
        <v>21823572.392660327</v>
      </c>
    </row>
    <row r="68" spans="1:19" x14ac:dyDescent="0.25">
      <c r="A68" s="3">
        <f>'Monthly Data'!A68</f>
        <v>44013</v>
      </c>
      <c r="B68" s="1">
        <f t="shared" si="8"/>
        <v>2020</v>
      </c>
      <c r="C68" s="1">
        <f t="shared" si="9"/>
        <v>7</v>
      </c>
      <c r="D68" s="268">
        <f>'Monthly Data'!N68</f>
        <v>28888464.206618078</v>
      </c>
      <c r="E68" s="278">
        <f t="shared" ca="1" si="10"/>
        <v>1.6179166666666653</v>
      </c>
      <c r="F68" s="278">
        <f t="shared" ca="1" si="10"/>
        <v>235.94737858727848</v>
      </c>
      <c r="G68" s="278">
        <f>'Monthly Data'!BB68</f>
        <v>0</v>
      </c>
      <c r="H68" s="278">
        <f>'Monthly Data'!BI68</f>
        <v>370.88750000000005</v>
      </c>
      <c r="I68" s="24">
        <f>'Monthly Data'!CG68</f>
        <v>0.5</v>
      </c>
      <c r="J68" s="278">
        <f>'Monthly Data'!AL68</f>
        <v>777225</v>
      </c>
      <c r="K68" s="278">
        <f>'Monthly Data'!CD68</f>
        <v>31</v>
      </c>
      <c r="M68" s="18"/>
      <c r="N68" s="18">
        <f ca="1">(E68-G68)*'GS 50-999 Predicted Monthly'!$V$11</f>
        <v>29858.436513602697</v>
      </c>
      <c r="O68" s="18">
        <f ca="1">(F68-H68)*'GS 50-999 Predicted Monthly'!$V$12</f>
        <v>-3889911.1459730491</v>
      </c>
      <c r="P68" s="18"/>
      <c r="Q68" s="18"/>
      <c r="R68" s="18"/>
      <c r="S68" s="18">
        <f t="shared" ca="1" si="11"/>
        <v>25028411.497158632</v>
      </c>
    </row>
    <row r="69" spans="1:19" x14ac:dyDescent="0.25">
      <c r="A69" s="3">
        <f>'Monthly Data'!A69</f>
        <v>44044</v>
      </c>
      <c r="B69" s="1">
        <f t="shared" si="8"/>
        <v>2020</v>
      </c>
      <c r="C69" s="1">
        <f t="shared" si="9"/>
        <v>8</v>
      </c>
      <c r="D69" s="268">
        <f>'Monthly Data'!N69</f>
        <v>26919034.292032495</v>
      </c>
      <c r="E69" s="278">
        <f t="shared" ca="1" si="10"/>
        <v>5.6499999999999977</v>
      </c>
      <c r="F69" s="278">
        <f t="shared" ca="1" si="10"/>
        <v>210.96558794466404</v>
      </c>
      <c r="G69" s="278">
        <f>'Monthly Data'!BB69</f>
        <v>3.4874999999999972</v>
      </c>
      <c r="H69" s="278">
        <f>'Monthly Data'!BI69</f>
        <v>278.93106060606061</v>
      </c>
      <c r="I69" s="24">
        <f>'Monthly Data'!CG69</f>
        <v>0.5</v>
      </c>
      <c r="J69" s="278">
        <f>'Monthly Data'!AL69</f>
        <v>777225</v>
      </c>
      <c r="K69" s="278">
        <f>'Monthly Data'!CD69</f>
        <v>31</v>
      </c>
      <c r="M69" s="18"/>
      <c r="N69" s="18">
        <f ca="1">(E69-G69)*'GS 50-999 Predicted Monthly'!$V$11</f>
        <v>39908.649370486266</v>
      </c>
      <c r="O69" s="18">
        <f ca="1">(F69-H69)*'GS 50-999 Predicted Monthly'!$V$12</f>
        <v>-1959236.785020178</v>
      </c>
      <c r="P69" s="18"/>
      <c r="Q69" s="18"/>
      <c r="R69" s="18"/>
      <c r="S69" s="18">
        <f t="shared" ca="1" si="11"/>
        <v>24999706.156382807</v>
      </c>
    </row>
    <row r="70" spans="1:19" x14ac:dyDescent="0.25">
      <c r="A70" s="3">
        <f>'Monthly Data'!A70</f>
        <v>44075</v>
      </c>
      <c r="B70" s="1">
        <f t="shared" si="8"/>
        <v>2020</v>
      </c>
      <c r="C70" s="1">
        <f t="shared" si="9"/>
        <v>9</v>
      </c>
      <c r="D70" s="268">
        <f>'Monthly Data'!N70</f>
        <v>22899887.372774672</v>
      </c>
      <c r="E70" s="278">
        <f t="shared" ca="1" si="10"/>
        <v>54.959440993788824</v>
      </c>
      <c r="F70" s="278">
        <f t="shared" ca="1" si="10"/>
        <v>106.4160119047619</v>
      </c>
      <c r="G70" s="278">
        <f>'Monthly Data'!BB70</f>
        <v>85.042028985507244</v>
      </c>
      <c r="H70" s="278">
        <f>'Monthly Data'!BI70</f>
        <v>120.81213768115938</v>
      </c>
      <c r="I70" s="24">
        <f>'Monthly Data'!CG70</f>
        <v>0.5</v>
      </c>
      <c r="J70" s="278">
        <f>'Monthly Data'!AL70</f>
        <v>777225</v>
      </c>
      <c r="K70" s="278">
        <f>'Monthly Data'!CD70</f>
        <v>30</v>
      </c>
      <c r="M70" s="18"/>
      <c r="N70" s="18">
        <f ca="1">(E70-G70)*'GS 50-999 Predicted Monthly'!$V$11</f>
        <v>-555170.15321077022</v>
      </c>
      <c r="O70" s="18">
        <f ca="1">(F70-H70)*'GS 50-999 Predicted Monthly'!$V$12</f>
        <v>-414996.29265309876</v>
      </c>
      <c r="P70" s="18"/>
      <c r="Q70" s="18"/>
      <c r="R70" s="18"/>
      <c r="S70" s="18">
        <f t="shared" ca="1" si="11"/>
        <v>21929720.926910803</v>
      </c>
    </row>
    <row r="71" spans="1:19" x14ac:dyDescent="0.25">
      <c r="A71" s="3">
        <f>'Monthly Data'!A71</f>
        <v>44105</v>
      </c>
      <c r="B71" s="1">
        <f t="shared" si="8"/>
        <v>2020</v>
      </c>
      <c r="C71" s="1">
        <f t="shared" si="9"/>
        <v>10</v>
      </c>
      <c r="D71" s="268">
        <f>'Monthly Data'!N71</f>
        <v>22361323.862121925</v>
      </c>
      <c r="E71" s="278">
        <f t="shared" ca="1" si="10"/>
        <v>237.89681159420289</v>
      </c>
      <c r="F71" s="278">
        <f t="shared" ca="1" si="10"/>
        <v>17.987083333333334</v>
      </c>
      <c r="G71" s="278">
        <f>'Monthly Data'!BB71</f>
        <v>287.83333333333331</v>
      </c>
      <c r="H71" s="278">
        <f>'Monthly Data'!BI71</f>
        <v>10.262500000000003</v>
      </c>
      <c r="I71" s="24">
        <f>'Monthly Data'!CG71</f>
        <v>0.5</v>
      </c>
      <c r="J71" s="278">
        <f>'Monthly Data'!AL71</f>
        <v>795879</v>
      </c>
      <c r="K71" s="278">
        <f>'Monthly Data'!CD71</f>
        <v>31</v>
      </c>
      <c r="M71" s="18"/>
      <c r="N71" s="18">
        <f ca="1">(E71-G71)*'GS 50-999 Predicted Monthly'!$V$11</f>
        <v>-921571.85519936215</v>
      </c>
      <c r="O71" s="18">
        <f ca="1">(F71-H71)*'GS 50-999 Predicted Monthly'!$V$12</f>
        <v>222676.12102132128</v>
      </c>
      <c r="P71" s="18"/>
      <c r="Q71" s="18"/>
      <c r="R71" s="18"/>
      <c r="S71" s="18">
        <f t="shared" ca="1" si="11"/>
        <v>21662428.127943885</v>
      </c>
    </row>
    <row r="72" spans="1:19" x14ac:dyDescent="0.25">
      <c r="A72" s="3">
        <f>'Monthly Data'!A72</f>
        <v>44136</v>
      </c>
      <c r="B72" s="1">
        <f t="shared" si="8"/>
        <v>2020</v>
      </c>
      <c r="C72" s="1">
        <f t="shared" si="9"/>
        <v>11</v>
      </c>
      <c r="D72" s="268">
        <f>'Monthly Data'!N72</f>
        <v>23101196.568596739</v>
      </c>
      <c r="E72" s="278">
        <f t="shared" ca="1" si="10"/>
        <v>426.62991389045737</v>
      </c>
      <c r="F72" s="278">
        <f t="shared" ca="1" si="10"/>
        <v>0.8083333333333329</v>
      </c>
      <c r="G72" s="278">
        <f>'Monthly Data'!BB72</f>
        <v>366.30072463768118</v>
      </c>
      <c r="H72" s="278">
        <f>'Monthly Data'!BI72</f>
        <v>1.8291666666666622</v>
      </c>
      <c r="I72" s="24">
        <f>'Monthly Data'!CG72</f>
        <v>0.5</v>
      </c>
      <c r="J72" s="278">
        <f>'Monthly Data'!AL72</f>
        <v>795879</v>
      </c>
      <c r="K72" s="278">
        <f>'Monthly Data'!CD72</f>
        <v>30</v>
      </c>
      <c r="M72" s="18"/>
      <c r="N72" s="18">
        <f ca="1">(E72-G72)*'GS 50-999 Predicted Monthly'!$V$11</f>
        <v>1113367.1494542209</v>
      </c>
      <c r="O72" s="18">
        <f ca="1">(F72-H72)*'GS 50-999 Predicted Monthly'!$V$12</f>
        <v>-29427.503991705868</v>
      </c>
      <c r="P72" s="18"/>
      <c r="Q72" s="18"/>
      <c r="R72" s="18"/>
      <c r="S72" s="18">
        <f t="shared" ca="1" si="11"/>
        <v>24185136.214059256</v>
      </c>
    </row>
    <row r="73" spans="1:19" x14ac:dyDescent="0.25">
      <c r="A73" s="3">
        <f>'Monthly Data'!A73</f>
        <v>44166</v>
      </c>
      <c r="B73" s="1">
        <f t="shared" si="8"/>
        <v>2020</v>
      </c>
      <c r="C73" s="1">
        <f t="shared" si="9"/>
        <v>12</v>
      </c>
      <c r="D73" s="268">
        <f>'Monthly Data'!N73</f>
        <v>31742077.27981564</v>
      </c>
      <c r="E73" s="278">
        <f t="shared" ca="1" si="10"/>
        <v>577.92800724637686</v>
      </c>
      <c r="F73" s="278">
        <f t="shared" ca="1" si="10"/>
        <v>0</v>
      </c>
      <c r="G73" s="278">
        <f>'Monthly Data'!BB73</f>
        <v>582.90416666666681</v>
      </c>
      <c r="H73" s="278">
        <f>'Monthly Data'!BI73</f>
        <v>0</v>
      </c>
      <c r="I73" s="24">
        <f>'Monthly Data'!CG73</f>
        <v>0.5</v>
      </c>
      <c r="J73" s="278">
        <f>'Monthly Data'!AL73</f>
        <v>795879</v>
      </c>
      <c r="K73" s="278">
        <f>'Monthly Data'!CD73</f>
        <v>31</v>
      </c>
      <c r="M73" s="18"/>
      <c r="N73" s="18">
        <f ca="1">(E73-G73)*'GS 50-999 Predicted Monthly'!$V$11</f>
        <v>-91834.359082540395</v>
      </c>
      <c r="O73" s="18">
        <f ca="1">(F73-H73)*'GS 50-999 Predicted Monthly'!$V$12</f>
        <v>0</v>
      </c>
      <c r="P73" s="18"/>
      <c r="Q73" s="18"/>
      <c r="R73" s="18"/>
      <c r="S73" s="18">
        <f t="shared" ca="1" si="11"/>
        <v>31650242.920733102</v>
      </c>
    </row>
    <row r="74" spans="1:19" x14ac:dyDescent="0.25">
      <c r="A74" s="3">
        <f>'Monthly Data'!A74</f>
        <v>44197</v>
      </c>
      <c r="B74" s="1">
        <f t="shared" si="8"/>
        <v>2021</v>
      </c>
      <c r="C74" s="1">
        <f t="shared" si="9"/>
        <v>1</v>
      </c>
      <c r="D74" s="268">
        <f>'Monthly Data'!N74</f>
        <v>29788407.599431217</v>
      </c>
      <c r="E74" s="278">
        <f t="shared" ca="1" si="10"/>
        <v>697.33418478260876</v>
      </c>
      <c r="F74" s="278">
        <f t="shared" ca="1" si="10"/>
        <v>0</v>
      </c>
      <c r="G74" s="278">
        <f>'Monthly Data'!BB74</f>
        <v>653.50416666666661</v>
      </c>
      <c r="H74" s="278">
        <f>'Monthly Data'!BI74</f>
        <v>0</v>
      </c>
      <c r="I74" s="24">
        <f>'Monthly Data'!CG74</f>
        <v>0.5</v>
      </c>
      <c r="J74" s="278">
        <f>'Monthly Data'!AL74</f>
        <v>808584</v>
      </c>
      <c r="K74" s="278">
        <f>'Monthly Data'!CD74</f>
        <v>31</v>
      </c>
      <c r="M74" s="18"/>
      <c r="N74" s="18">
        <f ca="1">(E74-G74)*'GS 50-999 Predicted Monthly'!$V$11</f>
        <v>808877.14445835655</v>
      </c>
      <c r="O74" s="18">
        <f ca="1">(F74-H74)*'GS 50-999 Predicted Monthly'!$V$12</f>
        <v>0</v>
      </c>
      <c r="P74" s="18"/>
      <c r="Q74" s="18"/>
      <c r="R74" s="18"/>
      <c r="S74" s="18">
        <f t="shared" ca="1" si="11"/>
        <v>30597284.743889574</v>
      </c>
    </row>
    <row r="75" spans="1:19" x14ac:dyDescent="0.25">
      <c r="A75" s="3">
        <f>'Monthly Data'!A75</f>
        <v>44228</v>
      </c>
      <c r="B75" s="1">
        <f t="shared" si="8"/>
        <v>2021</v>
      </c>
      <c r="C75" s="1">
        <f t="shared" si="9"/>
        <v>2</v>
      </c>
      <c r="D75" s="268">
        <f>'Monthly Data'!N75</f>
        <v>25694265.154835682</v>
      </c>
      <c r="E75" s="278">
        <f t="shared" ca="1" si="10"/>
        <v>624.25501811594188</v>
      </c>
      <c r="F75" s="278">
        <f t="shared" ca="1" si="10"/>
        <v>0</v>
      </c>
      <c r="G75" s="278">
        <f>'Monthly Data'!BB75</f>
        <v>653.45416666666654</v>
      </c>
      <c r="H75" s="278">
        <f>'Monthly Data'!BI75</f>
        <v>0</v>
      </c>
      <c r="I75" s="24">
        <f>'Monthly Data'!CG75</f>
        <v>0.5</v>
      </c>
      <c r="J75" s="278">
        <f>'Monthly Data'!AL75</f>
        <v>808584</v>
      </c>
      <c r="K75" s="278">
        <f>'Monthly Data'!CD75</f>
        <v>28</v>
      </c>
      <c r="M75" s="18"/>
      <c r="N75" s="18">
        <f ca="1">(E75-G75)*'GS 50-999 Predicted Monthly'!$V$11</f>
        <v>-538866.39603589009</v>
      </c>
      <c r="O75" s="18">
        <f ca="1">(F75-H75)*'GS 50-999 Predicted Monthly'!$V$12</f>
        <v>0</v>
      </c>
      <c r="P75" s="18"/>
      <c r="Q75" s="18"/>
      <c r="R75" s="18"/>
      <c r="S75" s="18">
        <f t="shared" ca="1" si="11"/>
        <v>25155398.758799791</v>
      </c>
    </row>
    <row r="76" spans="1:19" x14ac:dyDescent="0.25">
      <c r="A76" s="3">
        <f>'Monthly Data'!A76</f>
        <v>44256</v>
      </c>
      <c r="B76" s="1">
        <f t="shared" si="8"/>
        <v>2021</v>
      </c>
      <c r="C76" s="1">
        <f t="shared" si="9"/>
        <v>3</v>
      </c>
      <c r="D76" s="268">
        <f>'Monthly Data'!N76</f>
        <v>29773183.670959122</v>
      </c>
      <c r="E76" s="278">
        <f t="shared" ca="1" si="10"/>
        <v>546.13298913043491</v>
      </c>
      <c r="F76" s="278">
        <f t="shared" ca="1" si="10"/>
        <v>0</v>
      </c>
      <c r="G76" s="278">
        <f>'Monthly Data'!BB76</f>
        <v>492.59637681159415</v>
      </c>
      <c r="H76" s="278">
        <f>'Monthly Data'!BI76</f>
        <v>0.29583333333332895</v>
      </c>
      <c r="I76" s="24">
        <f>'Monthly Data'!CG76</f>
        <v>0.5</v>
      </c>
      <c r="J76" s="278">
        <f>'Monthly Data'!AL76</f>
        <v>808584</v>
      </c>
      <c r="K76" s="278">
        <f>'Monthly Data'!CD76</f>
        <v>31</v>
      </c>
      <c r="M76" s="18"/>
      <c r="N76" s="18">
        <f ca="1">(E76-G76)*'GS 50-999 Predicted Monthly'!$V$11</f>
        <v>988011.04717515409</v>
      </c>
      <c r="O76" s="18">
        <f ca="1">(F76-H76)*'GS 50-999 Predicted Monthly'!$V$12</f>
        <v>-8527.9705445350774</v>
      </c>
      <c r="P76" s="18"/>
      <c r="Q76" s="18"/>
      <c r="R76" s="18"/>
      <c r="S76" s="18">
        <f t="shared" ca="1" si="11"/>
        <v>30752666.747589741</v>
      </c>
    </row>
    <row r="77" spans="1:19" x14ac:dyDescent="0.25">
      <c r="A77" s="3">
        <f>'Monthly Data'!A77</f>
        <v>44287</v>
      </c>
      <c r="B77" s="1">
        <f t="shared" si="8"/>
        <v>2021</v>
      </c>
      <c r="C77" s="1">
        <f t="shared" si="9"/>
        <v>4</v>
      </c>
      <c r="D77" s="268">
        <f>'Monthly Data'!N77</f>
        <v>23588043.487083253</v>
      </c>
      <c r="E77" s="278">
        <f t="shared" ca="1" si="10"/>
        <v>352.41399621212122</v>
      </c>
      <c r="F77" s="278">
        <f t="shared" ca="1" si="10"/>
        <v>2.1908333333333347</v>
      </c>
      <c r="G77" s="278">
        <f>'Monthly Data'!BB77</f>
        <v>319.79583333333329</v>
      </c>
      <c r="H77" s="278">
        <f>'Monthly Data'!BI77</f>
        <v>11.054166666666664</v>
      </c>
      <c r="I77" s="24">
        <f>'Monthly Data'!CG77</f>
        <v>0.5</v>
      </c>
      <c r="J77" s="278">
        <f>'Monthly Data'!AL77</f>
        <v>802518</v>
      </c>
      <c r="K77" s="278">
        <f>'Monthly Data'!CD77</f>
        <v>30</v>
      </c>
      <c r="M77" s="18"/>
      <c r="N77" s="18">
        <f ca="1">(E77-G77)*'GS 50-999 Predicted Monthly'!$V$11</f>
        <v>601963.84991396905</v>
      </c>
      <c r="O77" s="18">
        <f ca="1">(F77-H77)*'GS 50-999 Predicted Monthly'!$V$12</f>
        <v>-255502.80200472224</v>
      </c>
      <c r="P77" s="18"/>
      <c r="Q77" s="18"/>
      <c r="R77" s="18"/>
      <c r="S77" s="18">
        <f t="shared" ca="1" si="11"/>
        <v>23934504.534992501</v>
      </c>
    </row>
    <row r="78" spans="1:19" x14ac:dyDescent="0.25">
      <c r="A78" s="3">
        <f>'Monthly Data'!A78</f>
        <v>44317</v>
      </c>
      <c r="B78" s="1">
        <f t="shared" si="8"/>
        <v>2021</v>
      </c>
      <c r="C78" s="1">
        <f t="shared" si="9"/>
        <v>5</v>
      </c>
      <c r="D78" s="268">
        <f>'Monthly Data'!N78</f>
        <v>23194467.813825011</v>
      </c>
      <c r="E78" s="278">
        <f t="shared" ca="1" si="10"/>
        <v>150.136897859768</v>
      </c>
      <c r="F78" s="278">
        <f t="shared" ca="1" si="10"/>
        <v>52.487435064935063</v>
      </c>
      <c r="G78" s="278">
        <f>'Monthly Data'!BB78</f>
        <v>173.64305555555555</v>
      </c>
      <c r="H78" s="278">
        <f>'Monthly Data'!BI78</f>
        <v>83.256944444444414</v>
      </c>
      <c r="I78" s="24">
        <f>'Monthly Data'!CG78</f>
        <v>0.5</v>
      </c>
      <c r="J78" s="278">
        <f>'Monthly Data'!AL78</f>
        <v>802518</v>
      </c>
      <c r="K78" s="278">
        <f>'Monthly Data'!CD78</f>
        <v>31</v>
      </c>
      <c r="M78" s="18"/>
      <c r="N78" s="18">
        <f ca="1">(E78-G78)*'GS 50-999 Predicted Monthly'!$V$11</f>
        <v>-433803.00833689823</v>
      </c>
      <c r="O78" s="18">
        <f ca="1">(F78-H78)*'GS 50-999 Predicted Monthly'!$V$12</f>
        <v>-886990.88335184928</v>
      </c>
      <c r="P78" s="18"/>
      <c r="Q78" s="18"/>
      <c r="R78" s="18"/>
      <c r="S78" s="18">
        <f t="shared" ca="1" si="11"/>
        <v>21873673.922136266</v>
      </c>
    </row>
    <row r="79" spans="1:19" x14ac:dyDescent="0.25">
      <c r="A79" s="3">
        <f>'Monthly Data'!A79</f>
        <v>44348</v>
      </c>
      <c r="B79" s="1">
        <f t="shared" si="8"/>
        <v>2021</v>
      </c>
      <c r="C79" s="1">
        <f t="shared" si="9"/>
        <v>6</v>
      </c>
      <c r="D79" s="268">
        <f>'Monthly Data'!N79</f>
        <v>25261745.349701807</v>
      </c>
      <c r="E79" s="278">
        <f t="shared" ca="1" si="10"/>
        <v>32.520923826173821</v>
      </c>
      <c r="F79" s="278">
        <f t="shared" ca="1" si="10"/>
        <v>137.65451754405018</v>
      </c>
      <c r="G79" s="278">
        <f>'Monthly Data'!BB79</f>
        <v>14.254166666666677</v>
      </c>
      <c r="H79" s="278">
        <f>'Monthly Data'!BI79</f>
        <v>241.67500000000001</v>
      </c>
      <c r="I79" s="24">
        <f>'Monthly Data'!CG79</f>
        <v>0.5</v>
      </c>
      <c r="J79" s="278">
        <f>'Monthly Data'!AL79</f>
        <v>802518</v>
      </c>
      <c r="K79" s="278">
        <f>'Monthly Data'!CD79</f>
        <v>30</v>
      </c>
      <c r="M79" s="18"/>
      <c r="N79" s="18">
        <f ca="1">(E79-G79)*'GS 50-999 Predicted Monthly'!$V$11</f>
        <v>337110.56953275838</v>
      </c>
      <c r="O79" s="18">
        <f ca="1">(F79-H79)*'GS 50-999 Predicted Monthly'!$V$12</f>
        <v>-2998592.4859020207</v>
      </c>
      <c r="P79" s="18"/>
      <c r="Q79" s="18"/>
      <c r="R79" s="18"/>
      <c r="S79" s="18">
        <f t="shared" ca="1" si="11"/>
        <v>22600263.433332548</v>
      </c>
    </row>
    <row r="80" spans="1:19" x14ac:dyDescent="0.25">
      <c r="A80" s="3">
        <f>'Monthly Data'!A80</f>
        <v>44378</v>
      </c>
      <c r="B80" s="1">
        <f t="shared" si="8"/>
        <v>2021</v>
      </c>
      <c r="C80" s="1">
        <f t="shared" si="9"/>
        <v>7</v>
      </c>
      <c r="D80" s="268">
        <f>'Monthly Data'!N80</f>
        <v>26254680.420328796</v>
      </c>
      <c r="E80" s="278">
        <f t="shared" ca="1" si="10"/>
        <v>1.6179166666666653</v>
      </c>
      <c r="F80" s="278">
        <f t="shared" ca="1" si="10"/>
        <v>235.94737858727848</v>
      </c>
      <c r="G80" s="278">
        <f>'Monthly Data'!BB80</f>
        <v>5.3541666666666572</v>
      </c>
      <c r="H80" s="278">
        <f>'Monthly Data'!BI80</f>
        <v>254.87499999999994</v>
      </c>
      <c r="I80" s="24">
        <f>'Monthly Data'!CG80</f>
        <v>0.5</v>
      </c>
      <c r="J80" s="278">
        <f>'Monthly Data'!AL80</f>
        <v>819564</v>
      </c>
      <c r="K80" s="278">
        <f>'Monthly Data'!CD80</f>
        <v>31</v>
      </c>
      <c r="M80" s="18"/>
      <c r="N80" s="18">
        <f ca="1">(E80-G80)*'GS 50-999 Predicted Monthly'!$V$11</f>
        <v>-68951.995935481595</v>
      </c>
      <c r="O80" s="18">
        <f ca="1">(F80-H80)*'GS 50-999 Predicted Monthly'!$V$12</f>
        <v>-545625.45764214918</v>
      </c>
      <c r="P80" s="18"/>
      <c r="Q80" s="18"/>
      <c r="R80" s="18"/>
      <c r="S80" s="18">
        <f t="shared" ca="1" si="11"/>
        <v>25640102.966751166</v>
      </c>
    </row>
    <row r="81" spans="1:19" x14ac:dyDescent="0.25">
      <c r="A81" s="3">
        <f>'Monthly Data'!A81</f>
        <v>44409</v>
      </c>
      <c r="B81" s="1">
        <f t="shared" si="8"/>
        <v>2021</v>
      </c>
      <c r="C81" s="1">
        <f t="shared" si="9"/>
        <v>8</v>
      </c>
      <c r="D81" s="268">
        <f>'Monthly Data'!N81</f>
        <v>29358064.956607085</v>
      </c>
      <c r="E81" s="278">
        <f t="shared" ca="1" si="10"/>
        <v>5.6499999999999977</v>
      </c>
      <c r="F81" s="278">
        <f t="shared" ca="1" si="10"/>
        <v>210.96558794466404</v>
      </c>
      <c r="G81" s="278">
        <f>'Monthly Data'!BB81</f>
        <v>0.69166666666666643</v>
      </c>
      <c r="H81" s="278">
        <f>'Monthly Data'!BI81</f>
        <v>328.06249999999989</v>
      </c>
      <c r="I81" s="24">
        <f>'Monthly Data'!CG81</f>
        <v>0.5</v>
      </c>
      <c r="J81" s="278">
        <f>'Monthly Data'!AL81</f>
        <v>819564</v>
      </c>
      <c r="K81" s="278">
        <f>'Monthly Data'!CD81</f>
        <v>31</v>
      </c>
      <c r="M81" s="18"/>
      <c r="N81" s="18">
        <f ca="1">(E81-G81)*'GS 50-999 Predicted Monthly'!$V$11</f>
        <v>91505.381022887523</v>
      </c>
      <c r="O81" s="18">
        <f ca="1">(F81-H81)*'GS 50-999 Predicted Monthly'!$V$12</f>
        <v>-3375545.9724978027</v>
      </c>
      <c r="P81" s="18"/>
      <c r="Q81" s="18"/>
      <c r="R81" s="18"/>
      <c r="S81" s="18">
        <f t="shared" ca="1" si="11"/>
        <v>26074024.365132172</v>
      </c>
    </row>
    <row r="82" spans="1:19" x14ac:dyDescent="0.25">
      <c r="A82" s="3">
        <f>'Monthly Data'!A82</f>
        <v>44440</v>
      </c>
      <c r="B82" s="1">
        <f t="shared" si="8"/>
        <v>2021</v>
      </c>
      <c r="C82" s="1">
        <f t="shared" si="9"/>
        <v>9</v>
      </c>
      <c r="D82" s="268">
        <f>'Monthly Data'!N82</f>
        <v>22123219.809366379</v>
      </c>
      <c r="E82" s="278">
        <f t="shared" ref="E82:F97" ca="1" si="12">E70</f>
        <v>54.959440993788824</v>
      </c>
      <c r="F82" s="278">
        <f t="shared" ca="1" si="12"/>
        <v>106.4160119047619</v>
      </c>
      <c r="G82" s="278">
        <f>'Monthly Data'!BB82</f>
        <v>45.679166666666674</v>
      </c>
      <c r="H82" s="278">
        <f>'Monthly Data'!BI82</f>
        <v>149.55833333333328</v>
      </c>
      <c r="I82" s="24">
        <f>'Monthly Data'!CG82</f>
        <v>0.5</v>
      </c>
      <c r="J82" s="278">
        <f>'Monthly Data'!AL82</f>
        <v>819564</v>
      </c>
      <c r="K82" s="278">
        <f>'Monthly Data'!CD82</f>
        <v>30</v>
      </c>
      <c r="M82" s="18"/>
      <c r="N82" s="18">
        <f ca="1">(E82-G82)*'GS 50-999 Predicted Monthly'!$V$11</f>
        <v>171266.22621181185</v>
      </c>
      <c r="O82" s="18">
        <f ca="1">(F82-H82)*'GS 50-999 Predicted Monthly'!$V$12</f>
        <v>-1243661.227151752</v>
      </c>
      <c r="P82" s="18"/>
      <c r="Q82" s="18"/>
      <c r="R82" s="18"/>
      <c r="S82" s="18">
        <f t="shared" ca="1" si="11"/>
        <v>21050824.80842644</v>
      </c>
    </row>
    <row r="83" spans="1:19" x14ac:dyDescent="0.25">
      <c r="A83" s="3">
        <f>'Monthly Data'!A83</f>
        <v>44470</v>
      </c>
      <c r="B83" s="1">
        <f t="shared" si="8"/>
        <v>2021</v>
      </c>
      <c r="C83" s="1">
        <f t="shared" si="9"/>
        <v>10</v>
      </c>
      <c r="D83" s="268">
        <f>'Monthly Data'!N83</f>
        <v>26526312.140713964</v>
      </c>
      <c r="E83" s="278">
        <f t="shared" ca="1" si="12"/>
        <v>237.89681159420289</v>
      </c>
      <c r="F83" s="278">
        <f t="shared" ca="1" si="12"/>
        <v>17.987083333333334</v>
      </c>
      <c r="G83" s="278">
        <f>'Monthly Data'!BB83</f>
        <v>153.47499999999997</v>
      </c>
      <c r="H83" s="278">
        <f>'Monthly Data'!BI83</f>
        <v>77.979166666666686</v>
      </c>
      <c r="I83" s="24">
        <f>'Monthly Data'!CG83</f>
        <v>0.5</v>
      </c>
      <c r="J83" s="278">
        <f>'Monthly Data'!AL83</f>
        <v>838397</v>
      </c>
      <c r="K83" s="278">
        <f>'Monthly Data'!CD83</f>
        <v>31</v>
      </c>
      <c r="M83" s="18"/>
      <c r="N83" s="18">
        <f ca="1">(E83-G83)*'GS 50-999 Predicted Monthly'!$V$11</f>
        <v>1557993.2846863796</v>
      </c>
      <c r="O83" s="18">
        <f ca="1">(F83-H83)*'GS 50-999 Predicted Monthly'!$V$12</f>
        <v>-1729388.3478489064</v>
      </c>
      <c r="P83" s="18"/>
      <c r="Q83" s="18"/>
      <c r="R83" s="18"/>
      <c r="S83" s="18">
        <f t="shared" ca="1" si="11"/>
        <v>26354917.077551436</v>
      </c>
    </row>
    <row r="84" spans="1:19" x14ac:dyDescent="0.25">
      <c r="A84" s="3">
        <f>'Monthly Data'!A84</f>
        <v>44501</v>
      </c>
      <c r="B84" s="1">
        <f t="shared" si="8"/>
        <v>2021</v>
      </c>
      <c r="C84" s="1">
        <f t="shared" si="9"/>
        <v>11</v>
      </c>
      <c r="D84" s="268">
        <f>'Monthly Data'!N84</f>
        <v>26196190.249155696</v>
      </c>
      <c r="E84" s="278">
        <f t="shared" ca="1" si="12"/>
        <v>426.62991389045737</v>
      </c>
      <c r="F84" s="278">
        <f t="shared" ca="1" si="12"/>
        <v>0.8083333333333329</v>
      </c>
      <c r="G84" s="278">
        <f>'Monthly Data'!BB84</f>
        <v>446.3126035196687</v>
      </c>
      <c r="H84" s="278">
        <f>'Monthly Data'!BI84</f>
        <v>0</v>
      </c>
      <c r="I84" s="24">
        <f>'Monthly Data'!CG84</f>
        <v>0.5</v>
      </c>
      <c r="J84" s="278">
        <f>'Monthly Data'!AL84</f>
        <v>838397</v>
      </c>
      <c r="K84" s="278">
        <f>'Monthly Data'!CD84</f>
        <v>30</v>
      </c>
      <c r="M84" s="18"/>
      <c r="N84" s="18">
        <f ca="1">(E84-G84)*'GS 50-999 Predicted Monthly'!$V$11</f>
        <v>-363241.41460360732</v>
      </c>
      <c r="O84" s="18">
        <f ca="1">(F84-H84)*'GS 50-999 Predicted Monthly'!$V$12</f>
        <v>23301.778670983502</v>
      </c>
      <c r="P84" s="18"/>
      <c r="Q84" s="18"/>
      <c r="R84" s="18"/>
      <c r="S84" s="18">
        <f t="shared" ca="1" si="11"/>
        <v>25856250.613223076</v>
      </c>
    </row>
    <row r="85" spans="1:19" x14ac:dyDescent="0.25">
      <c r="A85" s="3">
        <f>'Monthly Data'!A85</f>
        <v>44531</v>
      </c>
      <c r="B85" s="1">
        <f t="shared" si="8"/>
        <v>2021</v>
      </c>
      <c r="C85" s="1">
        <f t="shared" si="9"/>
        <v>12</v>
      </c>
      <c r="D85" s="268">
        <f>'Monthly Data'!N85</f>
        <v>31130519.465445086</v>
      </c>
      <c r="E85" s="278">
        <f t="shared" ca="1" si="12"/>
        <v>577.92800724637686</v>
      </c>
      <c r="F85" s="278">
        <f t="shared" ca="1" si="12"/>
        <v>0</v>
      </c>
      <c r="G85" s="278">
        <f>'Monthly Data'!BB85</f>
        <v>533.04583333333346</v>
      </c>
      <c r="H85" s="278">
        <f>'Monthly Data'!BI85</f>
        <v>0</v>
      </c>
      <c r="I85" s="24">
        <f>'Monthly Data'!CG85</f>
        <v>0.5</v>
      </c>
      <c r="J85" s="278">
        <f>'Monthly Data'!AL85</f>
        <v>838397</v>
      </c>
      <c r="K85" s="278">
        <f>'Monthly Data'!CD85</f>
        <v>31</v>
      </c>
      <c r="M85" s="18"/>
      <c r="N85" s="18">
        <f ca="1">(E85-G85)*'GS 50-999 Predicted Monthly'!$V$11</f>
        <v>828294.53950558812</v>
      </c>
      <c r="O85" s="18">
        <f ca="1">(F85-H85)*'GS 50-999 Predicted Monthly'!$V$12</f>
        <v>0</v>
      </c>
      <c r="P85" s="18"/>
      <c r="Q85" s="18"/>
      <c r="R85" s="18"/>
      <c r="S85" s="18">
        <f t="shared" ca="1" si="11"/>
        <v>31958814.004950676</v>
      </c>
    </row>
    <row r="86" spans="1:19" x14ac:dyDescent="0.25">
      <c r="A86" s="3">
        <f>'Monthly Data'!A86</f>
        <v>44562</v>
      </c>
      <c r="B86" s="1">
        <f t="shared" si="8"/>
        <v>2022</v>
      </c>
      <c r="C86" s="1">
        <f t="shared" si="9"/>
        <v>1</v>
      </c>
      <c r="D86" s="268">
        <f>'Monthly Data'!N86</f>
        <v>35142313.8818653</v>
      </c>
      <c r="E86" s="278">
        <f t="shared" ca="1" si="12"/>
        <v>697.33418478260876</v>
      </c>
      <c r="F86" s="278">
        <f t="shared" ca="1" si="12"/>
        <v>0</v>
      </c>
      <c r="G86" s="278">
        <f>'Monthly Data'!BB86</f>
        <v>825.49166666666656</v>
      </c>
      <c r="H86" s="278">
        <f>'Monthly Data'!BI86</f>
        <v>0</v>
      </c>
      <c r="I86" s="24">
        <f>'Monthly Data'!CG86</f>
        <v>0.25</v>
      </c>
      <c r="J86" s="278">
        <f>'Monthly Data'!AL86</f>
        <v>845218</v>
      </c>
      <c r="K86" s="278">
        <f>'Monthly Data'!CD86</f>
        <v>31</v>
      </c>
      <c r="M86" s="18"/>
      <c r="N86" s="18">
        <f ca="1">(E86-G86)*'GS 50-999 Predicted Monthly'!$V$11</f>
        <v>-2365129.252585113</v>
      </c>
      <c r="O86" s="18">
        <f ca="1">(F86-H86)*'GS 50-999 Predicted Monthly'!$V$12</f>
        <v>0</v>
      </c>
      <c r="P86" s="18"/>
      <c r="Q86" s="18"/>
      <c r="R86" s="18"/>
      <c r="S86" s="18">
        <f t="shared" ca="1" si="11"/>
        <v>32777184.629280187</v>
      </c>
    </row>
    <row r="87" spans="1:19" x14ac:dyDescent="0.25">
      <c r="A87" s="3">
        <f>'Monthly Data'!A87</f>
        <v>44593</v>
      </c>
      <c r="B87" s="1">
        <f t="shared" si="8"/>
        <v>2022</v>
      </c>
      <c r="C87" s="1">
        <f t="shared" si="9"/>
        <v>2</v>
      </c>
      <c r="D87" s="268">
        <f>'Monthly Data'!N87</f>
        <v>33372096.669579025</v>
      </c>
      <c r="E87" s="278">
        <f t="shared" ca="1" si="12"/>
        <v>624.25501811594188</v>
      </c>
      <c r="F87" s="278">
        <f t="shared" ca="1" si="12"/>
        <v>0</v>
      </c>
      <c r="G87" s="278">
        <f>'Monthly Data'!BB87</f>
        <v>636.84999999999991</v>
      </c>
      <c r="H87" s="278">
        <f>'Monthly Data'!BI87</f>
        <v>0</v>
      </c>
      <c r="I87" s="24">
        <f>'Monthly Data'!CG87</f>
        <v>0.25</v>
      </c>
      <c r="J87" s="278">
        <f>'Monthly Data'!AL87</f>
        <v>845218</v>
      </c>
      <c r="K87" s="278">
        <f>'Monthly Data'!CD87</f>
        <v>28</v>
      </c>
      <c r="M87" s="18"/>
      <c r="N87" s="18">
        <f ca="1">(E87-G87)*'GS 50-999 Predicted Monthly'!$V$11</f>
        <v>-232438.71252647319</v>
      </c>
      <c r="O87" s="18">
        <f ca="1">(F87-H87)*'GS 50-999 Predicted Monthly'!$V$12</f>
        <v>0</v>
      </c>
      <c r="P87" s="18"/>
      <c r="Q87" s="18"/>
      <c r="R87" s="18"/>
      <c r="S87" s="18">
        <f t="shared" ca="1" si="11"/>
        <v>33139657.957052551</v>
      </c>
    </row>
    <row r="88" spans="1:19" x14ac:dyDescent="0.25">
      <c r="A88" s="3">
        <f>'Monthly Data'!A88</f>
        <v>44621</v>
      </c>
      <c r="B88" s="1">
        <f t="shared" si="8"/>
        <v>2022</v>
      </c>
      <c r="C88" s="1">
        <f t="shared" si="9"/>
        <v>3</v>
      </c>
      <c r="D88" s="268">
        <f>'Monthly Data'!N88</f>
        <v>30259532.358253561</v>
      </c>
      <c r="E88" s="278">
        <f t="shared" ca="1" si="12"/>
        <v>546.13298913043491</v>
      </c>
      <c r="F88" s="278">
        <f t="shared" ca="1" si="12"/>
        <v>0</v>
      </c>
      <c r="G88" s="278">
        <f>'Monthly Data'!BB88</f>
        <v>544.7208333333333</v>
      </c>
      <c r="H88" s="278">
        <f>'Monthly Data'!BI88</f>
        <v>0</v>
      </c>
      <c r="I88" s="24">
        <f>'Monthly Data'!CG88</f>
        <v>0.25</v>
      </c>
      <c r="J88" s="278">
        <f>'Monthly Data'!AL88</f>
        <v>845218</v>
      </c>
      <c r="K88" s="278">
        <f>'Monthly Data'!CD88</f>
        <v>31</v>
      </c>
      <c r="M88" s="18"/>
      <c r="N88" s="18">
        <f ca="1">(E88-G88)*'GS 50-999 Predicted Monthly'!$V$11</f>
        <v>26061.147081168772</v>
      </c>
      <c r="O88" s="18">
        <f ca="1">(F88-H88)*'GS 50-999 Predicted Monthly'!$V$12</f>
        <v>0</v>
      </c>
      <c r="P88" s="18"/>
      <c r="Q88" s="18"/>
      <c r="R88" s="18"/>
      <c r="S88" s="18">
        <f t="shared" ca="1" si="11"/>
        <v>30285593.505334731</v>
      </c>
    </row>
    <row r="89" spans="1:19" x14ac:dyDescent="0.25">
      <c r="A89" s="3">
        <f>'Monthly Data'!A89</f>
        <v>44652</v>
      </c>
      <c r="B89" s="1">
        <f t="shared" si="8"/>
        <v>2022</v>
      </c>
      <c r="C89" s="1">
        <f t="shared" si="9"/>
        <v>4</v>
      </c>
      <c r="D89" s="268">
        <f>'Monthly Data'!N89</f>
        <v>27480122.684585173</v>
      </c>
      <c r="E89" s="278">
        <f t="shared" ca="1" si="12"/>
        <v>352.41399621212122</v>
      </c>
      <c r="F89" s="278">
        <f t="shared" ca="1" si="12"/>
        <v>2.1908333333333347</v>
      </c>
      <c r="G89" s="278">
        <f>'Monthly Data'!BB89</f>
        <v>354.33333333333331</v>
      </c>
      <c r="H89" s="278">
        <f>'Monthly Data'!BI89</f>
        <v>2.2541666666666629</v>
      </c>
      <c r="I89" s="24">
        <f>'Monthly Data'!CG89</f>
        <v>0.25</v>
      </c>
      <c r="J89" s="278">
        <f>'Monthly Data'!AL89</f>
        <v>851621</v>
      </c>
      <c r="K89" s="278">
        <f>'Monthly Data'!CD89</f>
        <v>30</v>
      </c>
      <c r="M89" s="18"/>
      <c r="N89" s="18">
        <f ca="1">(E89-G89)*'GS 50-999 Predicted Monthly'!$V$11</f>
        <v>-35421.110841254093</v>
      </c>
      <c r="O89" s="18">
        <f ca="1">(F89-H89)*'GS 50-999 Predicted Monthly'!$V$12</f>
        <v>-1825.7063700975275</v>
      </c>
      <c r="P89" s="18"/>
      <c r="Q89" s="18"/>
      <c r="R89" s="18"/>
      <c r="S89" s="18">
        <f t="shared" ca="1" si="11"/>
        <v>27442875.86737382</v>
      </c>
    </row>
    <row r="90" spans="1:19" x14ac:dyDescent="0.25">
      <c r="A90" s="3">
        <f>'Monthly Data'!A90</f>
        <v>44682</v>
      </c>
      <c r="B90" s="1">
        <f t="shared" si="8"/>
        <v>2022</v>
      </c>
      <c r="C90" s="1">
        <f t="shared" si="9"/>
        <v>5</v>
      </c>
      <c r="D90" s="268">
        <f>'Monthly Data'!N90</f>
        <v>25718021.413816359</v>
      </c>
      <c r="E90" s="278">
        <f t="shared" ca="1" si="12"/>
        <v>150.136897859768</v>
      </c>
      <c r="F90" s="278">
        <f t="shared" ca="1" si="12"/>
        <v>52.487435064935063</v>
      </c>
      <c r="G90" s="278">
        <f>'Monthly Data'!BB90</f>
        <v>109.50833333333333</v>
      </c>
      <c r="H90" s="278">
        <f>'Monthly Data'!BI90</f>
        <v>109.43749999999997</v>
      </c>
      <c r="I90" s="24">
        <f>'Monthly Data'!CG90</f>
        <v>0.25</v>
      </c>
      <c r="J90" s="278">
        <f>'Monthly Data'!AL90</f>
        <v>851621</v>
      </c>
      <c r="K90" s="278">
        <f>'Monthly Data'!CD90</f>
        <v>31</v>
      </c>
      <c r="M90" s="18"/>
      <c r="N90" s="18">
        <f ca="1">(E90-G90)*'GS 50-999 Predicted Monthly'!$V$11</f>
        <v>749794.74502273172</v>
      </c>
      <c r="O90" s="18">
        <f ca="1">(F90-H90)*'GS 50-999 Predicted Monthly'!$V$12</f>
        <v>-1641696.2578330166</v>
      </c>
      <c r="P90" s="18"/>
      <c r="Q90" s="18"/>
      <c r="R90" s="18"/>
      <c r="S90" s="18">
        <f t="shared" ca="1" si="11"/>
        <v>24826119.901006076</v>
      </c>
    </row>
    <row r="91" spans="1:19" x14ac:dyDescent="0.25">
      <c r="A91" s="3">
        <f>'Monthly Data'!A91</f>
        <v>44713</v>
      </c>
      <c r="B91" s="1">
        <f t="shared" si="8"/>
        <v>2022</v>
      </c>
      <c r="C91" s="1">
        <f t="shared" si="9"/>
        <v>6</v>
      </c>
      <c r="D91" s="268">
        <f>'Monthly Data'!N91</f>
        <v>26994738.159102611</v>
      </c>
      <c r="E91" s="278">
        <f t="shared" ca="1" si="12"/>
        <v>32.520923826173821</v>
      </c>
      <c r="F91" s="278">
        <f t="shared" ca="1" si="12"/>
        <v>137.65451754405018</v>
      </c>
      <c r="G91" s="278">
        <f>'Monthly Data'!BB91</f>
        <v>36.166510989010987</v>
      </c>
      <c r="H91" s="278">
        <f>'Monthly Data'!BI91</f>
        <v>180.92250416250408</v>
      </c>
      <c r="I91" s="24">
        <f>'Monthly Data'!CG91</f>
        <v>0.25</v>
      </c>
      <c r="J91" s="278">
        <f>'Monthly Data'!AL91</f>
        <v>851621</v>
      </c>
      <c r="K91" s="278">
        <f>'Monthly Data'!CD91</f>
        <v>30</v>
      </c>
      <c r="M91" s="18"/>
      <c r="N91" s="18">
        <f ca="1">(E91-G91)*'GS 50-999 Predicted Monthly'!$V$11</f>
        <v>-67278.825355474808</v>
      </c>
      <c r="O91" s="18">
        <f ca="1">(F91-H91)*'GS 50-999 Predicted Monthly'!$V$12</f>
        <v>-1247283.7703780897</v>
      </c>
      <c r="P91" s="18"/>
      <c r="Q91" s="18"/>
      <c r="R91" s="18"/>
      <c r="S91" s="18">
        <f t="shared" ca="1" si="11"/>
        <v>25680175.563369047</v>
      </c>
    </row>
    <row r="92" spans="1:19" x14ac:dyDescent="0.25">
      <c r="A92" s="3">
        <f>'Monthly Data'!A92</f>
        <v>44743</v>
      </c>
      <c r="B92" s="1">
        <f t="shared" si="8"/>
        <v>2022</v>
      </c>
      <c r="C92" s="1">
        <f t="shared" si="9"/>
        <v>7</v>
      </c>
      <c r="D92" s="268">
        <f>'Monthly Data'!N92</f>
        <v>30437331.985723536</v>
      </c>
      <c r="E92" s="278">
        <f t="shared" ca="1" si="12"/>
        <v>1.6179166666666653</v>
      </c>
      <c r="F92" s="278">
        <f t="shared" ca="1" si="12"/>
        <v>235.94737858727848</v>
      </c>
      <c r="G92" s="278">
        <f>'Monthly Data'!BB92</f>
        <v>0.62083333333333357</v>
      </c>
      <c r="H92" s="278">
        <f>'Monthly Data'!BI92</f>
        <v>283.8543382913806</v>
      </c>
      <c r="I92" s="24">
        <f>'Monthly Data'!CG92</f>
        <v>0.25</v>
      </c>
      <c r="J92" s="278">
        <f>'Monthly Data'!AL92</f>
        <v>852979</v>
      </c>
      <c r="K92" s="278">
        <f>'Monthly Data'!CD92</f>
        <v>31</v>
      </c>
      <c r="M92" s="18"/>
      <c r="N92" s="18">
        <f ca="1">(E92-G92)*'GS 50-999 Predicted Monthly'!$V$11</f>
        <v>18401.040066199126</v>
      </c>
      <c r="O92" s="18">
        <f ca="1">(F92-H92)*'GS 50-999 Predicted Monthly'!$V$12</f>
        <v>-1381011.1816388208</v>
      </c>
      <c r="P92" s="18"/>
      <c r="Q92" s="18"/>
      <c r="R92" s="18"/>
      <c r="S92" s="18">
        <f t="shared" ca="1" si="11"/>
        <v>29074721.844150912</v>
      </c>
    </row>
    <row r="93" spans="1:19" x14ac:dyDescent="0.25">
      <c r="A93" s="3">
        <f>'Monthly Data'!A93</f>
        <v>44774</v>
      </c>
      <c r="B93" s="1">
        <f t="shared" si="8"/>
        <v>2022</v>
      </c>
      <c r="C93" s="1">
        <f t="shared" si="9"/>
        <v>8</v>
      </c>
      <c r="D93" s="268">
        <f>'Monthly Data'!N93</f>
        <v>28209659.303995032</v>
      </c>
      <c r="E93" s="278">
        <f t="shared" ca="1" si="12"/>
        <v>5.6499999999999977</v>
      </c>
      <c r="F93" s="278">
        <f t="shared" ca="1" si="12"/>
        <v>210.96558794466404</v>
      </c>
      <c r="G93" s="278">
        <f>'Monthly Data'!BB93</f>
        <v>0.76250000000000284</v>
      </c>
      <c r="H93" s="278">
        <f>'Monthly Data'!BI93</f>
        <v>290.28333333333336</v>
      </c>
      <c r="I93" s="24">
        <f>'Monthly Data'!CG93</f>
        <v>0.25</v>
      </c>
      <c r="J93" s="278">
        <f>'Monthly Data'!AL93</f>
        <v>852979</v>
      </c>
      <c r="K93" s="278">
        <f>'Monthly Data'!CD93</f>
        <v>31</v>
      </c>
      <c r="M93" s="18"/>
      <c r="N93" s="18">
        <f ca="1">(E93-G93)*'GS 50-999 Predicted Monthly'!$V$11</f>
        <v>90198.161293989077</v>
      </c>
      <c r="O93" s="18">
        <f ca="1">(F93-H93)*'GS 50-999 Predicted Monthly'!$V$12</f>
        <v>-2286488.100282304</v>
      </c>
      <c r="P93" s="18"/>
      <c r="Q93" s="18"/>
      <c r="R93" s="18"/>
      <c r="S93" s="18">
        <f t="shared" ca="1" si="11"/>
        <v>26013369.365006719</v>
      </c>
    </row>
    <row r="94" spans="1:19" x14ac:dyDescent="0.25">
      <c r="A94" s="3">
        <f>'Monthly Data'!A94</f>
        <v>44805</v>
      </c>
      <c r="B94" s="1">
        <f t="shared" si="8"/>
        <v>2022</v>
      </c>
      <c r="C94" s="1">
        <f t="shared" si="9"/>
        <v>9</v>
      </c>
      <c r="D94" s="268">
        <f>'Monthly Data'!N94</f>
        <v>27443738.433949891</v>
      </c>
      <c r="E94" s="278">
        <f t="shared" ca="1" si="12"/>
        <v>54.959440993788824</v>
      </c>
      <c r="F94" s="278">
        <f t="shared" ca="1" si="12"/>
        <v>106.4160119047619</v>
      </c>
      <c r="G94" s="278">
        <f>'Monthly Data'!BB94</f>
        <v>71.412499999999994</v>
      </c>
      <c r="H94" s="278">
        <f>'Monthly Data'!BI94</f>
        <v>139.79166666666663</v>
      </c>
      <c r="I94" s="24">
        <f>'Monthly Data'!CG94</f>
        <v>0.25</v>
      </c>
      <c r="J94" s="278">
        <f>'Monthly Data'!AL94</f>
        <v>852979</v>
      </c>
      <c r="K94" s="278">
        <f>'Monthly Data'!CD94</f>
        <v>30</v>
      </c>
      <c r="M94" s="18"/>
      <c r="N94" s="18">
        <f ca="1">(E94-G94)*'GS 50-999 Predicted Monthly'!$V$11</f>
        <v>-303639.01176915725</v>
      </c>
      <c r="O94" s="18">
        <f ca="1">(F94-H94)*'GS 50-999 Predicted Monthly'!$V$12</f>
        <v>-962118.08692090015</v>
      </c>
      <c r="P94" s="18"/>
      <c r="Q94" s="18"/>
      <c r="R94" s="18"/>
      <c r="S94" s="18">
        <f t="shared" ca="1" si="11"/>
        <v>26177981.335259836</v>
      </c>
    </row>
    <row r="95" spans="1:19" x14ac:dyDescent="0.25">
      <c r="A95" s="3">
        <f>'Monthly Data'!A95</f>
        <v>44835</v>
      </c>
      <c r="B95" s="1">
        <f t="shared" si="8"/>
        <v>2022</v>
      </c>
      <c r="C95" s="1">
        <f t="shared" si="9"/>
        <v>10</v>
      </c>
      <c r="D95" s="268">
        <f>'Monthly Data'!N95</f>
        <v>26694582.901064809</v>
      </c>
      <c r="E95" s="278">
        <f t="shared" ca="1" si="12"/>
        <v>237.89681159420289</v>
      </c>
      <c r="F95" s="278">
        <f t="shared" ca="1" si="12"/>
        <v>17.987083333333334</v>
      </c>
      <c r="G95" s="278">
        <f>'Monthly Data'!BB95</f>
        <v>268.85561594202898</v>
      </c>
      <c r="H95" s="278">
        <f>'Monthly Data'!BI95</f>
        <v>11.604166666666668</v>
      </c>
      <c r="I95" s="24">
        <f>'Monthly Data'!CG95</f>
        <v>0.25</v>
      </c>
      <c r="J95" s="278">
        <f>'Monthly Data'!AL95</f>
        <v>852029</v>
      </c>
      <c r="K95" s="278">
        <f>'Monthly Data'!CD95</f>
        <v>31</v>
      </c>
      <c r="M95" s="18"/>
      <c r="N95" s="18">
        <f ca="1">(E95-G95)*'GS 50-999 Predicted Monthly'!$V$11</f>
        <v>-571340.60931647476</v>
      </c>
      <c r="O95" s="18">
        <f ca="1">(F95-H95)*'GS 50-999 Predicted Monthly'!$V$12</f>
        <v>183999.97291793631</v>
      </c>
      <c r="P95" s="18"/>
      <c r="Q95" s="18"/>
      <c r="R95" s="18"/>
      <c r="S95" s="18">
        <f t="shared" ca="1" si="11"/>
        <v>26307242.26466627</v>
      </c>
    </row>
    <row r="96" spans="1:19" x14ac:dyDescent="0.25">
      <c r="A96" s="3">
        <f>'Monthly Data'!A96</f>
        <v>44866</v>
      </c>
      <c r="B96" s="1">
        <f t="shared" si="8"/>
        <v>2022</v>
      </c>
      <c r="C96" s="1">
        <f t="shared" si="9"/>
        <v>11</v>
      </c>
      <c r="D96" s="268">
        <f>'Monthly Data'!N96</f>
        <v>27218650.297496051</v>
      </c>
      <c r="E96" s="278">
        <f t="shared" ca="1" si="12"/>
        <v>426.62991389045737</v>
      </c>
      <c r="F96" s="278">
        <f t="shared" ca="1" si="12"/>
        <v>0.8083333333333329</v>
      </c>
      <c r="G96" s="278">
        <f>'Monthly Data'!BB96</f>
        <v>411.83333333333348</v>
      </c>
      <c r="H96" s="278">
        <f>'Monthly Data'!BI96</f>
        <v>6.5791666666666675</v>
      </c>
      <c r="I96" s="24">
        <f>'Monthly Data'!CG96</f>
        <v>0.25</v>
      </c>
      <c r="J96" s="278">
        <f>'Monthly Data'!AL96</f>
        <v>852029</v>
      </c>
      <c r="K96" s="278">
        <f>'Monthly Data'!CD96</f>
        <v>30</v>
      </c>
      <c r="M96" s="18"/>
      <c r="N96" s="18">
        <f ca="1">(E96-G96)*'GS 50-999 Predicted Monthly'!$V$11</f>
        <v>273068.92269891861</v>
      </c>
      <c r="O96" s="18">
        <f ca="1">(F96-H96)*'GS 50-999 Predicted Monthly'!$V$12</f>
        <v>-166355.48174903184</v>
      </c>
      <c r="P96" s="18"/>
      <c r="Q96" s="18"/>
      <c r="R96" s="18"/>
      <c r="S96" s="18">
        <f t="shared" ca="1" si="11"/>
        <v>27325363.738445938</v>
      </c>
    </row>
    <row r="97" spans="1:23" x14ac:dyDescent="0.25">
      <c r="A97" s="3">
        <f>'Monthly Data'!A97</f>
        <v>44896</v>
      </c>
      <c r="B97" s="1">
        <f t="shared" si="8"/>
        <v>2022</v>
      </c>
      <c r="C97" s="1">
        <f t="shared" si="9"/>
        <v>12</v>
      </c>
      <c r="D97" s="268">
        <f>'Monthly Data'!N97</f>
        <v>33213275.661935754</v>
      </c>
      <c r="E97" s="278">
        <f t="shared" ca="1" si="12"/>
        <v>577.92800724637686</v>
      </c>
      <c r="F97" s="278">
        <f t="shared" ca="1" si="12"/>
        <v>0</v>
      </c>
      <c r="G97" s="278">
        <f>'Monthly Data'!BB97</f>
        <v>585.12083333333328</v>
      </c>
      <c r="H97" s="278">
        <f>'Monthly Data'!BI97</f>
        <v>0</v>
      </c>
      <c r="I97" s="24">
        <f>'Monthly Data'!CG97</f>
        <v>0.25</v>
      </c>
      <c r="J97" s="278">
        <f>'Monthly Data'!AL97</f>
        <v>852029</v>
      </c>
      <c r="K97" s="278">
        <f>'Monthly Data'!CD97</f>
        <v>31</v>
      </c>
      <c r="M97" s="18"/>
      <c r="N97" s="18">
        <f ca="1">(E97-G97)*'GS 50-999 Predicted Monthly'!$V$11</f>
        <v>-132742.64706923944</v>
      </c>
      <c r="O97" s="18">
        <f ca="1">(F97-H97)*'GS 50-999 Predicted Monthly'!$V$12</f>
        <v>0</v>
      </c>
      <c r="P97" s="18"/>
      <c r="Q97" s="18"/>
      <c r="R97" s="18"/>
      <c r="S97" s="18">
        <f t="shared" ca="1" si="11"/>
        <v>33080533.014866516</v>
      </c>
    </row>
    <row r="98" spans="1:23" x14ac:dyDescent="0.25">
      <c r="A98" s="3">
        <f>'Monthly Data'!A98</f>
        <v>44927</v>
      </c>
      <c r="B98" s="1">
        <f t="shared" si="8"/>
        <v>2023</v>
      </c>
      <c r="C98" s="1">
        <f t="shared" si="9"/>
        <v>1</v>
      </c>
      <c r="D98" s="268">
        <f>'Monthly Data'!N98</f>
        <v>33636244.995981395</v>
      </c>
      <c r="E98" s="278">
        <f t="shared" ref="E98:F109" ca="1" si="13">E86</f>
        <v>697.33418478260876</v>
      </c>
      <c r="F98" s="278">
        <f t="shared" ca="1" si="13"/>
        <v>0</v>
      </c>
      <c r="G98" s="278">
        <f>'Monthly Data'!BB98</f>
        <v>604.07083333333344</v>
      </c>
      <c r="H98" s="278">
        <f>'Monthly Data'!BI98</f>
        <v>0</v>
      </c>
      <c r="I98" s="24">
        <f>'Monthly Data'!CG98</f>
        <v>0</v>
      </c>
      <c r="J98" s="278">
        <f>'Monthly Data'!AL98</f>
        <v>860658</v>
      </c>
      <c r="K98" s="278">
        <f>'Monthly Data'!CD98</f>
        <v>31</v>
      </c>
      <c r="M98" s="18"/>
      <c r="N98" s="18">
        <f ca="1">(E98-G98)*'GS 50-999 Predicted Monthly'!$V$11</f>
        <v>1721162.7246730912</v>
      </c>
      <c r="O98" s="18">
        <f ca="1">(F98-H98)*'GS 50-999 Predicted Monthly'!$V$12</f>
        <v>0</v>
      </c>
      <c r="P98" s="18"/>
      <c r="Q98" s="18"/>
      <c r="R98" s="18"/>
      <c r="S98" s="18">
        <f t="shared" ref="S98:S121" ca="1" si="14">D98+N98+O98</f>
        <v>35357407.720654488</v>
      </c>
    </row>
    <row r="99" spans="1:23" x14ac:dyDescent="0.25">
      <c r="A99" s="3">
        <f>'Monthly Data'!A99</f>
        <v>44958</v>
      </c>
      <c r="B99" s="1">
        <f t="shared" si="8"/>
        <v>2023</v>
      </c>
      <c r="C99" s="1">
        <f t="shared" si="9"/>
        <v>2</v>
      </c>
      <c r="D99" s="268">
        <f>'Monthly Data'!N99</f>
        <v>29200478.524304185</v>
      </c>
      <c r="E99" s="278">
        <f t="shared" ca="1" si="13"/>
        <v>624.25501811594188</v>
      </c>
      <c r="F99" s="278">
        <f t="shared" ca="1" si="13"/>
        <v>0</v>
      </c>
      <c r="G99" s="278">
        <f>'Monthly Data'!BB99</f>
        <v>573.43333333333328</v>
      </c>
      <c r="H99" s="278">
        <f>'Monthly Data'!BI99</f>
        <v>0</v>
      </c>
      <c r="I99" s="24">
        <f>'Monthly Data'!CG99</f>
        <v>0</v>
      </c>
      <c r="J99" s="278">
        <f>'Monthly Data'!AL99</f>
        <v>860658</v>
      </c>
      <c r="K99" s="278">
        <f>'Monthly Data'!CD99</f>
        <v>28</v>
      </c>
      <c r="M99" s="18"/>
      <c r="N99" s="18">
        <f ca="1">(E99-G99)*'GS 50-999 Predicted Monthly'!$V$11</f>
        <v>937907.42122844094</v>
      </c>
      <c r="O99" s="18">
        <f ca="1">(F99-H99)*'GS 50-999 Predicted Monthly'!$V$12</f>
        <v>0</v>
      </c>
      <c r="P99" s="18"/>
      <c r="Q99" s="18"/>
      <c r="R99" s="18"/>
      <c r="S99" s="18">
        <f t="shared" ca="1" si="14"/>
        <v>30138385.945532627</v>
      </c>
    </row>
    <row r="100" spans="1:23" x14ac:dyDescent="0.25">
      <c r="A100" s="3">
        <f>'Monthly Data'!A100</f>
        <v>44986</v>
      </c>
      <c r="B100" s="1">
        <f t="shared" si="8"/>
        <v>2023</v>
      </c>
      <c r="C100" s="1">
        <f t="shared" si="9"/>
        <v>3</v>
      </c>
      <c r="D100" s="268">
        <f>'Monthly Data'!N100</f>
        <v>28885241.896434542</v>
      </c>
      <c r="E100" s="278">
        <f t="shared" ca="1" si="13"/>
        <v>546.13298913043491</v>
      </c>
      <c r="F100" s="278">
        <f t="shared" ca="1" si="13"/>
        <v>0</v>
      </c>
      <c r="G100" s="278">
        <f>'Monthly Data'!BB100</f>
        <v>551.03333333333342</v>
      </c>
      <c r="H100" s="278">
        <f>'Monthly Data'!BI100</f>
        <v>0</v>
      </c>
      <c r="I100" s="24">
        <f>'Monthly Data'!CG100</f>
        <v>0</v>
      </c>
      <c r="J100" s="278">
        <f>'Monthly Data'!AL100</f>
        <v>860658</v>
      </c>
      <c r="K100" s="278">
        <f>'Monthly Data'!CD100</f>
        <v>31</v>
      </c>
      <c r="M100" s="18"/>
      <c r="N100" s="18">
        <f ca="1">(E100-G100)*'GS 50-999 Predicted Monthly'!$V$11</f>
        <v>-90435.199347131362</v>
      </c>
      <c r="O100" s="18">
        <f ca="1">(F100-H100)*'GS 50-999 Predicted Monthly'!$V$12</f>
        <v>0</v>
      </c>
      <c r="P100" s="18"/>
      <c r="Q100" s="18"/>
      <c r="R100" s="18"/>
      <c r="S100" s="18">
        <f t="shared" ca="1" si="14"/>
        <v>28794806.697087411</v>
      </c>
      <c r="V100" s="18"/>
      <c r="W100" s="285"/>
    </row>
    <row r="101" spans="1:23" x14ac:dyDescent="0.25">
      <c r="A101" s="3">
        <f>'Monthly Data'!A101</f>
        <v>45017</v>
      </c>
      <c r="B101" s="1">
        <f t="shared" si="8"/>
        <v>2023</v>
      </c>
      <c r="C101" s="1">
        <f t="shared" si="9"/>
        <v>4</v>
      </c>
      <c r="D101" s="268">
        <f>'Monthly Data'!N101</f>
        <v>25554743.22315539</v>
      </c>
      <c r="E101" s="278">
        <f t="shared" ca="1" si="13"/>
        <v>352.41399621212122</v>
      </c>
      <c r="F101" s="278">
        <f t="shared" ca="1" si="13"/>
        <v>2.1908333333333347</v>
      </c>
      <c r="G101" s="278">
        <f>'Monthly Data'!BB101</f>
        <v>301.39999999999998</v>
      </c>
      <c r="H101" s="278">
        <f>'Monthly Data'!BI101</f>
        <v>22.716666666666676</v>
      </c>
      <c r="I101" s="24">
        <f>'Monthly Data'!CG101</f>
        <v>0</v>
      </c>
      <c r="J101" s="278">
        <f>'Monthly Data'!AL101</f>
        <v>865503</v>
      </c>
      <c r="K101" s="278">
        <f>'Monthly Data'!CD101</f>
        <v>30</v>
      </c>
      <c r="M101" s="18"/>
      <c r="N101" s="18">
        <f ca="1">(E101-G101)*'GS 50-999 Predicted Monthly'!$V$11</f>
        <v>941456.50303669856</v>
      </c>
      <c r="O101" s="18">
        <f ca="1">(F101-H101)*'GS 50-999 Predicted Monthly'!$V$12</f>
        <v>-591697.02107731462</v>
      </c>
      <c r="P101" s="18"/>
      <c r="Q101" s="18"/>
      <c r="R101" s="18"/>
      <c r="S101" s="18">
        <f t="shared" ca="1" si="14"/>
        <v>25904502.705114774</v>
      </c>
      <c r="V101" s="18"/>
      <c r="W101" s="285"/>
    </row>
    <row r="102" spans="1:23" x14ac:dyDescent="0.25">
      <c r="A102" s="3">
        <f>'Monthly Data'!A102</f>
        <v>45047</v>
      </c>
      <c r="B102" s="1">
        <f t="shared" si="8"/>
        <v>2023</v>
      </c>
      <c r="C102" s="1">
        <f t="shared" si="9"/>
        <v>5</v>
      </c>
      <c r="D102" s="268">
        <f>'Monthly Data'!N102</f>
        <v>26135229.719948143</v>
      </c>
      <c r="E102" s="278">
        <f t="shared" ca="1" si="13"/>
        <v>150.136897859768</v>
      </c>
      <c r="F102" s="278">
        <f t="shared" ca="1" si="13"/>
        <v>52.487435064935063</v>
      </c>
      <c r="G102" s="278">
        <f>'Monthly Data'!BB102</f>
        <v>163.56416666666669</v>
      </c>
      <c r="H102" s="278">
        <f>'Monthly Data'!BI102</f>
        <v>68.049999999999983</v>
      </c>
      <c r="I102" s="24">
        <f>'Monthly Data'!CG102</f>
        <v>0</v>
      </c>
      <c r="J102" s="278">
        <f>'Monthly Data'!AL102</f>
        <v>865503</v>
      </c>
      <c r="K102" s="278">
        <f>'Monthly Data'!CD102</f>
        <v>31</v>
      </c>
      <c r="M102" s="18"/>
      <c r="N102" s="18">
        <f ca="1">(E102-G102)*'GS 50-999 Predicted Monthly'!$V$11</f>
        <v>-247798.45679435253</v>
      </c>
      <c r="O102" s="18">
        <f ca="1">(F102-H102)*'GS 50-999 Predicted Monthly'!$V$12</f>
        <v>-448621.1674264227</v>
      </c>
      <c r="P102" s="18"/>
      <c r="Q102" s="18"/>
      <c r="R102" s="18"/>
      <c r="S102" s="18">
        <f t="shared" ca="1" si="14"/>
        <v>25438810.095727369</v>
      </c>
      <c r="V102" s="18"/>
      <c r="W102" s="285"/>
    </row>
    <row r="103" spans="1:23" x14ac:dyDescent="0.25">
      <c r="A103" s="3">
        <f>'Monthly Data'!A103</f>
        <v>45078</v>
      </c>
      <c r="B103" s="1">
        <f t="shared" si="8"/>
        <v>2023</v>
      </c>
      <c r="C103" s="1">
        <f t="shared" si="9"/>
        <v>6</v>
      </c>
      <c r="D103" s="268">
        <f>'Monthly Data'!N103</f>
        <v>25999923.559272785</v>
      </c>
      <c r="E103" s="278">
        <f t="shared" ca="1" si="13"/>
        <v>32.520923826173821</v>
      </c>
      <c r="F103" s="278">
        <f t="shared" ca="1" si="13"/>
        <v>137.65451754405018</v>
      </c>
      <c r="G103" s="278">
        <f>'Monthly Data'!BB103</f>
        <v>21.441666666666659</v>
      </c>
      <c r="H103" s="278">
        <f>'Monthly Data'!BI103</f>
        <v>205.54166666666669</v>
      </c>
      <c r="I103" s="24">
        <f>'Monthly Data'!CG103</f>
        <v>0</v>
      </c>
      <c r="J103" s="278">
        <f>'Monthly Data'!AL103</f>
        <v>865503</v>
      </c>
      <c r="K103" s="278">
        <f>'Monthly Data'!CD103</f>
        <v>30</v>
      </c>
      <c r="M103" s="18"/>
      <c r="N103" s="18">
        <f ca="1">(E103-G103)*'GS 50-999 Predicted Monthly'!$V$11</f>
        <v>204466.21468865703</v>
      </c>
      <c r="O103" s="18">
        <f ca="1">(F103-H103)*'GS 50-999 Predicted Monthly'!$V$12</f>
        <v>-1956978.9568568196</v>
      </c>
      <c r="P103" s="18"/>
      <c r="Q103" s="18"/>
      <c r="R103" s="18"/>
      <c r="S103" s="18">
        <f t="shared" ca="1" si="14"/>
        <v>24247410.817104623</v>
      </c>
      <c r="V103" s="18"/>
      <c r="W103" s="285"/>
    </row>
    <row r="104" spans="1:23" x14ac:dyDescent="0.25">
      <c r="A104" s="3">
        <f>'Monthly Data'!A104</f>
        <v>45108</v>
      </c>
      <c r="B104" s="1">
        <f t="shared" si="8"/>
        <v>2023</v>
      </c>
      <c r="C104" s="1">
        <f t="shared" si="9"/>
        <v>7</v>
      </c>
      <c r="D104" s="268">
        <f>'Monthly Data'!N104</f>
        <v>29212920.160447795</v>
      </c>
      <c r="E104" s="278">
        <f t="shared" ca="1" si="13"/>
        <v>1.6179166666666653</v>
      </c>
      <c r="F104" s="278">
        <f t="shared" ca="1" si="13"/>
        <v>235.94737858727848</v>
      </c>
      <c r="G104" s="278">
        <f>'Monthly Data'!BB104</f>
        <v>0.12499999999999645</v>
      </c>
      <c r="H104" s="278">
        <f>'Monthly Data'!BI104</f>
        <v>285.78333333333342</v>
      </c>
      <c r="I104" s="24">
        <f>'Monthly Data'!CG104</f>
        <v>0</v>
      </c>
      <c r="J104" s="278">
        <f>'Monthly Data'!AL104</f>
        <v>867701</v>
      </c>
      <c r="K104" s="278">
        <f>'Monthly Data'!CD104</f>
        <v>31</v>
      </c>
      <c r="M104" s="18"/>
      <c r="N104" s="18">
        <f ca="1">(E104-G104)*'GS 50-999 Predicted Monthly'!$V$11</f>
        <v>27551.578168487951</v>
      </c>
      <c r="O104" s="18">
        <f ca="1">(F104-H104)*'GS 50-999 Predicted Monthly'!$V$12</f>
        <v>-1436618.2111542961</v>
      </c>
      <c r="P104" s="18"/>
      <c r="Q104" s="18"/>
      <c r="R104" s="18"/>
      <c r="S104" s="18">
        <f t="shared" ca="1" si="14"/>
        <v>27803853.527461987</v>
      </c>
      <c r="V104" s="18"/>
      <c r="W104" s="285"/>
    </row>
    <row r="105" spans="1:23" x14ac:dyDescent="0.25">
      <c r="A105" s="3">
        <f>'Monthly Data'!A105</f>
        <v>45139</v>
      </c>
      <c r="B105" s="1">
        <f t="shared" si="8"/>
        <v>2023</v>
      </c>
      <c r="C105" s="1">
        <f t="shared" si="9"/>
        <v>8</v>
      </c>
      <c r="D105" s="268">
        <f>'Monthly Data'!N105</f>
        <v>27242931.309821352</v>
      </c>
      <c r="E105" s="278">
        <f t="shared" ca="1" si="13"/>
        <v>5.6499999999999977</v>
      </c>
      <c r="F105" s="278">
        <f t="shared" ca="1" si="13"/>
        <v>210.96558794466404</v>
      </c>
      <c r="G105" s="278">
        <f>'Monthly Data'!BB105</f>
        <v>9.274999999999995</v>
      </c>
      <c r="H105" s="278">
        <f>'Monthly Data'!BI105</f>
        <v>227.80489130434788</v>
      </c>
      <c r="I105" s="24">
        <f>'Monthly Data'!CG105</f>
        <v>0</v>
      </c>
      <c r="J105" s="278">
        <f>'Monthly Data'!AL105</f>
        <v>867701</v>
      </c>
      <c r="K105" s="278">
        <f>'Monthly Data'!CD105</f>
        <v>31</v>
      </c>
      <c r="M105" s="18"/>
      <c r="N105" s="18">
        <f ca="1">(E105-G105)*'GS 50-999 Predicted Monthly'!$V$11</f>
        <v>-66898.892008329509</v>
      </c>
      <c r="O105" s="18">
        <f ca="1">(F105-H105)*'GS 50-999 Predicted Monthly'!$V$12</f>
        <v>-485425.63281761063</v>
      </c>
      <c r="P105" s="18"/>
      <c r="Q105" s="18"/>
      <c r="R105" s="18"/>
      <c r="S105" s="18">
        <f t="shared" ca="1" si="14"/>
        <v>26690606.784995411</v>
      </c>
      <c r="V105" s="18"/>
      <c r="W105" s="285"/>
    </row>
    <row r="106" spans="1:23" x14ac:dyDescent="0.25">
      <c r="A106" s="3">
        <f>'Monthly Data'!A106</f>
        <v>45170</v>
      </c>
      <c r="B106" s="1">
        <f t="shared" si="8"/>
        <v>2023</v>
      </c>
      <c r="C106" s="1">
        <f t="shared" si="9"/>
        <v>9</v>
      </c>
      <c r="D106" s="268">
        <f>'Monthly Data'!N106</f>
        <v>25831337.90539835</v>
      </c>
      <c r="E106" s="278">
        <f t="shared" ca="1" si="13"/>
        <v>54.959440993788824</v>
      </c>
      <c r="F106" s="278">
        <f t="shared" ca="1" si="13"/>
        <v>106.4160119047619</v>
      </c>
      <c r="G106" s="278">
        <f>'Monthly Data'!BB106</f>
        <v>47.591666666666676</v>
      </c>
      <c r="H106" s="278">
        <f>'Monthly Data'!BI106</f>
        <v>162.99166666666662</v>
      </c>
      <c r="I106" s="24">
        <f>'Monthly Data'!CG106</f>
        <v>0</v>
      </c>
      <c r="J106" s="278">
        <f>'Monthly Data'!AL106</f>
        <v>867701</v>
      </c>
      <c r="K106" s="278">
        <f>'Monthly Data'!CD106</f>
        <v>30</v>
      </c>
      <c r="M106" s="18"/>
      <c r="N106" s="18">
        <f ca="1">(E106-G106)*'GS 50-999 Predicted Monthly'!$V$11</f>
        <v>135971.29353155522</v>
      </c>
      <c r="O106" s="18">
        <f ca="1">(F106-H106)*'GS 50-999 Predicted Monthly'!$V$12</f>
        <v>-1630903.1572303649</v>
      </c>
      <c r="P106" s="18"/>
      <c r="Q106" s="18"/>
      <c r="R106" s="18"/>
      <c r="S106" s="18">
        <f t="shared" ca="1" si="14"/>
        <v>24336406.04169954</v>
      </c>
      <c r="V106" s="18"/>
      <c r="W106" s="285"/>
    </row>
    <row r="107" spans="1:23" x14ac:dyDescent="0.25">
      <c r="A107" s="3">
        <f>'Monthly Data'!A107</f>
        <v>45200</v>
      </c>
      <c r="B107" s="1">
        <f t="shared" si="8"/>
        <v>2023</v>
      </c>
      <c r="C107" s="1">
        <f t="shared" si="9"/>
        <v>10</v>
      </c>
      <c r="D107" s="268">
        <f>'Monthly Data'!N107</f>
        <v>25438573.17175157</v>
      </c>
      <c r="E107" s="278">
        <f t="shared" ca="1" si="13"/>
        <v>237.89681159420289</v>
      </c>
      <c r="F107" s="278">
        <f t="shared" ca="1" si="13"/>
        <v>17.987083333333334</v>
      </c>
      <c r="G107" s="278">
        <f>'Monthly Data'!BB107</f>
        <v>207.15416666666667</v>
      </c>
      <c r="H107" s="278">
        <f>'Monthly Data'!BI107</f>
        <v>54.625</v>
      </c>
      <c r="I107" s="24">
        <f>'Monthly Data'!CG107</f>
        <v>0</v>
      </c>
      <c r="J107" s="278">
        <f>'Monthly Data'!AL107</f>
        <v>869576</v>
      </c>
      <c r="K107" s="278">
        <f>'Monthly Data'!CD107</f>
        <v>31</v>
      </c>
      <c r="M107" s="18"/>
      <c r="N107" s="18">
        <f ca="1">(E107-G107)*'GS 50-999 Predicted Monthly'!$V$11</f>
        <v>567351.41601590789</v>
      </c>
      <c r="O107" s="18">
        <f ca="1">(F107-H107)*'GS 50-999 Predicted Monthly'!$V$12</f>
        <v>-1056159.1238753875</v>
      </c>
      <c r="P107" s="18"/>
      <c r="Q107" s="18"/>
      <c r="R107" s="18"/>
      <c r="S107" s="18">
        <f t="shared" ca="1" si="14"/>
        <v>24949765.463892091</v>
      </c>
      <c r="V107" s="18"/>
      <c r="W107" s="285"/>
    </row>
    <row r="108" spans="1:23" x14ac:dyDescent="0.25">
      <c r="A108" s="3">
        <f>'Monthly Data'!A108</f>
        <v>45231</v>
      </c>
      <c r="B108" s="1">
        <f t="shared" si="8"/>
        <v>2023</v>
      </c>
      <c r="C108" s="1">
        <f t="shared" si="9"/>
        <v>11</v>
      </c>
      <c r="D108" s="268">
        <f>'Monthly Data'!N108</f>
        <v>27646103.846945822</v>
      </c>
      <c r="E108" s="278">
        <f t="shared" ca="1" si="13"/>
        <v>426.62991389045737</v>
      </c>
      <c r="F108" s="278">
        <f t="shared" ca="1" si="13"/>
        <v>0.8083333333333329</v>
      </c>
      <c r="G108" s="278">
        <f>'Monthly Data'!BB108</f>
        <v>450.59311594202899</v>
      </c>
      <c r="H108" s="278">
        <f>'Monthly Data'!BI108</f>
        <v>0</v>
      </c>
      <c r="I108" s="24">
        <f>'Monthly Data'!CG108</f>
        <v>0</v>
      </c>
      <c r="J108" s="278">
        <f>'Monthly Data'!AL108</f>
        <v>869576</v>
      </c>
      <c r="K108" s="278">
        <f>'Monthly Data'!CD108</f>
        <v>30</v>
      </c>
      <c r="M108" s="18"/>
      <c r="N108" s="18">
        <f ca="1">(E108-G108)*'GS 50-999 Predicted Monthly'!$V$11</f>
        <v>-442237.70102672296</v>
      </c>
      <c r="O108" s="18">
        <f ca="1">(F108-H108)*'GS 50-999 Predicted Monthly'!$V$12</f>
        <v>23301.778670983502</v>
      </c>
      <c r="P108" s="18"/>
      <c r="Q108" s="18"/>
      <c r="R108" s="18"/>
      <c r="S108" s="18">
        <f t="shared" ca="1" si="14"/>
        <v>27227167.924590085</v>
      </c>
      <c r="V108" s="18"/>
      <c r="W108" s="285"/>
    </row>
    <row r="109" spans="1:23" x14ac:dyDescent="0.25">
      <c r="A109" s="3">
        <f>'Monthly Data'!A109</f>
        <v>45261</v>
      </c>
      <c r="B109" s="1">
        <f t="shared" si="8"/>
        <v>2023</v>
      </c>
      <c r="C109" s="1">
        <f t="shared" si="9"/>
        <v>12</v>
      </c>
      <c r="D109" s="268">
        <f>'Monthly Data'!N109</f>
        <v>28943355.630869403</v>
      </c>
      <c r="E109" s="278">
        <f t="shared" ca="1" si="13"/>
        <v>577.92800724637686</v>
      </c>
      <c r="F109" s="278">
        <f t="shared" ca="1" si="13"/>
        <v>0</v>
      </c>
      <c r="G109" s="278">
        <f>'Monthly Data'!BB109</f>
        <v>489.67916666666667</v>
      </c>
      <c r="H109" s="278">
        <f>'Monthly Data'!BI109</f>
        <v>0</v>
      </c>
      <c r="I109" s="24">
        <f>'Monthly Data'!CG109</f>
        <v>0</v>
      </c>
      <c r="J109" s="278">
        <f>'Monthly Data'!AL109</f>
        <v>869576</v>
      </c>
      <c r="K109" s="278">
        <f>'Monthly Data'!CD109</f>
        <v>31</v>
      </c>
      <c r="M109" s="18"/>
      <c r="N109" s="18">
        <f ca="1">(E109-G109)*'GS 50-999 Predicted Monthly'!$V$11</f>
        <v>1628620.5947040892</v>
      </c>
      <c r="O109" s="18">
        <f ca="1">(F109-H109)*'GS 50-999 Predicted Monthly'!$V$12</f>
        <v>0</v>
      </c>
      <c r="P109" s="18"/>
      <c r="Q109" s="18"/>
      <c r="R109" s="18"/>
      <c r="S109" s="18">
        <f t="shared" ca="1" si="14"/>
        <v>30571976.225573491</v>
      </c>
      <c r="U109" s="268"/>
      <c r="V109" s="18"/>
      <c r="W109" s="285"/>
    </row>
    <row r="110" spans="1:23" x14ac:dyDescent="0.25">
      <c r="A110" s="3">
        <f>'Monthly Data'!A110</f>
        <v>45292</v>
      </c>
      <c r="B110" s="1">
        <f t="shared" si="8"/>
        <v>2024</v>
      </c>
      <c r="C110" s="1">
        <f t="shared" si="9"/>
        <v>1</v>
      </c>
      <c r="D110" s="268">
        <f>'Monthly Data'!N110</f>
        <v>32152306.892326869</v>
      </c>
      <c r="E110" s="278">
        <f t="shared" ref="E110:F121" ca="1" si="15">E98</f>
        <v>697.33418478260876</v>
      </c>
      <c r="F110" s="278">
        <f t="shared" ca="1" si="15"/>
        <v>0</v>
      </c>
      <c r="G110" s="278">
        <f>'Monthly Data'!BB110</f>
        <v>636.99583333333339</v>
      </c>
      <c r="H110" s="278">
        <f>'Monthly Data'!BI110</f>
        <v>0</v>
      </c>
      <c r="I110" s="24">
        <f>'Monthly Data'!CG110</f>
        <v>0</v>
      </c>
      <c r="J110" s="278">
        <f>'Monthly Data'!AL110</f>
        <v>874402</v>
      </c>
      <c r="K110" s="278">
        <f>'Monthly Data'!CD110</f>
        <v>31</v>
      </c>
      <c r="M110" s="18"/>
      <c r="N110" s="18">
        <f ca="1">(E110-G110)*'GS 50-999 Predicted Monthly'!$V$11</f>
        <v>1113536.2365698505</v>
      </c>
      <c r="O110" s="18">
        <f ca="1">(F110-H110)*'GS 50-999 Predicted Monthly'!$V$12</f>
        <v>0</v>
      </c>
      <c r="P110" s="18"/>
      <c r="Q110" s="18"/>
      <c r="R110" s="18"/>
      <c r="S110" s="18">
        <f t="shared" ca="1" si="14"/>
        <v>33265843.128896721</v>
      </c>
      <c r="U110" s="268"/>
      <c r="V110" s="18"/>
      <c r="W110" s="285"/>
    </row>
    <row r="111" spans="1:23" x14ac:dyDescent="0.25">
      <c r="A111" s="3">
        <f>'Monthly Data'!A111</f>
        <v>45323</v>
      </c>
      <c r="B111" s="1">
        <f t="shared" si="8"/>
        <v>2024</v>
      </c>
      <c r="C111" s="1">
        <f t="shared" si="9"/>
        <v>2</v>
      </c>
      <c r="D111" s="268">
        <f>'Monthly Data'!N111</f>
        <v>27790587.798842903</v>
      </c>
      <c r="E111" s="278">
        <f t="shared" ca="1" si="15"/>
        <v>624.25501811594188</v>
      </c>
      <c r="F111" s="278">
        <f t="shared" ca="1" si="15"/>
        <v>0</v>
      </c>
      <c r="G111" s="278">
        <f>'Monthly Data'!BB111</f>
        <v>542.96666666666658</v>
      </c>
      <c r="H111" s="278">
        <f>'Monthly Data'!BI111</f>
        <v>0</v>
      </c>
      <c r="I111" s="24">
        <f>'Monthly Data'!CG111</f>
        <v>0</v>
      </c>
      <c r="J111" s="278">
        <f>'Monthly Data'!AL111</f>
        <v>874402</v>
      </c>
      <c r="K111" s="278">
        <f>'Monthly Data'!CD111</f>
        <v>29</v>
      </c>
      <c r="M111" s="18"/>
      <c r="N111" s="18">
        <f ca="1">(E111-G111)*'GS 50-999 Predicted Monthly'!$V$11</f>
        <v>1500165.6952110918</v>
      </c>
      <c r="O111" s="18">
        <f ca="1">(F111-H111)*'GS 50-999 Predicted Monthly'!$V$12</f>
        <v>0</v>
      </c>
      <c r="P111" s="18"/>
      <c r="Q111" s="18"/>
      <c r="R111" s="18"/>
      <c r="S111" s="18">
        <f t="shared" ca="1" si="14"/>
        <v>29290753.494053993</v>
      </c>
      <c r="U111" s="268"/>
      <c r="V111" s="18"/>
      <c r="W111" s="285"/>
    </row>
    <row r="112" spans="1:23" x14ac:dyDescent="0.25">
      <c r="A112" s="3">
        <f>'Monthly Data'!A112</f>
        <v>45352</v>
      </c>
      <c r="B112" s="1">
        <f t="shared" si="8"/>
        <v>2024</v>
      </c>
      <c r="C112" s="1">
        <f t="shared" si="9"/>
        <v>3</v>
      </c>
      <c r="D112" s="268">
        <f>'Monthly Data'!N112</f>
        <v>27467300.51056587</v>
      </c>
      <c r="E112" s="278">
        <f t="shared" ca="1" si="15"/>
        <v>546.13298913043491</v>
      </c>
      <c r="F112" s="278">
        <f t="shared" ca="1" si="15"/>
        <v>0</v>
      </c>
      <c r="G112" s="278">
        <f>'Monthly Data'!BB112</f>
        <v>460.11250000000001</v>
      </c>
      <c r="H112" s="278">
        <f>'Monthly Data'!BI112</f>
        <v>0</v>
      </c>
      <c r="I112" s="24">
        <f>'Monthly Data'!CG112</f>
        <v>0</v>
      </c>
      <c r="J112" s="278">
        <f>'Monthly Data'!AL112</f>
        <v>874402</v>
      </c>
      <c r="K112" s="278">
        <f>'Monthly Data'!CD112</f>
        <v>31</v>
      </c>
      <c r="M112" s="18"/>
      <c r="N112" s="18">
        <f ca="1">(E112-G112)*'GS 50-999 Predicted Monthly'!$V$11</f>
        <v>1587496.665611214</v>
      </c>
      <c r="O112" s="18">
        <f ca="1">(F112-H112)*'GS 50-999 Predicted Monthly'!$V$12</f>
        <v>0</v>
      </c>
      <c r="P112" s="18"/>
      <c r="Q112" s="18"/>
      <c r="R112" s="18"/>
      <c r="S112" s="18">
        <f t="shared" ca="1" si="14"/>
        <v>29054797.176177084</v>
      </c>
      <c r="U112" s="268"/>
    </row>
    <row r="113" spans="1:22" x14ac:dyDescent="0.25">
      <c r="A113" s="3">
        <f>'Monthly Data'!A113</f>
        <v>45383</v>
      </c>
      <c r="B113" s="1">
        <f t="shared" si="8"/>
        <v>2024</v>
      </c>
      <c r="C113" s="1">
        <f t="shared" si="9"/>
        <v>4</v>
      </c>
      <c r="D113" s="268">
        <f>'Monthly Data'!N113</f>
        <v>23458667.73674326</v>
      </c>
      <c r="E113" s="278">
        <f t="shared" ca="1" si="15"/>
        <v>352.41399621212122</v>
      </c>
      <c r="F113" s="278">
        <f t="shared" ca="1" si="15"/>
        <v>2.1908333333333347</v>
      </c>
      <c r="G113" s="278">
        <f>'Monthly Data'!BB113</f>
        <v>308.29791666666665</v>
      </c>
      <c r="H113" s="278">
        <f>'Monthly Data'!BI113</f>
        <v>2.3833333333333346</v>
      </c>
      <c r="I113" s="24">
        <f>'Monthly Data'!CG113</f>
        <v>0</v>
      </c>
      <c r="J113" s="278">
        <f>'Monthly Data'!AL113</f>
        <v>877135</v>
      </c>
      <c r="K113" s="278">
        <f>'Monthly Data'!CD113</f>
        <v>30</v>
      </c>
      <c r="M113" s="18"/>
      <c r="N113" s="18">
        <f ca="1">(E113-G113)*'GS 50-999 Predicted Monthly'!$V$11</f>
        <v>814156.37002544606</v>
      </c>
      <c r="O113" s="18">
        <f ca="1">(F113-H113)*'GS 50-999 Predicted Monthly'!$V$12</f>
        <v>-5549.186467007411</v>
      </c>
      <c r="P113" s="18"/>
      <c r="Q113" s="18"/>
      <c r="R113" s="18"/>
      <c r="S113" s="18">
        <f t="shared" ca="1" si="14"/>
        <v>24267274.920301698</v>
      </c>
      <c r="U113" s="268"/>
      <c r="V113" s="18"/>
    </row>
    <row r="114" spans="1:22" x14ac:dyDescent="0.25">
      <c r="A114" s="3">
        <f>'Monthly Data'!A114</f>
        <v>45413</v>
      </c>
      <c r="B114" s="1">
        <f t="shared" si="8"/>
        <v>2024</v>
      </c>
      <c r="C114" s="1">
        <f t="shared" si="9"/>
        <v>5</v>
      </c>
      <c r="D114" s="268">
        <f>'Monthly Data'!N114</f>
        <v>25229138.419557389</v>
      </c>
      <c r="E114" s="278">
        <f t="shared" ca="1" si="15"/>
        <v>150.136897859768</v>
      </c>
      <c r="F114" s="278">
        <f t="shared" ca="1" si="15"/>
        <v>52.487435064935063</v>
      </c>
      <c r="G114" s="278">
        <f>'Monthly Data'!BB114</f>
        <v>89.52916666666664</v>
      </c>
      <c r="H114" s="278">
        <f>'Monthly Data'!BI114</f>
        <v>110.05000000000001</v>
      </c>
      <c r="I114" s="24">
        <f>'Monthly Data'!CG114</f>
        <v>0</v>
      </c>
      <c r="J114" s="278">
        <f>'Monthly Data'!AL114</f>
        <v>877135</v>
      </c>
      <c r="K114" s="278">
        <f>'Monthly Data'!CD114</f>
        <v>31</v>
      </c>
      <c r="M114" s="18"/>
      <c r="N114" s="18">
        <f ca="1">(E114-G114)*'GS 50-999 Predicted Monthly'!$V$11</f>
        <v>1118507.6038502497</v>
      </c>
      <c r="O114" s="18">
        <f ca="1">(F114-H114)*'GS 50-999 Predicted Monthly'!$V$12</f>
        <v>-1659352.7602280411</v>
      </c>
      <c r="P114" s="18"/>
      <c r="Q114" s="18"/>
      <c r="R114" s="18"/>
      <c r="S114" s="18">
        <f t="shared" ca="1" si="14"/>
        <v>24688293.263179597</v>
      </c>
      <c r="U114" s="268"/>
      <c r="V114" s="18"/>
    </row>
    <row r="115" spans="1:22" x14ac:dyDescent="0.25">
      <c r="A115" s="3">
        <f>'Monthly Data'!A115</f>
        <v>45444</v>
      </c>
      <c r="B115" s="1">
        <f t="shared" si="8"/>
        <v>2024</v>
      </c>
      <c r="C115" s="1">
        <f t="shared" si="9"/>
        <v>6</v>
      </c>
      <c r="D115" s="268">
        <f>'Monthly Data'!N115</f>
        <v>26750740.64573478</v>
      </c>
      <c r="E115" s="278">
        <f t="shared" ca="1" si="15"/>
        <v>32.520923826173821</v>
      </c>
      <c r="F115" s="278">
        <f t="shared" ca="1" si="15"/>
        <v>137.65451754405018</v>
      </c>
      <c r="G115" s="278">
        <f>'Monthly Data'!BB115</f>
        <v>31.570833333333319</v>
      </c>
      <c r="H115" s="278">
        <f>'Monthly Data'!BI115</f>
        <v>204.15416666666667</v>
      </c>
      <c r="I115" s="24">
        <f>'Monthly Data'!CG115</f>
        <v>0</v>
      </c>
      <c r="J115" s="278">
        <f>'Monthly Data'!AL115</f>
        <v>877135</v>
      </c>
      <c r="K115" s="278">
        <f>'Monthly Data'!CD115</f>
        <v>30</v>
      </c>
      <c r="M115" s="18"/>
      <c r="N115" s="18">
        <f ca="1">(E115-G115)*'GS 50-999 Predicted Monthly'!$V$11</f>
        <v>17533.793456186857</v>
      </c>
      <c r="O115" s="18">
        <f ca="1">(F115-H115)*'GS 50-999 Predicted Monthly'!$V$12</f>
        <v>-1916981.5738803372</v>
      </c>
      <c r="P115" s="18"/>
      <c r="Q115" s="18"/>
      <c r="R115" s="18"/>
      <c r="S115" s="18">
        <f t="shared" ca="1" si="14"/>
        <v>24851292.865310628</v>
      </c>
      <c r="U115" s="268"/>
      <c r="V115" s="18"/>
    </row>
    <row r="116" spans="1:22" x14ac:dyDescent="0.25">
      <c r="A116" s="3">
        <v>45474</v>
      </c>
      <c r="B116" s="1">
        <f t="shared" ref="B116:B133" si="16">YEAR(A116)</f>
        <v>2024</v>
      </c>
      <c r="C116" s="1">
        <f t="shared" ref="C116:C133" si="17">MONTH(A116)</f>
        <v>7</v>
      </c>
      <c r="D116" s="268">
        <f>'Monthly Data'!N116</f>
        <v>29067750.35745775</v>
      </c>
      <c r="E116" s="278">
        <f t="shared" ca="1" si="15"/>
        <v>1.6179166666666653</v>
      </c>
      <c r="F116" s="278">
        <f t="shared" ca="1" si="15"/>
        <v>235.94737858727848</v>
      </c>
      <c r="G116" s="278">
        <f>'Monthly Data'!BB116</f>
        <v>0.32916666666666927</v>
      </c>
      <c r="H116" s="278">
        <f>'Monthly Data'!BI116</f>
        <v>303.14166666666665</v>
      </c>
      <c r="I116" s="24">
        <f>'Monthly Data'!CG116</f>
        <v>0</v>
      </c>
      <c r="J116" s="278">
        <f>'Monthly Data'!AL116</f>
        <v>877865</v>
      </c>
      <c r="K116" s="278">
        <f>'Monthly Data'!CD116</f>
        <v>31</v>
      </c>
      <c r="M116" s="18"/>
      <c r="N116" s="18">
        <f ca="1">(E116-G116)*'GS 50-999 Predicted Monthly'!$V$11</f>
        <v>23783.709538133644</v>
      </c>
      <c r="O116" s="18">
        <f ca="1">(F116-H116)*'GS 50-999 Predicted Monthly'!$V$12</f>
        <v>-1937005.8912744855</v>
      </c>
      <c r="P116" s="18"/>
      <c r="Q116" s="18"/>
      <c r="R116" s="18"/>
      <c r="S116" s="18">
        <f t="shared" ca="1" si="14"/>
        <v>27154528.175721396</v>
      </c>
      <c r="U116" s="268"/>
      <c r="V116" s="18"/>
    </row>
    <row r="117" spans="1:22" x14ac:dyDescent="0.25">
      <c r="A117" s="3">
        <v>45505</v>
      </c>
      <c r="B117" s="1">
        <f t="shared" si="16"/>
        <v>2024</v>
      </c>
      <c r="C117" s="1">
        <f t="shared" si="17"/>
        <v>8</v>
      </c>
      <c r="D117" s="268">
        <f>'Monthly Data'!N117</f>
        <v>24089836.06918072</v>
      </c>
      <c r="E117" s="278">
        <f t="shared" ca="1" si="15"/>
        <v>5.6499999999999977</v>
      </c>
      <c r="F117" s="278">
        <f t="shared" ca="1" si="15"/>
        <v>210.96558794466404</v>
      </c>
      <c r="G117" s="278">
        <f>'Monthly Data'!BB117</f>
        <v>8.2333333333333432</v>
      </c>
      <c r="H117" s="278">
        <f>'Monthly Data'!BI117</f>
        <v>262.86666666666667</v>
      </c>
      <c r="I117" s="24">
        <f>'Monthly Data'!CG117</f>
        <v>0</v>
      </c>
      <c r="J117" s="278">
        <f>'Monthly Data'!AL117</f>
        <v>877865</v>
      </c>
      <c r="K117" s="278">
        <f>'Monthly Data'!CD117</f>
        <v>31</v>
      </c>
      <c r="M117" s="18"/>
      <c r="N117" s="18">
        <f ca="1">(E117-G117)*'GS 50-999 Predicted Monthly'!$V$11</f>
        <v>-47675.072465706347</v>
      </c>
      <c r="O117" s="18">
        <f ca="1">(F117-H117)*'GS 50-999 Predicted Monthly'!$V$12</f>
        <v>-1496149.4216479142</v>
      </c>
      <c r="P117" s="18"/>
      <c r="Q117" s="18"/>
      <c r="R117" s="18"/>
      <c r="S117" s="18">
        <f t="shared" ca="1" si="14"/>
        <v>22546011.575067099</v>
      </c>
      <c r="V117" s="18"/>
    </row>
    <row r="118" spans="1:22" x14ac:dyDescent="0.25">
      <c r="A118" s="3">
        <v>45536</v>
      </c>
      <c r="B118" s="1">
        <f t="shared" si="16"/>
        <v>2024</v>
      </c>
      <c r="C118" s="1">
        <f t="shared" si="17"/>
        <v>9</v>
      </c>
      <c r="D118" s="268">
        <f>'Monthly Data'!N118</f>
        <v>23502012.78090369</v>
      </c>
      <c r="E118" s="278">
        <f t="shared" ca="1" si="15"/>
        <v>54.959440993788824</v>
      </c>
      <c r="F118" s="278">
        <f t="shared" ca="1" si="15"/>
        <v>106.4160119047619</v>
      </c>
      <c r="G118" s="278">
        <f>'Monthly Data'!BB118</f>
        <v>29.36666666666666</v>
      </c>
      <c r="H118" s="278">
        <f>'Monthly Data'!BI118</f>
        <v>171.29999999999998</v>
      </c>
      <c r="I118" s="24">
        <f>'Monthly Data'!CG118</f>
        <v>0</v>
      </c>
      <c r="J118" s="278">
        <f>'Monthly Data'!AL118</f>
        <v>877865</v>
      </c>
      <c r="K118" s="278">
        <f>'Monthly Data'!CD118</f>
        <v>30</v>
      </c>
      <c r="M118" s="18"/>
      <c r="N118" s="18">
        <f ca="1">(E118-G118)*'GS 50-999 Predicted Monthly'!$V$11</f>
        <v>472311.24024929514</v>
      </c>
      <c r="O118" s="18">
        <f ca="1">(F118-H118)*'GS 50-999 Predicted Monthly'!$V$12</f>
        <v>-1870407.0060444952</v>
      </c>
      <c r="P118" s="18"/>
      <c r="Q118" s="18"/>
      <c r="R118" s="18"/>
      <c r="S118" s="18">
        <f t="shared" ca="1" si="14"/>
        <v>22103917.015108489</v>
      </c>
      <c r="V118" s="18"/>
    </row>
    <row r="119" spans="1:22" x14ac:dyDescent="0.25">
      <c r="A119" s="3">
        <v>45566</v>
      </c>
      <c r="B119" s="1">
        <f t="shared" si="16"/>
        <v>2024</v>
      </c>
      <c r="C119" s="1">
        <f t="shared" si="17"/>
        <v>10</v>
      </c>
      <c r="D119" s="268">
        <f>'Monthly Data'!N119</f>
        <v>24709285.492626656</v>
      </c>
      <c r="E119" s="278">
        <f t="shared" ca="1" si="15"/>
        <v>237.89681159420289</v>
      </c>
      <c r="F119" s="278">
        <f t="shared" ca="1" si="15"/>
        <v>17.987083333333334</v>
      </c>
      <c r="G119" s="278">
        <f>'Monthly Data'!BB119</f>
        <v>233.94166666666658</v>
      </c>
      <c r="H119" s="278">
        <f>'Monthly Data'!BI119</f>
        <v>31.104166666666679</v>
      </c>
      <c r="I119" s="24">
        <f>'Monthly Data'!CG119</f>
        <v>0</v>
      </c>
      <c r="J119" s="278">
        <f>'Monthly Data'!AL119</f>
        <v>882184.85199999996</v>
      </c>
      <c r="K119" s="278">
        <f>'Monthly Data'!CD119</f>
        <v>31</v>
      </c>
      <c r="M119" s="18"/>
      <c r="N119" s="18">
        <f ca="1">(E119-G119)*'GS 50-999 Predicted Monthly'!$V$11</f>
        <v>72991.672657805248</v>
      </c>
      <c r="O119" s="18">
        <f ca="1">(F119-H119)*'GS 50-999 Predicted Monthly'!$V$12</f>
        <v>-378125.40945424361</v>
      </c>
      <c r="P119" s="18"/>
      <c r="Q119" s="18"/>
      <c r="R119" s="18"/>
      <c r="S119" s="18">
        <f t="shared" ca="1" si="14"/>
        <v>24404151.755830217</v>
      </c>
      <c r="V119" s="18"/>
    </row>
    <row r="120" spans="1:22" x14ac:dyDescent="0.25">
      <c r="A120" s="3">
        <v>45597</v>
      </c>
      <c r="B120" s="1">
        <f t="shared" si="16"/>
        <v>2024</v>
      </c>
      <c r="C120" s="1">
        <f t="shared" si="17"/>
        <v>11</v>
      </c>
      <c r="D120" s="268">
        <f>'Monthly Data'!N120</f>
        <v>27625583.204349626</v>
      </c>
      <c r="E120" s="278">
        <f t="shared" ca="1" si="15"/>
        <v>426.62991389045737</v>
      </c>
      <c r="F120" s="278">
        <f t="shared" ca="1" si="15"/>
        <v>0.8083333333333329</v>
      </c>
      <c r="G120" s="278">
        <f>'Monthly Data'!BB120</f>
        <v>366.29166666666663</v>
      </c>
      <c r="H120" s="278">
        <f>'Monthly Data'!BI120</f>
        <v>9.5041666666666629</v>
      </c>
      <c r="I120" s="24">
        <f>'Monthly Data'!CG120</f>
        <v>0</v>
      </c>
      <c r="J120" s="278">
        <f>'Monthly Data'!AL120</f>
        <v>882184.85199999996</v>
      </c>
      <c r="K120" s="278">
        <f>'Monthly Data'!CD120</f>
        <v>30</v>
      </c>
      <c r="M120" s="18"/>
      <c r="N120" s="18">
        <f ca="1">(E120-G120)*'GS 50-999 Predicted Monthly'!$V$11</f>
        <v>1113534.3131024188</v>
      </c>
      <c r="O120" s="18">
        <f ca="1">(F120-H120)*'GS 50-999 Predicted Monthly'!$V$12</f>
        <v>-250674.28910485862</v>
      </c>
      <c r="P120" s="18"/>
      <c r="Q120" s="18"/>
      <c r="R120" s="18"/>
      <c r="S120" s="18">
        <f t="shared" ca="1" si="14"/>
        <v>28488443.228347186</v>
      </c>
      <c r="V120" s="18"/>
    </row>
    <row r="121" spans="1:22" x14ac:dyDescent="0.25">
      <c r="A121" s="3">
        <v>45627</v>
      </c>
      <c r="B121" s="1">
        <f t="shared" si="16"/>
        <v>2024</v>
      </c>
      <c r="C121" s="1">
        <f t="shared" si="17"/>
        <v>12</v>
      </c>
      <c r="D121" s="268">
        <f>'Monthly Data'!N121</f>
        <v>33184612.916072596</v>
      </c>
      <c r="E121" s="278">
        <f t="shared" ca="1" si="15"/>
        <v>577.92800724637686</v>
      </c>
      <c r="F121" s="278">
        <f t="shared" ca="1" si="15"/>
        <v>0</v>
      </c>
      <c r="G121" s="278">
        <f>'Monthly Data'!BB121</f>
        <v>598.57499999999993</v>
      </c>
      <c r="H121" s="278">
        <f>'Monthly Data'!BI121</f>
        <v>0</v>
      </c>
      <c r="I121" s="24">
        <f>'Monthly Data'!CG121</f>
        <v>0</v>
      </c>
      <c r="J121" s="278">
        <f>'Monthly Data'!AL121</f>
        <v>882184.85199999996</v>
      </c>
      <c r="K121" s="278">
        <f>'Monthly Data'!CD121</f>
        <v>31</v>
      </c>
      <c r="M121" s="18"/>
      <c r="N121" s="18">
        <f ca="1">(E121-G121)*'GS 50-999 Predicted Monthly'!$V$11</f>
        <v>-381037.50028176344</v>
      </c>
      <c r="O121" s="18">
        <f ca="1">(F121-H121)*'GS 50-999 Predicted Monthly'!$V$12</f>
        <v>0</v>
      </c>
      <c r="P121" s="18"/>
      <c r="Q121" s="18"/>
      <c r="R121" s="18"/>
      <c r="S121" s="18">
        <f t="shared" ca="1" si="14"/>
        <v>32803575.415790834</v>
      </c>
      <c r="V121" s="18"/>
    </row>
    <row r="122" spans="1:22" x14ac:dyDescent="0.25">
      <c r="A122" s="3">
        <v>45658</v>
      </c>
      <c r="B122" s="1">
        <f t="shared" si="16"/>
        <v>2025</v>
      </c>
      <c r="C122" s="1">
        <f t="shared" si="17"/>
        <v>1</v>
      </c>
      <c r="D122" s="268"/>
      <c r="E122" s="289">
        <f t="shared" ref="E122:F129" ca="1" si="18">E110</f>
        <v>697.33418478260876</v>
      </c>
      <c r="F122" s="289">
        <f t="shared" ca="1" si="18"/>
        <v>0</v>
      </c>
      <c r="G122" s="278"/>
      <c r="H122" s="278"/>
      <c r="I122" s="24">
        <f>'Monthly Data'!CG122</f>
        <v>0</v>
      </c>
      <c r="J122" s="289">
        <f>Economic!K124</f>
        <v>882271.6179999999</v>
      </c>
      <c r="K122" s="289">
        <f t="shared" ref="K122:K145" si="19">K74</f>
        <v>31</v>
      </c>
      <c r="M122" s="18">
        <f>'GS 50-999 Predicted Monthly'!$V$10</f>
        <v>-9326437.7987639103</v>
      </c>
      <c r="N122" s="18">
        <f ca="1">E122*'GS 50-999 Predicted Monthly'!$V$11</f>
        <v>12869209.467996765</v>
      </c>
      <c r="O122" s="18">
        <f ca="1">F122*'GS 50-999 Predicted Monthly'!$V$12</f>
        <v>0</v>
      </c>
      <c r="P122" s="18">
        <f>I122*'GS 50-999 Predicted Monthly'!$V$13</f>
        <v>0</v>
      </c>
      <c r="Q122" s="18">
        <f>J122*'GS 50-999 Predicted Monthly'!$V$14</f>
        <v>6331501.2694066167</v>
      </c>
      <c r="R122" s="18">
        <f>K122*'GS 50-999 Predicted Monthly'!$V$15</f>
        <v>23929784.569177721</v>
      </c>
      <c r="S122" s="18">
        <f ca="1">SUM(M122:R122)</f>
        <v>33804057.507817194</v>
      </c>
      <c r="V122" s="18"/>
    </row>
    <row r="123" spans="1:22" x14ac:dyDescent="0.25">
      <c r="A123" s="3">
        <v>45689</v>
      </c>
      <c r="B123" s="1">
        <f t="shared" si="16"/>
        <v>2025</v>
      </c>
      <c r="C123" s="1">
        <f t="shared" si="17"/>
        <v>2</v>
      </c>
      <c r="D123" s="268"/>
      <c r="E123" s="289">
        <f t="shared" ca="1" si="18"/>
        <v>624.25501811594188</v>
      </c>
      <c r="F123" s="289">
        <f t="shared" ca="1" si="18"/>
        <v>0</v>
      </c>
      <c r="G123" s="278"/>
      <c r="H123" s="278"/>
      <c r="I123" s="24">
        <f>'Monthly Data'!CG123</f>
        <v>0</v>
      </c>
      <c r="J123" s="289">
        <f>Economic!K125</f>
        <v>882271.6179999999</v>
      </c>
      <c r="K123" s="289">
        <f t="shared" si="19"/>
        <v>28</v>
      </c>
      <c r="M123" s="18">
        <f>'GS 50-999 Predicted Monthly'!$V$10</f>
        <v>-9326437.7987639103</v>
      </c>
      <c r="N123" s="18">
        <f ca="1">E123*'GS 50-999 Predicted Monthly'!$V$11</f>
        <v>11520543.184164472</v>
      </c>
      <c r="O123" s="18">
        <f ca="1">F123*'GS 50-999 Predicted Monthly'!$V$12</f>
        <v>0</v>
      </c>
      <c r="P123" s="18">
        <f>I123*'GS 50-999 Predicted Monthly'!$V$13</f>
        <v>0</v>
      </c>
      <c r="Q123" s="18">
        <f>J123*'GS 50-999 Predicted Monthly'!$V$14</f>
        <v>6331501.2694066167</v>
      </c>
      <c r="R123" s="18">
        <f>K123*'GS 50-999 Predicted Monthly'!$V$15</f>
        <v>21613998.965708911</v>
      </c>
      <c r="S123" s="18">
        <f t="shared" ref="S123:S145" ca="1" si="20">SUM(M123:R123)</f>
        <v>30139605.620516092</v>
      </c>
      <c r="V123" s="18"/>
    </row>
    <row r="124" spans="1:22" x14ac:dyDescent="0.25">
      <c r="A124" s="3">
        <v>45717</v>
      </c>
      <c r="B124" s="1">
        <f t="shared" si="16"/>
        <v>2025</v>
      </c>
      <c r="C124" s="1">
        <f t="shared" si="17"/>
        <v>3</v>
      </c>
      <c r="D124" s="268"/>
      <c r="E124" s="289">
        <f t="shared" ca="1" si="18"/>
        <v>546.13298913043491</v>
      </c>
      <c r="F124" s="289">
        <f t="shared" ca="1" si="18"/>
        <v>0</v>
      </c>
      <c r="G124" s="278"/>
      <c r="H124" s="278"/>
      <c r="I124" s="24">
        <f>'Monthly Data'!CG124</f>
        <v>0</v>
      </c>
      <c r="J124" s="289">
        <f>Economic!K126</f>
        <v>882271.6179999999</v>
      </c>
      <c r="K124" s="289">
        <f t="shared" si="19"/>
        <v>31</v>
      </c>
      <c r="M124" s="18">
        <f>'GS 50-999 Predicted Monthly'!$V$10</f>
        <v>-9326437.7987639103</v>
      </c>
      <c r="N124" s="18">
        <f ca="1">E124*'GS 50-999 Predicted Monthly'!$V$11</f>
        <v>10078811.548144327</v>
      </c>
      <c r="O124" s="18">
        <f ca="1">F124*'GS 50-999 Predicted Monthly'!$V$12</f>
        <v>0</v>
      </c>
      <c r="P124" s="18">
        <f>I124*'GS 50-999 Predicted Monthly'!$V$13</f>
        <v>0</v>
      </c>
      <c r="Q124" s="18">
        <f>J124*'GS 50-999 Predicted Monthly'!$V$14</f>
        <v>6331501.2694066167</v>
      </c>
      <c r="R124" s="18">
        <f>K124*'GS 50-999 Predicted Monthly'!$V$15</f>
        <v>23929784.569177721</v>
      </c>
      <c r="S124" s="18">
        <f t="shared" ca="1" si="20"/>
        <v>31013659.587964755</v>
      </c>
      <c r="V124" s="18"/>
    </row>
    <row r="125" spans="1:22" x14ac:dyDescent="0.25">
      <c r="A125" s="3">
        <v>45748</v>
      </c>
      <c r="B125" s="1">
        <f t="shared" si="16"/>
        <v>2025</v>
      </c>
      <c r="C125" s="1">
        <f t="shared" si="17"/>
        <v>4</v>
      </c>
      <c r="D125" s="268"/>
      <c r="E125" s="289">
        <f t="shared" ca="1" si="18"/>
        <v>352.41399621212122</v>
      </c>
      <c r="F125" s="289">
        <f t="shared" ca="1" si="18"/>
        <v>2.1908333333333347</v>
      </c>
      <c r="G125" s="278"/>
      <c r="H125" s="278"/>
      <c r="I125" s="24">
        <f>'Monthly Data'!CG125</f>
        <v>0</v>
      </c>
      <c r="J125" s="289">
        <f>Economic!K127</f>
        <v>885029.21499999997</v>
      </c>
      <c r="K125" s="289">
        <f t="shared" si="19"/>
        <v>30</v>
      </c>
      <c r="M125" s="18">
        <f>'GS 50-999 Predicted Monthly'!$V$10</f>
        <v>-9326437.7987639103</v>
      </c>
      <c r="N125" s="18">
        <f ca="1">E125*'GS 50-999 Predicted Monthly'!$V$11</f>
        <v>6503753.3447775338</v>
      </c>
      <c r="O125" s="18">
        <f ca="1">F125*'GS 50-999 Predicted Monthly'!$V$12</f>
        <v>63155.026934036803</v>
      </c>
      <c r="P125" s="18">
        <f>I125*'GS 50-999 Predicted Monthly'!$V$13</f>
        <v>0</v>
      </c>
      <c r="Q125" s="18">
        <f>J125*'GS 50-999 Predicted Monthly'!$V$14</f>
        <v>6351290.7860926362</v>
      </c>
      <c r="R125" s="18">
        <f>K125*'GS 50-999 Predicted Monthly'!$V$15</f>
        <v>23157856.034688119</v>
      </c>
      <c r="S125" s="18">
        <f t="shared" ca="1" si="20"/>
        <v>26749617.393728416</v>
      </c>
    </row>
    <row r="126" spans="1:22" x14ac:dyDescent="0.25">
      <c r="A126" s="3">
        <v>45778</v>
      </c>
      <c r="B126" s="1">
        <f t="shared" si="16"/>
        <v>2025</v>
      </c>
      <c r="C126" s="1">
        <f t="shared" si="17"/>
        <v>5</v>
      </c>
      <c r="D126" s="268"/>
      <c r="E126" s="289">
        <f t="shared" ca="1" si="18"/>
        <v>150.136897859768</v>
      </c>
      <c r="F126" s="289">
        <f t="shared" ca="1" si="18"/>
        <v>52.487435064935063</v>
      </c>
      <c r="G126" s="278"/>
      <c r="H126" s="278"/>
      <c r="I126" s="24">
        <f>'Monthly Data'!CG126</f>
        <v>0</v>
      </c>
      <c r="J126" s="289">
        <f>Economic!K128</f>
        <v>885029.21499999997</v>
      </c>
      <c r="K126" s="289">
        <f t="shared" si="19"/>
        <v>31</v>
      </c>
      <c r="M126" s="18">
        <f>'GS 50-999 Predicted Monthly'!$V$10</f>
        <v>-9326437.7987639103</v>
      </c>
      <c r="N126" s="18">
        <f ca="1">E126*'GS 50-999 Predicted Monthly'!$V$11</f>
        <v>2770756.4458996481</v>
      </c>
      <c r="O126" s="18">
        <f ca="1">F126*'GS 50-999 Predicted Monthly'!$V$12</f>
        <v>1513052.2823390549</v>
      </c>
      <c r="P126" s="18">
        <f>I126*'GS 50-999 Predicted Monthly'!$V$13</f>
        <v>0</v>
      </c>
      <c r="Q126" s="18">
        <f>J126*'GS 50-999 Predicted Monthly'!$V$14</f>
        <v>6351290.7860926362</v>
      </c>
      <c r="R126" s="18">
        <f>K126*'GS 50-999 Predicted Monthly'!$V$15</f>
        <v>23929784.569177721</v>
      </c>
      <c r="S126" s="18">
        <f t="shared" ca="1" si="20"/>
        <v>25238446.284745149</v>
      </c>
    </row>
    <row r="127" spans="1:22" x14ac:dyDescent="0.25">
      <c r="A127" s="3">
        <v>45809</v>
      </c>
      <c r="B127" s="1">
        <f t="shared" si="16"/>
        <v>2025</v>
      </c>
      <c r="C127" s="1">
        <f t="shared" si="17"/>
        <v>6</v>
      </c>
      <c r="D127" s="268"/>
      <c r="E127" s="289">
        <f t="shared" ca="1" si="18"/>
        <v>32.520923826173821</v>
      </c>
      <c r="F127" s="289">
        <f t="shared" ca="1" si="18"/>
        <v>137.65451754405018</v>
      </c>
      <c r="G127" s="278"/>
      <c r="H127" s="278"/>
      <c r="I127" s="24">
        <f>'Monthly Data'!CG127</f>
        <v>0</v>
      </c>
      <c r="J127" s="289">
        <f>Economic!K129</f>
        <v>885029.21499999997</v>
      </c>
      <c r="K127" s="289">
        <f t="shared" si="19"/>
        <v>30</v>
      </c>
      <c r="M127" s="18">
        <f>'GS 50-999 Predicted Monthly'!$V$10</f>
        <v>-9326437.7987639103</v>
      </c>
      <c r="N127" s="18">
        <f ca="1">E127*'GS 50-999 Predicted Monthly'!$V$11</f>
        <v>600169.3161540177</v>
      </c>
      <c r="O127" s="18">
        <f ca="1">F127*'GS 50-999 Predicted Monthly'!$V$12</f>
        <v>3968158.8876772881</v>
      </c>
      <c r="P127" s="18">
        <f>I127*'GS 50-999 Predicted Monthly'!$V$13</f>
        <v>0</v>
      </c>
      <c r="Q127" s="18">
        <f>J127*'GS 50-999 Predicted Monthly'!$V$14</f>
        <v>6351290.7860926362</v>
      </c>
      <c r="R127" s="18">
        <f>K127*'GS 50-999 Predicted Monthly'!$V$15</f>
        <v>23157856.034688119</v>
      </c>
      <c r="S127" s="18">
        <f t="shared" ca="1" si="20"/>
        <v>24751037.22584815</v>
      </c>
    </row>
    <row r="128" spans="1:22" x14ac:dyDescent="0.25">
      <c r="A128" s="3">
        <v>45839</v>
      </c>
      <c r="B128" s="1">
        <f t="shared" si="16"/>
        <v>2025</v>
      </c>
      <c r="C128" s="1">
        <f t="shared" si="17"/>
        <v>7</v>
      </c>
      <c r="D128" s="268"/>
      <c r="E128" s="289">
        <f t="shared" ca="1" si="18"/>
        <v>1.6179166666666653</v>
      </c>
      <c r="F128" s="289">
        <f t="shared" ca="1" si="18"/>
        <v>235.94737858727848</v>
      </c>
      <c r="G128" s="278"/>
      <c r="H128" s="278"/>
      <c r="I128" s="24">
        <f>'Monthly Data'!CG128</f>
        <v>0</v>
      </c>
      <c r="J128" s="289">
        <f>Economic!K130</f>
        <v>885765.78499999992</v>
      </c>
      <c r="K128" s="289">
        <f t="shared" si="19"/>
        <v>31</v>
      </c>
      <c r="M128" s="18">
        <f>'GS 50-999 Predicted Monthly'!$V$10</f>
        <v>-9326437.7987639103</v>
      </c>
      <c r="N128" s="18">
        <f ca="1">E128*'GS 50-999 Predicted Monthly'!$V$11</f>
        <v>29858.436513602697</v>
      </c>
      <c r="O128" s="18">
        <f ca="1">F128*'GS 50-999 Predicted Monthly'!$V$12</f>
        <v>6801641.5593890948</v>
      </c>
      <c r="P128" s="18">
        <f>I128*'GS 50-999 Predicted Monthly'!$V$13</f>
        <v>0</v>
      </c>
      <c r="Q128" s="18">
        <f>J128*'GS 50-999 Predicted Monthly'!$V$14</f>
        <v>6356576.6796823889</v>
      </c>
      <c r="R128" s="18">
        <f>K128*'GS 50-999 Predicted Monthly'!$V$15</f>
        <v>23929784.569177721</v>
      </c>
      <c r="S128" s="18">
        <f t="shared" ca="1" si="20"/>
        <v>27791423.445998896</v>
      </c>
    </row>
    <row r="129" spans="1:19" x14ac:dyDescent="0.25">
      <c r="A129" s="3">
        <v>45870</v>
      </c>
      <c r="B129" s="1">
        <f t="shared" si="16"/>
        <v>2025</v>
      </c>
      <c r="C129" s="1">
        <f t="shared" si="17"/>
        <v>8</v>
      </c>
      <c r="D129" s="268"/>
      <c r="E129" s="289">
        <f t="shared" ca="1" si="18"/>
        <v>5.6499999999999977</v>
      </c>
      <c r="F129" s="289">
        <f t="shared" ca="1" si="18"/>
        <v>210.96558794466404</v>
      </c>
      <c r="G129" s="278"/>
      <c r="H129" s="278"/>
      <c r="I129" s="24">
        <f>'Monthly Data'!CG129</f>
        <v>0</v>
      </c>
      <c r="J129" s="289">
        <f>Economic!K131</f>
        <v>885765.78499999992</v>
      </c>
      <c r="K129" s="289">
        <f t="shared" si="19"/>
        <v>31</v>
      </c>
      <c r="M129" s="18">
        <f>'GS 50-999 Predicted Monthly'!$V$10</f>
        <v>-9326437.7987639103</v>
      </c>
      <c r="N129" s="18">
        <f ca="1">E129*'GS 50-999 Predicted Monthly'!$V$11</f>
        <v>104269.99719918949</v>
      </c>
      <c r="O129" s="18">
        <f ca="1">F129*'GS 50-999 Predicted Monthly'!$V$12</f>
        <v>6081492.9123469722</v>
      </c>
      <c r="P129" s="18">
        <f>I129*'GS 50-999 Predicted Monthly'!$V$13</f>
        <v>0</v>
      </c>
      <c r="Q129" s="18">
        <f>J129*'GS 50-999 Predicted Monthly'!$V$14</f>
        <v>6356576.6796823889</v>
      </c>
      <c r="R129" s="18">
        <f>K129*'GS 50-999 Predicted Monthly'!$V$15</f>
        <v>23929784.569177721</v>
      </c>
      <c r="S129" s="18">
        <f t="shared" ca="1" si="20"/>
        <v>27145686.35964236</v>
      </c>
    </row>
    <row r="130" spans="1:19" x14ac:dyDescent="0.25">
      <c r="A130" s="3">
        <v>45901</v>
      </c>
      <c r="B130" s="1">
        <f t="shared" si="16"/>
        <v>2025</v>
      </c>
      <c r="C130" s="1">
        <f t="shared" si="17"/>
        <v>9</v>
      </c>
      <c r="D130" s="268"/>
      <c r="E130" s="289">
        <f t="shared" ref="E130:F145" ca="1" si="21">E118</f>
        <v>54.959440993788824</v>
      </c>
      <c r="F130" s="289">
        <f t="shared" ca="1" si="21"/>
        <v>106.4160119047619</v>
      </c>
      <c r="G130" s="278"/>
      <c r="H130" s="278"/>
      <c r="I130" s="24">
        <f>'Monthly Data'!CG130</f>
        <v>0</v>
      </c>
      <c r="J130" s="289">
        <f>Economic!K132</f>
        <v>885765.78499999992</v>
      </c>
      <c r="K130" s="289">
        <f t="shared" si="19"/>
        <v>30</v>
      </c>
      <c r="M130" s="18">
        <f>'GS 50-999 Predicted Monthly'!$V$10</f>
        <v>-9326437.7987639103</v>
      </c>
      <c r="N130" s="18">
        <f ca="1">E130*'GS 50-999 Predicted Monthly'!$V$11</f>
        <v>1014269.160794935</v>
      </c>
      <c r="O130" s="18">
        <f ca="1">F130*'GS 50-999 Predicted Monthly'!$V$12</f>
        <v>3067648.2760249591</v>
      </c>
      <c r="P130" s="18">
        <f>I130*'GS 50-999 Predicted Monthly'!$V$13</f>
        <v>0</v>
      </c>
      <c r="Q130" s="18">
        <f>J130*'GS 50-999 Predicted Monthly'!$V$14</f>
        <v>6356576.6796823889</v>
      </c>
      <c r="R130" s="18">
        <f>K130*'GS 50-999 Predicted Monthly'!$V$15</f>
        <v>23157856.034688119</v>
      </c>
      <c r="S130" s="18">
        <f t="shared" ca="1" si="20"/>
        <v>24269912.352426492</v>
      </c>
    </row>
    <row r="131" spans="1:19" x14ac:dyDescent="0.25">
      <c r="A131" s="3">
        <v>45931</v>
      </c>
      <c r="B131" s="1">
        <f t="shared" si="16"/>
        <v>2025</v>
      </c>
      <c r="C131" s="1">
        <f t="shared" si="17"/>
        <v>10</v>
      </c>
      <c r="D131" s="268"/>
      <c r="E131" s="289">
        <f t="shared" ca="1" si="21"/>
        <v>237.89681159420289</v>
      </c>
      <c r="F131" s="289">
        <f t="shared" ca="1" si="21"/>
        <v>17.987083333333334</v>
      </c>
      <c r="G131" s="278"/>
      <c r="H131" s="278"/>
      <c r="I131" s="24">
        <f>'Monthly Data'!CG131</f>
        <v>0</v>
      </c>
      <c r="J131" s="289">
        <f>Economic!K133</f>
        <v>890124.51566799986</v>
      </c>
      <c r="K131" s="289">
        <f t="shared" si="19"/>
        <v>31</v>
      </c>
      <c r="M131" s="18">
        <f>'GS 50-999 Predicted Monthly'!$V$10</f>
        <v>-9326437.7987639103</v>
      </c>
      <c r="N131" s="18">
        <f ca="1">E131*'GS 50-999 Predicted Monthly'!$V$11</f>
        <v>4390353.9608183457</v>
      </c>
      <c r="O131" s="18">
        <f ca="1">F131*'GS 50-999 Predicted Monthly'!$V$12</f>
        <v>518512.62033385946</v>
      </c>
      <c r="P131" s="18">
        <f>I131*'GS 50-999 Predicted Monthly'!$V$13</f>
        <v>0</v>
      </c>
      <c r="Q131" s="18">
        <f>J131*'GS 50-999 Predicted Monthly'!$V$14</f>
        <v>6387856.5125529086</v>
      </c>
      <c r="R131" s="18">
        <f>K131*'GS 50-999 Predicted Monthly'!$V$15</f>
        <v>23929784.569177721</v>
      </c>
      <c r="S131" s="18">
        <f t="shared" ca="1" si="20"/>
        <v>25900069.864118926</v>
      </c>
    </row>
    <row r="132" spans="1:19" x14ac:dyDescent="0.25">
      <c r="A132" s="3">
        <v>45962</v>
      </c>
      <c r="B132" s="1">
        <f t="shared" si="16"/>
        <v>2025</v>
      </c>
      <c r="C132" s="1">
        <f t="shared" si="17"/>
        <v>11</v>
      </c>
      <c r="D132" s="268"/>
      <c r="E132" s="289">
        <f t="shared" ca="1" si="21"/>
        <v>426.62991389045737</v>
      </c>
      <c r="F132" s="289">
        <f t="shared" ca="1" si="21"/>
        <v>0.8083333333333329</v>
      </c>
      <c r="G132" s="278"/>
      <c r="H132" s="278"/>
      <c r="I132" s="24">
        <f>'Monthly Data'!CG132</f>
        <v>0</v>
      </c>
      <c r="J132" s="289">
        <f>Economic!K134</f>
        <v>890124.51566799986</v>
      </c>
      <c r="K132" s="289">
        <f t="shared" si="19"/>
        <v>30</v>
      </c>
      <c r="M132" s="18">
        <f>'GS 50-999 Predicted Monthly'!$V$10</f>
        <v>-9326437.7987639103</v>
      </c>
      <c r="N132" s="18">
        <f ca="1">E132*'GS 50-999 Predicted Monthly'!$V$11</f>
        <v>7873398.2170705236</v>
      </c>
      <c r="O132" s="18">
        <f ca="1">F132*'GS 50-999 Predicted Monthly'!$V$12</f>
        <v>23301.778670983502</v>
      </c>
      <c r="P132" s="18">
        <f>I132*'GS 50-999 Predicted Monthly'!$V$13</f>
        <v>0</v>
      </c>
      <c r="Q132" s="18">
        <f>J132*'GS 50-999 Predicted Monthly'!$V$14</f>
        <v>6387856.5125529086</v>
      </c>
      <c r="R132" s="18">
        <f>K132*'GS 50-999 Predicted Monthly'!$V$15</f>
        <v>23157856.034688119</v>
      </c>
      <c r="S132" s="18">
        <f t="shared" ca="1" si="20"/>
        <v>28115974.744218625</v>
      </c>
    </row>
    <row r="133" spans="1:19" x14ac:dyDescent="0.25">
      <c r="A133" s="3">
        <v>45992</v>
      </c>
      <c r="B133" s="1">
        <f t="shared" si="16"/>
        <v>2025</v>
      </c>
      <c r="C133" s="1">
        <f t="shared" si="17"/>
        <v>12</v>
      </c>
      <c r="D133" s="268"/>
      <c r="E133" s="289">
        <f t="shared" ca="1" si="21"/>
        <v>577.92800724637686</v>
      </c>
      <c r="F133" s="289">
        <f t="shared" ca="1" si="21"/>
        <v>0</v>
      </c>
      <c r="G133" s="278"/>
      <c r="H133" s="278"/>
      <c r="I133" s="24">
        <f>'Monthly Data'!CG133</f>
        <v>0</v>
      </c>
      <c r="J133" s="289">
        <f>Economic!K135</f>
        <v>890124.51566799986</v>
      </c>
      <c r="K133" s="289">
        <f t="shared" si="19"/>
        <v>31</v>
      </c>
      <c r="M133" s="18">
        <f>'GS 50-999 Predicted Monthly'!$V$10</f>
        <v>-9326437.7987639103</v>
      </c>
      <c r="N133" s="18">
        <f ca="1">E133*'GS 50-999 Predicted Monthly'!$V$11</f>
        <v>10665584.371135026</v>
      </c>
      <c r="O133" s="18">
        <f ca="1">F133*'GS 50-999 Predicted Monthly'!$V$12</f>
        <v>0</v>
      </c>
      <c r="P133" s="18">
        <f>I133*'GS 50-999 Predicted Monthly'!$V$13</f>
        <v>0</v>
      </c>
      <c r="Q133" s="18">
        <f>J133*'GS 50-999 Predicted Monthly'!$V$14</f>
        <v>6387856.5125529086</v>
      </c>
      <c r="R133" s="18">
        <f>K133*'GS 50-999 Predicted Monthly'!$V$15</f>
        <v>23929784.569177721</v>
      </c>
      <c r="S133" s="18">
        <f t="shared" ca="1" si="20"/>
        <v>31656787.654101744</v>
      </c>
    </row>
    <row r="134" spans="1:19" x14ac:dyDescent="0.25">
      <c r="A134" s="3">
        <v>46023</v>
      </c>
      <c r="B134" s="1">
        <f t="shared" ref="B134:B145" si="22">YEAR(A134)</f>
        <v>2026</v>
      </c>
      <c r="C134" s="1">
        <f t="shared" ref="C134:C145" si="23">MONTH(A134)</f>
        <v>1</v>
      </c>
      <c r="D134" s="268"/>
      <c r="E134" s="289">
        <f t="shared" ca="1" si="21"/>
        <v>697.33418478260876</v>
      </c>
      <c r="F134" s="289">
        <f t="shared" ca="1" si="21"/>
        <v>0</v>
      </c>
      <c r="G134" s="278"/>
      <c r="H134" s="278"/>
      <c r="I134" s="24">
        <f>'Monthly Data'!CG134</f>
        <v>0</v>
      </c>
      <c r="J134" s="289">
        <f>Economic!K136</f>
        <v>890212.06256199977</v>
      </c>
      <c r="K134" s="289">
        <f t="shared" si="19"/>
        <v>31</v>
      </c>
      <c r="M134" s="18">
        <f>'GS 50-999 Predicted Monthly'!$V$10</f>
        <v>-9326437.7987639103</v>
      </c>
      <c r="N134" s="18">
        <f ca="1">E134*'GS 50-999 Predicted Monthly'!$V$11</f>
        <v>12869209.467996765</v>
      </c>
      <c r="O134" s="18">
        <f ca="1">F134*'GS 50-999 Predicted Monthly'!$V$12</f>
        <v>0</v>
      </c>
      <c r="P134" s="18">
        <f>I134*'GS 50-999 Predicted Monthly'!$V$13</f>
        <v>0</v>
      </c>
      <c r="Q134" s="18">
        <f>J134*'GS 50-999 Predicted Monthly'!$V$14</f>
        <v>6388484.7808312755</v>
      </c>
      <c r="R134" s="18">
        <f>K134*'GS 50-999 Predicted Monthly'!$V$15</f>
        <v>23929784.569177721</v>
      </c>
      <c r="S134" s="18">
        <f t="shared" ca="1" si="20"/>
        <v>33861041.019241855</v>
      </c>
    </row>
    <row r="135" spans="1:19" x14ac:dyDescent="0.25">
      <c r="A135" s="3">
        <v>46054</v>
      </c>
      <c r="B135" s="1">
        <f t="shared" si="22"/>
        <v>2026</v>
      </c>
      <c r="C135" s="1">
        <f t="shared" si="23"/>
        <v>2</v>
      </c>
      <c r="D135" s="268"/>
      <c r="E135" s="289">
        <f t="shared" ca="1" si="21"/>
        <v>624.25501811594188</v>
      </c>
      <c r="F135" s="289">
        <f t="shared" ca="1" si="21"/>
        <v>0</v>
      </c>
      <c r="G135" s="278"/>
      <c r="H135" s="278"/>
      <c r="I135" s="24">
        <f>'Monthly Data'!CG135</f>
        <v>0</v>
      </c>
      <c r="J135" s="289">
        <f>Economic!K137</f>
        <v>890212.06256199977</v>
      </c>
      <c r="K135" s="289">
        <f t="shared" si="19"/>
        <v>28</v>
      </c>
      <c r="M135" s="18">
        <f>'GS 50-999 Predicted Monthly'!$V$10</f>
        <v>-9326437.7987639103</v>
      </c>
      <c r="N135" s="18">
        <f ca="1">E135*'GS 50-999 Predicted Monthly'!$V$11</f>
        <v>11520543.184164472</v>
      </c>
      <c r="O135" s="18">
        <f ca="1">F135*'GS 50-999 Predicted Monthly'!$V$12</f>
        <v>0</v>
      </c>
      <c r="P135" s="18">
        <f>I135*'GS 50-999 Predicted Monthly'!$V$13</f>
        <v>0</v>
      </c>
      <c r="Q135" s="18">
        <f>J135*'GS 50-999 Predicted Monthly'!$V$14</f>
        <v>6388484.7808312755</v>
      </c>
      <c r="R135" s="18">
        <f>K135*'GS 50-999 Predicted Monthly'!$V$15</f>
        <v>21613998.965708911</v>
      </c>
      <c r="S135" s="18">
        <f t="shared" ca="1" si="20"/>
        <v>30196589.131940749</v>
      </c>
    </row>
    <row r="136" spans="1:19" x14ac:dyDescent="0.25">
      <c r="A136" s="3">
        <v>46082</v>
      </c>
      <c r="B136" s="1">
        <f t="shared" si="22"/>
        <v>2026</v>
      </c>
      <c r="C136" s="1">
        <f t="shared" si="23"/>
        <v>3</v>
      </c>
      <c r="D136" s="268"/>
      <c r="E136" s="289">
        <f t="shared" ca="1" si="21"/>
        <v>546.13298913043491</v>
      </c>
      <c r="F136" s="289">
        <f t="shared" ca="1" si="21"/>
        <v>0</v>
      </c>
      <c r="G136" s="278"/>
      <c r="H136" s="278"/>
      <c r="I136" s="24">
        <f>'Monthly Data'!CG136</f>
        <v>0</v>
      </c>
      <c r="J136" s="289">
        <f>Economic!K138</f>
        <v>890212.06256199977</v>
      </c>
      <c r="K136" s="289">
        <f t="shared" si="19"/>
        <v>31</v>
      </c>
      <c r="M136" s="18">
        <f>'GS 50-999 Predicted Monthly'!$V$10</f>
        <v>-9326437.7987639103</v>
      </c>
      <c r="N136" s="18">
        <f ca="1">E136*'GS 50-999 Predicted Monthly'!$V$11</f>
        <v>10078811.548144327</v>
      </c>
      <c r="O136" s="18">
        <f ca="1">F136*'GS 50-999 Predicted Monthly'!$V$12</f>
        <v>0</v>
      </c>
      <c r="P136" s="18">
        <f>I136*'GS 50-999 Predicted Monthly'!$V$13</f>
        <v>0</v>
      </c>
      <c r="Q136" s="18">
        <f>J136*'GS 50-999 Predicted Monthly'!$V$14</f>
        <v>6388484.7808312755</v>
      </c>
      <c r="R136" s="18">
        <f>K136*'GS 50-999 Predicted Monthly'!$V$15</f>
        <v>23929784.569177721</v>
      </c>
      <c r="S136" s="18">
        <f t="shared" ca="1" si="20"/>
        <v>31070643.099389412</v>
      </c>
    </row>
    <row r="137" spans="1:19" x14ac:dyDescent="0.25">
      <c r="A137" s="3">
        <v>46113</v>
      </c>
      <c r="B137" s="1">
        <f t="shared" si="22"/>
        <v>2026</v>
      </c>
      <c r="C137" s="1">
        <f t="shared" si="23"/>
        <v>4</v>
      </c>
      <c r="D137" s="268"/>
      <c r="E137" s="289">
        <f t="shared" ca="1" si="21"/>
        <v>352.41399621212122</v>
      </c>
      <c r="F137" s="289">
        <f t="shared" ca="1" si="21"/>
        <v>2.1908333333333347</v>
      </c>
      <c r="G137" s="278"/>
      <c r="H137" s="278"/>
      <c r="I137" s="24">
        <f>'Monthly Data'!CG137</f>
        <v>0</v>
      </c>
      <c r="J137" s="289">
        <f>Economic!K139</f>
        <v>892994.47793499986</v>
      </c>
      <c r="K137" s="289">
        <f t="shared" si="19"/>
        <v>30</v>
      </c>
      <c r="M137" s="18">
        <f>'GS 50-999 Predicted Monthly'!$V$10</f>
        <v>-9326437.7987639103</v>
      </c>
      <c r="N137" s="18">
        <f ca="1">E137*'GS 50-999 Predicted Monthly'!$V$11</f>
        <v>6503753.3447775338</v>
      </c>
      <c r="O137" s="18">
        <f ca="1">F137*'GS 50-999 Predicted Monthly'!$V$12</f>
        <v>63155.026934036803</v>
      </c>
      <c r="P137" s="18">
        <f>I137*'GS 50-999 Predicted Monthly'!$V$13</f>
        <v>0</v>
      </c>
      <c r="Q137" s="18">
        <f>J137*'GS 50-999 Predicted Monthly'!$V$14</f>
        <v>6408452.4031674694</v>
      </c>
      <c r="R137" s="18">
        <f>K137*'GS 50-999 Predicted Monthly'!$V$15</f>
        <v>23157856.034688119</v>
      </c>
      <c r="S137" s="18">
        <f t="shared" ca="1" si="20"/>
        <v>26806779.010803249</v>
      </c>
    </row>
    <row r="138" spans="1:19" x14ac:dyDescent="0.25">
      <c r="A138" s="3">
        <v>46143</v>
      </c>
      <c r="B138" s="1">
        <f t="shared" si="22"/>
        <v>2026</v>
      </c>
      <c r="C138" s="1">
        <f t="shared" si="23"/>
        <v>5</v>
      </c>
      <c r="D138" s="268"/>
      <c r="E138" s="289">
        <f t="shared" ca="1" si="21"/>
        <v>150.136897859768</v>
      </c>
      <c r="F138" s="289">
        <f t="shared" ca="1" si="21"/>
        <v>52.487435064935063</v>
      </c>
      <c r="G138" s="278"/>
      <c r="H138" s="278"/>
      <c r="I138" s="24">
        <f>'Monthly Data'!CG138</f>
        <v>0</v>
      </c>
      <c r="J138" s="289">
        <f>Economic!K140</f>
        <v>892994.47793499986</v>
      </c>
      <c r="K138" s="289">
        <f t="shared" si="19"/>
        <v>31</v>
      </c>
      <c r="M138" s="18">
        <f>'GS 50-999 Predicted Monthly'!$V$10</f>
        <v>-9326437.7987639103</v>
      </c>
      <c r="N138" s="18">
        <f ca="1">E138*'GS 50-999 Predicted Monthly'!$V$11</f>
        <v>2770756.4458996481</v>
      </c>
      <c r="O138" s="18">
        <f ca="1">F138*'GS 50-999 Predicted Monthly'!$V$12</f>
        <v>1513052.2823390549</v>
      </c>
      <c r="P138" s="18">
        <f>I138*'GS 50-999 Predicted Monthly'!$V$13</f>
        <v>0</v>
      </c>
      <c r="Q138" s="18">
        <f>J138*'GS 50-999 Predicted Monthly'!$V$14</f>
        <v>6408452.4031674694</v>
      </c>
      <c r="R138" s="18">
        <f>K138*'GS 50-999 Predicted Monthly'!$V$15</f>
        <v>23929784.569177721</v>
      </c>
      <c r="S138" s="18">
        <f t="shared" ca="1" si="20"/>
        <v>25295607.901819982</v>
      </c>
    </row>
    <row r="139" spans="1:19" x14ac:dyDescent="0.25">
      <c r="A139" s="3">
        <v>46174</v>
      </c>
      <c r="B139" s="1">
        <f t="shared" si="22"/>
        <v>2026</v>
      </c>
      <c r="C139" s="1">
        <f t="shared" si="23"/>
        <v>6</v>
      </c>
      <c r="D139" s="268"/>
      <c r="E139" s="289">
        <f t="shared" ca="1" si="21"/>
        <v>32.520923826173821</v>
      </c>
      <c r="F139" s="289">
        <f t="shared" ca="1" si="21"/>
        <v>137.65451754405018</v>
      </c>
      <c r="G139" s="278"/>
      <c r="H139" s="278"/>
      <c r="I139" s="24">
        <f>'Monthly Data'!CG139</f>
        <v>0</v>
      </c>
      <c r="J139" s="289">
        <f>Economic!K141</f>
        <v>892994.47793499986</v>
      </c>
      <c r="K139" s="289">
        <f t="shared" si="19"/>
        <v>30</v>
      </c>
      <c r="M139" s="18">
        <f>'GS 50-999 Predicted Monthly'!$V$10</f>
        <v>-9326437.7987639103</v>
      </c>
      <c r="N139" s="18">
        <f ca="1">E139*'GS 50-999 Predicted Monthly'!$V$11</f>
        <v>600169.3161540177</v>
      </c>
      <c r="O139" s="18">
        <f ca="1">F139*'GS 50-999 Predicted Monthly'!$V$12</f>
        <v>3968158.8876772881</v>
      </c>
      <c r="P139" s="18">
        <f>I139*'GS 50-999 Predicted Monthly'!$V$13</f>
        <v>0</v>
      </c>
      <c r="Q139" s="18">
        <f>J139*'GS 50-999 Predicted Monthly'!$V$14</f>
        <v>6408452.4031674694</v>
      </c>
      <c r="R139" s="18">
        <f>K139*'GS 50-999 Predicted Monthly'!$V$15</f>
        <v>23157856.034688119</v>
      </c>
      <c r="S139" s="18">
        <f t="shared" ca="1" si="20"/>
        <v>24808198.842922986</v>
      </c>
    </row>
    <row r="140" spans="1:19" x14ac:dyDescent="0.25">
      <c r="A140" s="3">
        <v>46204</v>
      </c>
      <c r="B140" s="1">
        <f t="shared" si="22"/>
        <v>2026</v>
      </c>
      <c r="C140" s="1">
        <f t="shared" si="23"/>
        <v>7</v>
      </c>
      <c r="D140" s="268"/>
      <c r="E140" s="289">
        <f t="shared" ca="1" si="21"/>
        <v>1.6179166666666653</v>
      </c>
      <c r="F140" s="289">
        <f t="shared" ca="1" si="21"/>
        <v>235.94737858727848</v>
      </c>
      <c r="G140" s="278"/>
      <c r="H140" s="278"/>
      <c r="I140" s="24">
        <f>'Monthly Data'!CG140</f>
        <v>0</v>
      </c>
      <c r="J140" s="289">
        <f>Economic!K142</f>
        <v>893737.67706499982</v>
      </c>
      <c r="K140" s="289">
        <f t="shared" si="19"/>
        <v>31</v>
      </c>
      <c r="M140" s="18">
        <f>'GS 50-999 Predicted Monthly'!$V$10</f>
        <v>-9326437.7987639103</v>
      </c>
      <c r="N140" s="18">
        <f ca="1">E140*'GS 50-999 Predicted Monthly'!$V$11</f>
        <v>29858.436513602697</v>
      </c>
      <c r="O140" s="18">
        <f ca="1">F140*'GS 50-999 Predicted Monthly'!$V$12</f>
        <v>6801641.5593890948</v>
      </c>
      <c r="P140" s="18">
        <f>I140*'GS 50-999 Predicted Monthly'!$V$13</f>
        <v>0</v>
      </c>
      <c r="Q140" s="18">
        <f>J140*'GS 50-999 Predicted Monthly'!$V$14</f>
        <v>6413785.8697995292</v>
      </c>
      <c r="R140" s="18">
        <f>K140*'GS 50-999 Predicted Monthly'!$V$15</f>
        <v>23929784.569177721</v>
      </c>
      <c r="S140" s="18">
        <f t="shared" ca="1" si="20"/>
        <v>27848632.636116035</v>
      </c>
    </row>
    <row r="141" spans="1:19" x14ac:dyDescent="0.25">
      <c r="A141" s="3">
        <v>46235</v>
      </c>
      <c r="B141" s="1">
        <f t="shared" si="22"/>
        <v>2026</v>
      </c>
      <c r="C141" s="1">
        <f t="shared" si="23"/>
        <v>8</v>
      </c>
      <c r="D141" s="268"/>
      <c r="E141" s="289">
        <f t="shared" ca="1" si="21"/>
        <v>5.6499999999999977</v>
      </c>
      <c r="F141" s="289">
        <f t="shared" ca="1" si="21"/>
        <v>210.96558794466404</v>
      </c>
      <c r="G141" s="278"/>
      <c r="H141" s="278"/>
      <c r="I141" s="24">
        <f>'Monthly Data'!CG141</f>
        <v>0</v>
      </c>
      <c r="J141" s="289">
        <f>Economic!K143</f>
        <v>893737.67706499982</v>
      </c>
      <c r="K141" s="289">
        <f t="shared" si="19"/>
        <v>31</v>
      </c>
      <c r="M141" s="18">
        <f>'GS 50-999 Predicted Monthly'!$V$10</f>
        <v>-9326437.7987639103</v>
      </c>
      <c r="N141" s="18">
        <f ca="1">E141*'GS 50-999 Predicted Monthly'!$V$11</f>
        <v>104269.99719918949</v>
      </c>
      <c r="O141" s="18">
        <f ca="1">F141*'GS 50-999 Predicted Monthly'!$V$12</f>
        <v>6081492.9123469722</v>
      </c>
      <c r="P141" s="18">
        <f>I141*'GS 50-999 Predicted Monthly'!$V$13</f>
        <v>0</v>
      </c>
      <c r="Q141" s="18">
        <f>J141*'GS 50-999 Predicted Monthly'!$V$14</f>
        <v>6413785.8697995292</v>
      </c>
      <c r="R141" s="18">
        <f>K141*'GS 50-999 Predicted Monthly'!$V$15</f>
        <v>23929784.569177721</v>
      </c>
      <c r="S141" s="18">
        <f t="shared" ca="1" si="20"/>
        <v>27202895.5497595</v>
      </c>
    </row>
    <row r="142" spans="1:19" x14ac:dyDescent="0.25">
      <c r="A142" s="3">
        <v>46266</v>
      </c>
      <c r="B142" s="1">
        <f t="shared" si="22"/>
        <v>2026</v>
      </c>
      <c r="C142" s="1">
        <f t="shared" si="23"/>
        <v>9</v>
      </c>
      <c r="D142" s="268"/>
      <c r="E142" s="289">
        <f t="shared" ca="1" si="21"/>
        <v>54.959440993788824</v>
      </c>
      <c r="F142" s="289">
        <f t="shared" ca="1" si="21"/>
        <v>106.4160119047619</v>
      </c>
      <c r="G142" s="278"/>
      <c r="H142" s="278"/>
      <c r="I142" s="24">
        <f>'Monthly Data'!CG142</f>
        <v>0</v>
      </c>
      <c r="J142" s="289">
        <f>Economic!K144</f>
        <v>893737.67706499982</v>
      </c>
      <c r="K142" s="289">
        <f t="shared" si="19"/>
        <v>30</v>
      </c>
      <c r="M142" s="18">
        <f>'GS 50-999 Predicted Monthly'!$V$10</f>
        <v>-9326437.7987639103</v>
      </c>
      <c r="N142" s="18">
        <f ca="1">E142*'GS 50-999 Predicted Monthly'!$V$11</f>
        <v>1014269.160794935</v>
      </c>
      <c r="O142" s="18">
        <f ca="1">F142*'GS 50-999 Predicted Monthly'!$V$12</f>
        <v>3067648.2760249591</v>
      </c>
      <c r="P142" s="18">
        <f>I142*'GS 50-999 Predicted Monthly'!$V$13</f>
        <v>0</v>
      </c>
      <c r="Q142" s="18">
        <f>J142*'GS 50-999 Predicted Monthly'!$V$14</f>
        <v>6413785.8697995292</v>
      </c>
      <c r="R142" s="18">
        <f>K142*'GS 50-999 Predicted Monthly'!$V$15</f>
        <v>23157856.034688119</v>
      </c>
      <c r="S142" s="18">
        <f t="shared" ca="1" si="20"/>
        <v>24327121.542543631</v>
      </c>
    </row>
    <row r="143" spans="1:19" x14ac:dyDescent="0.25">
      <c r="A143" s="3">
        <v>46296</v>
      </c>
      <c r="B143" s="1">
        <f t="shared" si="22"/>
        <v>2026</v>
      </c>
      <c r="C143" s="1">
        <f t="shared" si="23"/>
        <v>10</v>
      </c>
      <c r="D143" s="268"/>
      <c r="E143" s="289">
        <f t="shared" ca="1" si="21"/>
        <v>237.89681159420289</v>
      </c>
      <c r="F143" s="289">
        <f t="shared" ca="1" si="21"/>
        <v>17.987083333333334</v>
      </c>
      <c r="G143" s="278"/>
      <c r="H143" s="278"/>
      <c r="I143" s="24">
        <f>'Monthly Data'!CG143</f>
        <v>0</v>
      </c>
      <c r="J143" s="289">
        <f>Economic!K145</f>
        <v>898135.63630901172</v>
      </c>
      <c r="K143" s="289">
        <f t="shared" si="19"/>
        <v>31</v>
      </c>
      <c r="M143" s="18">
        <f>'GS 50-999 Predicted Monthly'!$V$10</f>
        <v>-9326437.7987639103</v>
      </c>
      <c r="N143" s="18">
        <f ca="1">E143*'GS 50-999 Predicted Monthly'!$V$11</f>
        <v>4390353.9608183457</v>
      </c>
      <c r="O143" s="18">
        <f ca="1">F143*'GS 50-999 Predicted Monthly'!$V$12</f>
        <v>518512.62033385946</v>
      </c>
      <c r="P143" s="18">
        <f>I143*'GS 50-999 Predicted Monthly'!$V$13</f>
        <v>0</v>
      </c>
      <c r="Q143" s="18">
        <f>J143*'GS 50-999 Predicted Monthly'!$V$14</f>
        <v>6445347.2211658834</v>
      </c>
      <c r="R143" s="18">
        <f>K143*'GS 50-999 Predicted Monthly'!$V$15</f>
        <v>23929784.569177721</v>
      </c>
      <c r="S143" s="18">
        <f t="shared" ca="1" si="20"/>
        <v>25957560.572731897</v>
      </c>
    </row>
    <row r="144" spans="1:19" x14ac:dyDescent="0.25">
      <c r="A144" s="3">
        <v>46327</v>
      </c>
      <c r="B144" s="1">
        <f t="shared" si="22"/>
        <v>2026</v>
      </c>
      <c r="C144" s="1">
        <f t="shared" si="23"/>
        <v>11</v>
      </c>
      <c r="D144" s="268"/>
      <c r="E144" s="289">
        <f t="shared" ca="1" si="21"/>
        <v>426.62991389045737</v>
      </c>
      <c r="F144" s="289">
        <f t="shared" ca="1" si="21"/>
        <v>0.8083333333333329</v>
      </c>
      <c r="G144" s="278"/>
      <c r="H144" s="278"/>
      <c r="I144" s="24">
        <f>'Monthly Data'!CG144</f>
        <v>0</v>
      </c>
      <c r="J144" s="289">
        <f>Economic!K146</f>
        <v>898135.63630901172</v>
      </c>
      <c r="K144" s="289">
        <f t="shared" si="19"/>
        <v>30</v>
      </c>
      <c r="M144" s="18">
        <f>'GS 50-999 Predicted Monthly'!$V$10</f>
        <v>-9326437.7987639103</v>
      </c>
      <c r="N144" s="18">
        <f ca="1">E144*'GS 50-999 Predicted Monthly'!$V$11</f>
        <v>7873398.2170705236</v>
      </c>
      <c r="O144" s="18">
        <f ca="1">F144*'GS 50-999 Predicted Monthly'!$V$12</f>
        <v>23301.778670983502</v>
      </c>
      <c r="P144" s="18">
        <f>I144*'GS 50-999 Predicted Monthly'!$V$13</f>
        <v>0</v>
      </c>
      <c r="Q144" s="18">
        <f>J144*'GS 50-999 Predicted Monthly'!$V$14</f>
        <v>6445347.2211658834</v>
      </c>
      <c r="R144" s="18">
        <f>K144*'GS 50-999 Predicted Monthly'!$V$15</f>
        <v>23157856.034688119</v>
      </c>
      <c r="S144" s="18">
        <f t="shared" ca="1" si="20"/>
        <v>28173465.4528316</v>
      </c>
    </row>
    <row r="145" spans="1:19" x14ac:dyDescent="0.25">
      <c r="A145" s="3">
        <v>46357</v>
      </c>
      <c r="B145" s="1">
        <f t="shared" si="22"/>
        <v>2026</v>
      </c>
      <c r="C145" s="1">
        <f t="shared" si="23"/>
        <v>12</v>
      </c>
      <c r="D145" s="268"/>
      <c r="E145" s="289">
        <f t="shared" ca="1" si="21"/>
        <v>577.92800724637686</v>
      </c>
      <c r="F145" s="289">
        <f t="shared" ca="1" si="21"/>
        <v>0</v>
      </c>
      <c r="G145" s="278"/>
      <c r="H145" s="278"/>
      <c r="I145" s="24">
        <f>'Monthly Data'!CG145</f>
        <v>0</v>
      </c>
      <c r="J145" s="289">
        <f>Economic!K147</f>
        <v>898135.63630901172</v>
      </c>
      <c r="K145" s="289">
        <f t="shared" si="19"/>
        <v>31</v>
      </c>
      <c r="M145" s="18">
        <f>'GS 50-999 Predicted Monthly'!$V$10</f>
        <v>-9326437.7987639103</v>
      </c>
      <c r="N145" s="18">
        <f ca="1">E145*'GS 50-999 Predicted Monthly'!$V$11</f>
        <v>10665584.371135026</v>
      </c>
      <c r="O145" s="18">
        <f ca="1">F145*'GS 50-999 Predicted Monthly'!$V$12</f>
        <v>0</v>
      </c>
      <c r="P145" s="18">
        <f>I145*'GS 50-999 Predicted Monthly'!$V$13</f>
        <v>0</v>
      </c>
      <c r="Q145" s="18">
        <f>J145*'GS 50-999 Predicted Monthly'!$V$14</f>
        <v>6445347.2211658834</v>
      </c>
      <c r="R145" s="18">
        <f>K145*'GS 50-999 Predicted Monthly'!$V$15</f>
        <v>23929784.569177721</v>
      </c>
      <c r="S145" s="18">
        <f t="shared" ca="1" si="20"/>
        <v>31714278.362714719</v>
      </c>
    </row>
    <row r="195" spans="9:23" x14ac:dyDescent="0.25">
      <c r="I195" s="18"/>
      <c r="J195" s="18"/>
      <c r="N195" s="18"/>
      <c r="O195" s="18"/>
      <c r="P195" s="18"/>
      <c r="Q195" s="18"/>
      <c r="R195" s="18"/>
      <c r="S195" s="18"/>
      <c r="T195" s="18"/>
      <c r="U195" s="18"/>
      <c r="V195" s="18"/>
      <c r="W195" s="18"/>
    </row>
    <row r="196" spans="9:23" x14ac:dyDescent="0.25">
      <c r="I196" s="18"/>
      <c r="J196" s="18"/>
      <c r="N196" s="18"/>
      <c r="O196" s="18"/>
      <c r="P196" s="18"/>
      <c r="Q196" s="18"/>
      <c r="R196" s="18"/>
      <c r="S196" s="18"/>
      <c r="T196" s="18"/>
      <c r="U196" s="18"/>
      <c r="V196" s="18"/>
      <c r="W196" s="18"/>
    </row>
    <row r="197" spans="9:23" x14ac:dyDescent="0.25">
      <c r="I197" s="18"/>
      <c r="J197" s="18"/>
      <c r="N197" s="18"/>
      <c r="O197" s="18"/>
      <c r="P197" s="18"/>
      <c r="Q197" s="18"/>
      <c r="R197" s="18"/>
      <c r="S197" s="18"/>
      <c r="T197" s="18"/>
      <c r="U197" s="18"/>
      <c r="V197" s="18"/>
      <c r="W197" s="18"/>
    </row>
    <row r="198" spans="9:23" x14ac:dyDescent="0.25">
      <c r="I198" s="18"/>
      <c r="J198" s="18"/>
      <c r="N198" s="18"/>
      <c r="O198" s="18"/>
      <c r="P198" s="18"/>
      <c r="Q198" s="18"/>
      <c r="R198" s="18"/>
      <c r="S198" s="18"/>
      <c r="T198" s="18"/>
      <c r="U198" s="18"/>
      <c r="V198" s="18"/>
      <c r="W198" s="18"/>
    </row>
    <row r="199" spans="9:23" x14ac:dyDescent="0.25">
      <c r="I199" s="18"/>
      <c r="J199" s="18"/>
      <c r="N199" s="18"/>
      <c r="O199" s="18"/>
      <c r="P199" s="18"/>
      <c r="Q199" s="18"/>
      <c r="R199" s="18"/>
      <c r="S199" s="18"/>
      <c r="T199" s="18"/>
      <c r="U199" s="18"/>
      <c r="V199" s="18"/>
      <c r="W199" s="18"/>
    </row>
    <row r="200" spans="9:23" x14ac:dyDescent="0.25">
      <c r="I200" s="18"/>
      <c r="J200" s="18"/>
      <c r="N200" s="18"/>
      <c r="O200" s="18"/>
      <c r="P200" s="18"/>
      <c r="Q200" s="18"/>
      <c r="R200" s="18"/>
      <c r="S200" s="18"/>
      <c r="T200" s="18"/>
      <c r="U200" s="18"/>
      <c r="V200" s="18"/>
      <c r="W200" s="18"/>
    </row>
    <row r="201" spans="9:23" x14ac:dyDescent="0.25">
      <c r="I201" s="18"/>
      <c r="J201" s="18"/>
      <c r="N201" s="18"/>
      <c r="O201" s="18"/>
      <c r="P201" s="18"/>
      <c r="Q201" s="18"/>
      <c r="R201" s="18"/>
      <c r="S201" s="18"/>
      <c r="T201" s="18"/>
      <c r="U201" s="18"/>
      <c r="V201" s="18"/>
      <c r="W201" s="18"/>
    </row>
    <row r="202" spans="9:23" x14ac:dyDescent="0.25">
      <c r="I202" s="18"/>
      <c r="J202" s="18"/>
      <c r="N202" s="18"/>
      <c r="O202" s="18"/>
      <c r="P202" s="18"/>
      <c r="Q202" s="18"/>
      <c r="R202" s="18"/>
      <c r="S202" s="18"/>
      <c r="T202" s="18"/>
      <c r="U202" s="18"/>
      <c r="V202" s="18"/>
      <c r="W202" s="18"/>
    </row>
    <row r="204" spans="9:23" x14ac:dyDescent="0.25">
      <c r="M204" s="24"/>
      <c r="N204" s="24"/>
      <c r="O204" s="24"/>
      <c r="P204" s="24"/>
      <c r="Q204" s="24"/>
      <c r="R204" s="24"/>
      <c r="S204" s="24"/>
      <c r="T204" s="24"/>
      <c r="U204" s="24"/>
      <c r="V204" s="24"/>
      <c r="W204" s="24"/>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tabColor theme="4" tint="0.79998168889431442"/>
  </sheetPr>
  <dimension ref="A1:S204"/>
  <sheetViews>
    <sheetView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1.88671875" style="1" bestFit="1" customWidth="1"/>
    <col min="6" max="9" width="9.44140625" style="1" bestFit="1" customWidth="1"/>
    <col min="10" max="10" width="9.33203125" style="1"/>
    <col min="11" max="11" width="14.77734375" style="1" bestFit="1" customWidth="1"/>
    <col min="12" max="12" width="12.88671875" style="1" bestFit="1" customWidth="1"/>
    <col min="13" max="13" width="13.88671875" style="1" bestFit="1" customWidth="1"/>
    <col min="14" max="15" width="13.77734375" style="1" customWidth="1"/>
    <col min="16" max="16" width="19.6640625" style="1" customWidth="1"/>
    <col min="17" max="17" width="13.77734375" style="1" bestFit="1" customWidth="1"/>
    <col min="18" max="18" width="12.44140625" style="1" bestFit="1" customWidth="1"/>
    <col min="19" max="16384" width="9.33203125" style="1"/>
  </cols>
  <sheetData>
    <row r="1" spans="1:16" x14ac:dyDescent="0.25">
      <c r="A1" s="273" t="str">
        <f>'Monthly Data'!A1</f>
        <v>Date</v>
      </c>
      <c r="B1" s="274" t="s">
        <v>1</v>
      </c>
      <c r="C1" s="274" t="s">
        <v>2</v>
      </c>
      <c r="D1" s="275" t="str">
        <f>'Monthly Data'!S1</f>
        <v>GS_1000_4999_NoCDM</v>
      </c>
      <c r="E1" s="276" t="str">
        <f>F1&amp;"Norm"</f>
        <v>CDD16Norm</v>
      </c>
      <c r="F1" s="276" t="str">
        <f>'Monthly Data'!BE1</f>
        <v>CDD16</v>
      </c>
      <c r="G1" s="276" t="str">
        <f>'Monthly Data'!CG1</f>
        <v>COVID_AM</v>
      </c>
      <c r="H1" s="276" t="str">
        <f>'Monthly Data'!AQ1</f>
        <v>Osh_FTEAdj</v>
      </c>
      <c r="I1" s="276" t="str">
        <f>'Monthly Data'!CD1</f>
        <v>Month Days</v>
      </c>
      <c r="K1" s="274" t="s">
        <v>152</v>
      </c>
      <c r="L1" s="276" t="str">
        <f>F1</f>
        <v>CDD16</v>
      </c>
      <c r="M1" s="276" t="str">
        <f>G1</f>
        <v>COVID_AM</v>
      </c>
      <c r="N1" s="276" t="str">
        <f>H1</f>
        <v>Osh_FTEAdj</v>
      </c>
      <c r="O1" s="276" t="str">
        <f>I1</f>
        <v>Month Days</v>
      </c>
      <c r="P1" s="274" t="s">
        <v>414</v>
      </c>
    </row>
    <row r="2" spans="1:16" x14ac:dyDescent="0.25">
      <c r="A2" s="3">
        <f>'Monthly Data'!A2</f>
        <v>42005</v>
      </c>
      <c r="B2" s="1">
        <f t="shared" ref="B2:B65" si="0">YEAR(A2)</f>
        <v>2015</v>
      </c>
      <c r="C2" s="1">
        <f t="shared" ref="C2:C65" si="1">MONTH(A2)</f>
        <v>1</v>
      </c>
      <c r="D2" s="268">
        <f>'Monthly Data'!S2</f>
        <v>6697602.8367803404</v>
      </c>
      <c r="E2" s="268">
        <f ca="1">Weather!BE34</f>
        <v>0</v>
      </c>
      <c r="F2" s="268">
        <f>'Monthly Data'!BE2</f>
        <v>0</v>
      </c>
      <c r="G2" s="278">
        <f>'Monthly Data'!CG2</f>
        <v>0</v>
      </c>
      <c r="H2" s="278">
        <f>'Monthly Data'!AQ2</f>
        <v>201.9</v>
      </c>
      <c r="I2" s="278">
        <f>'Monthly Data'!CD2</f>
        <v>31</v>
      </c>
      <c r="K2" s="18"/>
      <c r="L2" s="18">
        <f ca="1">(E2-F2)*'GS 1k-4,999 Predicted Monthly'!$T$11</f>
        <v>0</v>
      </c>
      <c r="M2" s="18"/>
      <c r="N2" s="18"/>
      <c r="O2" s="18"/>
      <c r="P2" s="18">
        <f t="shared" ref="P2:P7" ca="1" si="2">SUM(D2,K2:O2)</f>
        <v>6697602.8367803404</v>
      </c>
    </row>
    <row r="3" spans="1:16" x14ac:dyDescent="0.25">
      <c r="A3" s="3">
        <f>'Monthly Data'!A3</f>
        <v>42036</v>
      </c>
      <c r="B3" s="1">
        <f t="shared" si="0"/>
        <v>2015</v>
      </c>
      <c r="C3" s="1">
        <f t="shared" si="1"/>
        <v>2</v>
      </c>
      <c r="D3" s="268">
        <f>'Monthly Data'!S3</f>
        <v>6292256.0165867163</v>
      </c>
      <c r="E3" s="268">
        <f ca="1">Weather!BE35</f>
        <v>0</v>
      </c>
      <c r="F3" s="268">
        <f>'Monthly Data'!BE3</f>
        <v>0</v>
      </c>
      <c r="G3" s="278">
        <f>'Monthly Data'!CG3</f>
        <v>0</v>
      </c>
      <c r="H3" s="278">
        <f>'Monthly Data'!AQ3</f>
        <v>200.2</v>
      </c>
      <c r="I3" s="278">
        <f>'Monthly Data'!CD3</f>
        <v>28</v>
      </c>
      <c r="K3" s="18"/>
      <c r="L3" s="18">
        <f ca="1">(E3-F3)*'GS 1k-4,999 Predicted Monthly'!$T$11</f>
        <v>0</v>
      </c>
      <c r="M3" s="18"/>
      <c r="N3" s="18"/>
      <c r="O3" s="18"/>
      <c r="P3" s="18">
        <f t="shared" ca="1" si="2"/>
        <v>6292256.0165867163</v>
      </c>
    </row>
    <row r="4" spans="1:16" x14ac:dyDescent="0.25">
      <c r="A4" s="3">
        <f>'Monthly Data'!A4</f>
        <v>42064</v>
      </c>
      <c r="B4" s="1">
        <f t="shared" si="0"/>
        <v>2015</v>
      </c>
      <c r="C4" s="1">
        <f t="shared" si="1"/>
        <v>3</v>
      </c>
      <c r="D4" s="268">
        <f>'Monthly Data'!S4</f>
        <v>6879107.4130763644</v>
      </c>
      <c r="E4" s="268">
        <f ca="1">Weather!BE36</f>
        <v>0</v>
      </c>
      <c r="F4" s="268">
        <f>'Monthly Data'!BE4</f>
        <v>0</v>
      </c>
      <c r="G4" s="278">
        <f>'Monthly Data'!CG4</f>
        <v>0</v>
      </c>
      <c r="H4" s="278">
        <f>'Monthly Data'!AQ4</f>
        <v>198.4</v>
      </c>
      <c r="I4" s="278">
        <f>'Monthly Data'!CD4</f>
        <v>31</v>
      </c>
      <c r="K4" s="18"/>
      <c r="L4" s="18">
        <f ca="1">(E4-F4)*'GS 1k-4,999 Predicted Monthly'!$T$11</f>
        <v>0</v>
      </c>
      <c r="M4" s="18"/>
      <c r="N4" s="18"/>
      <c r="O4" s="18"/>
      <c r="P4" s="18">
        <f t="shared" ca="1" si="2"/>
        <v>6879107.4130763644</v>
      </c>
    </row>
    <row r="5" spans="1:16" x14ac:dyDescent="0.25">
      <c r="A5" s="3">
        <f>'Monthly Data'!A5</f>
        <v>42095</v>
      </c>
      <c r="B5" s="1">
        <f t="shared" si="0"/>
        <v>2015</v>
      </c>
      <c r="C5" s="1">
        <f t="shared" si="1"/>
        <v>4</v>
      </c>
      <c r="D5" s="268">
        <f>'Monthly Data'!S5</f>
        <v>6556816.3103235476</v>
      </c>
      <c r="E5" s="268">
        <f ca="1">Weather!BE37</f>
        <v>0.4316666666666677</v>
      </c>
      <c r="F5" s="268">
        <f>'Monthly Data'!BE5</f>
        <v>0</v>
      </c>
      <c r="G5" s="278">
        <f>'Monthly Data'!CG5</f>
        <v>0</v>
      </c>
      <c r="H5" s="278">
        <f>'Monthly Data'!AQ5</f>
        <v>195.5</v>
      </c>
      <c r="I5" s="278">
        <f>'Monthly Data'!CD5</f>
        <v>30</v>
      </c>
      <c r="K5" s="18"/>
      <c r="L5" s="18">
        <f ca="1">(E5-F5)*'GS 1k-4,999 Predicted Monthly'!$T$11</f>
        <v>3861.1407505717921</v>
      </c>
      <c r="M5" s="18"/>
      <c r="N5" s="18"/>
      <c r="O5" s="18"/>
      <c r="P5" s="18">
        <f t="shared" ca="1" si="2"/>
        <v>6560677.4510741197</v>
      </c>
    </row>
    <row r="6" spans="1:16" x14ac:dyDescent="0.25">
      <c r="A6" s="3">
        <f>'Monthly Data'!A6</f>
        <v>42125</v>
      </c>
      <c r="B6" s="1">
        <f t="shared" si="0"/>
        <v>2015</v>
      </c>
      <c r="C6" s="1">
        <f t="shared" si="1"/>
        <v>5</v>
      </c>
      <c r="D6" s="268">
        <f>'Monthly Data'!S6</f>
        <v>7230750.9949512845</v>
      </c>
      <c r="E6" s="268">
        <f ca="1">Weather!BE38</f>
        <v>29.4520183982684</v>
      </c>
      <c r="F6" s="268">
        <f>'Monthly Data'!BE6</f>
        <v>32.514880952380949</v>
      </c>
      <c r="G6" s="278">
        <f>'Monthly Data'!CG6</f>
        <v>0</v>
      </c>
      <c r="H6" s="278">
        <f>'Monthly Data'!AQ6</f>
        <v>193.3</v>
      </c>
      <c r="I6" s="278">
        <f>'Monthly Data'!CD6</f>
        <v>31</v>
      </c>
      <c r="K6" s="18"/>
      <c r="L6" s="18">
        <f ca="1">(E6-F6)*'GS 1k-4,999 Predicted Monthly'!$T$11</f>
        <v>-27396.471245755216</v>
      </c>
      <c r="M6" s="18"/>
      <c r="N6" s="18"/>
      <c r="O6" s="18"/>
      <c r="P6" s="18">
        <f t="shared" ca="1" si="2"/>
        <v>7203354.523705529</v>
      </c>
    </row>
    <row r="7" spans="1:16" x14ac:dyDescent="0.25">
      <c r="A7" s="3">
        <f>'Monthly Data'!A7</f>
        <v>42156</v>
      </c>
      <c r="B7" s="1">
        <f t="shared" si="0"/>
        <v>2015</v>
      </c>
      <c r="C7" s="1">
        <f t="shared" si="1"/>
        <v>6</v>
      </c>
      <c r="D7" s="268">
        <f>'Monthly Data'!S7</f>
        <v>7609612.6560106054</v>
      </c>
      <c r="E7" s="268">
        <f ca="1">Weather!BE39</f>
        <v>86.311049595332207</v>
      </c>
      <c r="F7" s="268">
        <f>'Monthly Data'!BE7</f>
        <v>47.337499999999999</v>
      </c>
      <c r="G7" s="278">
        <f>'Monthly Data'!CG7</f>
        <v>0</v>
      </c>
      <c r="H7" s="278">
        <f>'Monthly Data'!AQ7</f>
        <v>190.8</v>
      </c>
      <c r="I7" s="278">
        <f>'Monthly Data'!CD7</f>
        <v>30</v>
      </c>
      <c r="K7" s="18"/>
      <c r="L7" s="18">
        <f ca="1">(E7-F7)*'GS 1k-4,999 Predicted Monthly'!$T$11</f>
        <v>348607.78502772423</v>
      </c>
      <c r="M7" s="18"/>
      <c r="N7" s="18"/>
      <c r="O7" s="18"/>
      <c r="P7" s="18">
        <f t="shared" ca="1" si="2"/>
        <v>7958220.4410383292</v>
      </c>
    </row>
    <row r="8" spans="1:16" x14ac:dyDescent="0.25">
      <c r="A8" s="3">
        <f>'Monthly Data'!A8</f>
        <v>42186</v>
      </c>
      <c r="B8" s="1">
        <f t="shared" si="0"/>
        <v>2015</v>
      </c>
      <c r="C8" s="1">
        <f t="shared" si="1"/>
        <v>7</v>
      </c>
      <c r="D8" s="268">
        <f>'Monthly Data'!S8</f>
        <v>7942122.611520865</v>
      </c>
      <c r="E8" s="268">
        <f ca="1">Weather!BE40</f>
        <v>174.0219619206118</v>
      </c>
      <c r="F8" s="268">
        <f>'Monthly Data'!BE8</f>
        <v>143.53749999999999</v>
      </c>
      <c r="G8" s="278">
        <f>'Monthly Data'!CG8</f>
        <v>0</v>
      </c>
      <c r="H8" s="278">
        <f>'Monthly Data'!AQ8</f>
        <v>185.9</v>
      </c>
      <c r="I8" s="278">
        <f>'Monthly Data'!CD8</f>
        <v>31</v>
      </c>
      <c r="K8" s="18"/>
      <c r="L8" s="18">
        <f ca="1">(E8-F8)*'GS 1k-4,999 Predicted Monthly'!$T$11</f>
        <v>272675.20814114599</v>
      </c>
      <c r="M8" s="18"/>
      <c r="N8" s="18"/>
      <c r="O8" s="18"/>
      <c r="P8" s="18">
        <f t="shared" ref="P8:P71" ca="1" si="3">SUM(D8,K8:O8)</f>
        <v>8214797.8196620112</v>
      </c>
    </row>
    <row r="9" spans="1:16" x14ac:dyDescent="0.25">
      <c r="A9" s="3">
        <f>'Monthly Data'!A9</f>
        <v>42217</v>
      </c>
      <c r="B9" s="1">
        <f t="shared" si="0"/>
        <v>2015</v>
      </c>
      <c r="C9" s="1">
        <f t="shared" si="1"/>
        <v>8</v>
      </c>
      <c r="D9" s="268">
        <f>'Monthly Data'!S9</f>
        <v>8021740.0875366963</v>
      </c>
      <c r="E9" s="268">
        <f ca="1">Weather!BE41</f>
        <v>149.7160046113307</v>
      </c>
      <c r="F9" s="268">
        <f>'Monthly Data'!BE9</f>
        <v>106.43333333333335</v>
      </c>
      <c r="G9" s="278">
        <f>'Monthly Data'!CG9</f>
        <v>0</v>
      </c>
      <c r="H9" s="278">
        <f>'Monthly Data'!AQ9</f>
        <v>183</v>
      </c>
      <c r="I9" s="278">
        <f>'Monthly Data'!CD9</f>
        <v>31</v>
      </c>
      <c r="K9" s="18"/>
      <c r="L9" s="18">
        <f ca="1">(E9-F9)*'GS 1k-4,999 Predicted Monthly'!$T$11</f>
        <v>387151.70470674546</v>
      </c>
      <c r="M9" s="18"/>
      <c r="N9" s="18"/>
      <c r="O9" s="18"/>
      <c r="P9" s="18">
        <f t="shared" ca="1" si="3"/>
        <v>8408891.7922434416</v>
      </c>
    </row>
    <row r="10" spans="1:16" x14ac:dyDescent="0.25">
      <c r="A10" s="3">
        <f>'Monthly Data'!A10</f>
        <v>42248</v>
      </c>
      <c r="B10" s="1">
        <f t="shared" si="0"/>
        <v>2015</v>
      </c>
      <c r="C10" s="1">
        <f t="shared" si="1"/>
        <v>9</v>
      </c>
      <c r="D10" s="268">
        <f>'Monthly Data'!S10</f>
        <v>8078291.6631567953</v>
      </c>
      <c r="E10" s="268">
        <f ca="1">Weather!BE42</f>
        <v>62.345178571428576</v>
      </c>
      <c r="F10" s="268">
        <f>'Monthly Data'!BE10</f>
        <v>87.618452380952391</v>
      </c>
      <c r="G10" s="278">
        <f>'Monthly Data'!CG10</f>
        <v>0</v>
      </c>
      <c r="H10" s="278">
        <f>'Monthly Data'!AQ10</f>
        <v>181.7</v>
      </c>
      <c r="I10" s="278">
        <f>'Monthly Data'!CD10</f>
        <v>30</v>
      </c>
      <c r="K10" s="18"/>
      <c r="L10" s="18">
        <f ca="1">(E10-F10)*'GS 1k-4,999 Predicted Monthly'!$T$11</f>
        <v>-226062.54997600996</v>
      </c>
      <c r="M10" s="18"/>
      <c r="N10" s="18"/>
      <c r="O10" s="18"/>
      <c r="P10" s="18">
        <f t="shared" ca="1" si="3"/>
        <v>7852229.1131807854</v>
      </c>
    </row>
    <row r="11" spans="1:16" x14ac:dyDescent="0.25">
      <c r="A11" s="3">
        <f>'Monthly Data'!A11</f>
        <v>42278</v>
      </c>
      <c r="B11" s="1">
        <f t="shared" si="0"/>
        <v>2015</v>
      </c>
      <c r="C11" s="1">
        <f t="shared" si="1"/>
        <v>10</v>
      </c>
      <c r="D11" s="268">
        <f>'Monthly Data'!S11</f>
        <v>7283096.8853974789</v>
      </c>
      <c r="E11" s="268">
        <f ca="1">Weather!BE43</f>
        <v>7.1541666666666703</v>
      </c>
      <c r="F11" s="268">
        <f>'Monthly Data'!BE11</f>
        <v>1</v>
      </c>
      <c r="G11" s="278">
        <f>'Monthly Data'!CG11</f>
        <v>0</v>
      </c>
      <c r="H11" s="278">
        <f>'Monthly Data'!AQ11</f>
        <v>187.1</v>
      </c>
      <c r="I11" s="278">
        <f>'Monthly Data'!CD11</f>
        <v>31</v>
      </c>
      <c r="K11" s="18"/>
      <c r="L11" s="18">
        <f ca="1">(E11-F11)*'GS 1k-4,999 Predicted Monthly'!$T$11</f>
        <v>55047.344484503155</v>
      </c>
      <c r="M11" s="18"/>
      <c r="N11" s="18"/>
      <c r="O11" s="18"/>
      <c r="P11" s="18">
        <f t="shared" ca="1" si="3"/>
        <v>7338144.2298819823</v>
      </c>
    </row>
    <row r="12" spans="1:16" x14ac:dyDescent="0.25">
      <c r="A12" s="3">
        <f>'Monthly Data'!A12</f>
        <v>42309</v>
      </c>
      <c r="B12" s="1">
        <f t="shared" si="0"/>
        <v>2015</v>
      </c>
      <c r="C12" s="1">
        <f t="shared" si="1"/>
        <v>11</v>
      </c>
      <c r="D12" s="268">
        <f>'Monthly Data'!S12</f>
        <v>7062113.5949656768</v>
      </c>
      <c r="E12" s="268">
        <f ca="1">Weather!BE44</f>
        <v>0.15041666666666628</v>
      </c>
      <c r="F12" s="268">
        <f>'Monthly Data'!BE12</f>
        <v>0</v>
      </c>
      <c r="G12" s="278">
        <f>'Monthly Data'!CG12</f>
        <v>0</v>
      </c>
      <c r="H12" s="278">
        <f>'Monthly Data'!AQ12</f>
        <v>192.5</v>
      </c>
      <c r="I12" s="278">
        <f>'Monthly Data'!CD12</f>
        <v>30</v>
      </c>
      <c r="K12" s="18"/>
      <c r="L12" s="18">
        <f ca="1">(E12-F12)*'GS 1k-4,999 Predicted Monthly'!$T$11</f>
        <v>1345.4361109617857</v>
      </c>
      <c r="M12" s="18"/>
      <c r="N12" s="18"/>
      <c r="O12" s="18"/>
      <c r="P12" s="18">
        <f t="shared" ca="1" si="3"/>
        <v>7063459.031076639</v>
      </c>
    </row>
    <row r="13" spans="1:16" x14ac:dyDescent="0.25">
      <c r="A13" s="3">
        <f>'Monthly Data'!A13</f>
        <v>42339</v>
      </c>
      <c r="B13" s="1">
        <f t="shared" si="0"/>
        <v>2015</v>
      </c>
      <c r="C13" s="1">
        <f t="shared" si="1"/>
        <v>12</v>
      </c>
      <c r="D13" s="268">
        <f>'Monthly Data'!S13</f>
        <v>6433930.9578759233</v>
      </c>
      <c r="E13" s="268">
        <f ca="1">Weather!BE45</f>
        <v>0</v>
      </c>
      <c r="F13" s="268">
        <f>'Monthly Data'!BE13</f>
        <v>0</v>
      </c>
      <c r="G13" s="278">
        <f>'Monthly Data'!CG13</f>
        <v>0</v>
      </c>
      <c r="H13" s="278">
        <f>'Monthly Data'!AQ13</f>
        <v>199.4</v>
      </c>
      <c r="I13" s="278">
        <f>'Monthly Data'!CD13</f>
        <v>31</v>
      </c>
      <c r="K13" s="18"/>
      <c r="L13" s="18">
        <f ca="1">(E13-F13)*'GS 1k-4,999 Predicted Monthly'!$T$11</f>
        <v>0</v>
      </c>
      <c r="M13" s="18"/>
      <c r="N13" s="18"/>
      <c r="O13" s="18"/>
      <c r="P13" s="18">
        <f t="shared" ca="1" si="3"/>
        <v>6433930.9578759233</v>
      </c>
    </row>
    <row r="14" spans="1:16" x14ac:dyDescent="0.25">
      <c r="A14" s="3">
        <f>'Monthly Data'!A14</f>
        <v>42370</v>
      </c>
      <c r="B14" s="1">
        <f t="shared" si="0"/>
        <v>2016</v>
      </c>
      <c r="C14" s="1">
        <f t="shared" si="1"/>
        <v>1</v>
      </c>
      <c r="D14" s="268">
        <f>'Monthly Data'!S14</f>
        <v>7305107.8312721383</v>
      </c>
      <c r="E14" s="268">
        <f>Weather!BE46</f>
        <v>0</v>
      </c>
      <c r="F14" s="268">
        <f>'Monthly Data'!BE14</f>
        <v>0</v>
      </c>
      <c r="G14" s="278">
        <f>'Monthly Data'!CG14</f>
        <v>0</v>
      </c>
      <c r="H14" s="278">
        <f>'Monthly Data'!AQ14</f>
        <v>204.2</v>
      </c>
      <c r="I14" s="278">
        <f>'Monthly Data'!CD14</f>
        <v>31</v>
      </c>
      <c r="K14" s="18"/>
      <c r="L14" s="18">
        <f>(E14-F14)*'GS 1k-4,999 Predicted Monthly'!$T$11</f>
        <v>0</v>
      </c>
      <c r="M14" s="18"/>
      <c r="N14" s="18"/>
      <c r="O14" s="18"/>
      <c r="P14" s="18">
        <f t="shared" si="3"/>
        <v>7305107.8312721383</v>
      </c>
    </row>
    <row r="15" spans="1:16" x14ac:dyDescent="0.25">
      <c r="A15" s="3">
        <f>'Monthly Data'!A15</f>
        <v>42401</v>
      </c>
      <c r="B15" s="1">
        <f t="shared" si="0"/>
        <v>2016</v>
      </c>
      <c r="C15" s="1">
        <f t="shared" si="1"/>
        <v>2</v>
      </c>
      <c r="D15" s="268">
        <f>'Monthly Data'!S15</f>
        <v>7115237.8781808047</v>
      </c>
      <c r="E15" s="268">
        <f t="shared" ref="E15:E78" ca="1" si="4">E3</f>
        <v>0</v>
      </c>
      <c r="F15" s="268">
        <f>'Monthly Data'!BE15</f>
        <v>0</v>
      </c>
      <c r="G15" s="278">
        <f>'Monthly Data'!CG15</f>
        <v>0</v>
      </c>
      <c r="H15" s="278">
        <f>'Monthly Data'!AQ15</f>
        <v>205.6</v>
      </c>
      <c r="I15" s="278">
        <f>'Monthly Data'!CD15</f>
        <v>29</v>
      </c>
      <c r="K15" s="18"/>
      <c r="L15" s="18">
        <f ca="1">(E15-F15)*'GS 1k-4,999 Predicted Monthly'!$T$11</f>
        <v>0</v>
      </c>
      <c r="M15" s="18"/>
      <c r="N15" s="18"/>
      <c r="O15" s="18"/>
      <c r="P15" s="18">
        <f t="shared" ca="1" si="3"/>
        <v>7115237.8781808047</v>
      </c>
    </row>
    <row r="16" spans="1:16" x14ac:dyDescent="0.25">
      <c r="A16" s="3">
        <f>'Monthly Data'!A16</f>
        <v>42430</v>
      </c>
      <c r="B16" s="1">
        <f t="shared" si="0"/>
        <v>2016</v>
      </c>
      <c r="C16" s="1">
        <f t="shared" si="1"/>
        <v>3</v>
      </c>
      <c r="D16" s="268">
        <f>'Monthly Data'!S16</f>
        <v>7251476.8371827444</v>
      </c>
      <c r="E16" s="268">
        <f t="shared" ca="1" si="4"/>
        <v>0</v>
      </c>
      <c r="F16" s="268">
        <f>'Monthly Data'!BE16</f>
        <v>0</v>
      </c>
      <c r="G16" s="278">
        <f>'Monthly Data'!CG16</f>
        <v>0</v>
      </c>
      <c r="H16" s="278">
        <f>'Monthly Data'!AQ16</f>
        <v>206.5</v>
      </c>
      <c r="I16" s="278">
        <f>'Monthly Data'!CD16</f>
        <v>31</v>
      </c>
      <c r="K16" s="18"/>
      <c r="L16" s="18">
        <f ca="1">(E16-F16)*'GS 1k-4,999 Predicted Monthly'!$T$11</f>
        <v>0</v>
      </c>
      <c r="M16" s="18"/>
      <c r="N16" s="18"/>
      <c r="O16" s="18"/>
      <c r="P16" s="18">
        <f t="shared" ca="1" si="3"/>
        <v>7251476.8371827444</v>
      </c>
    </row>
    <row r="17" spans="1:17" x14ac:dyDescent="0.25">
      <c r="A17" s="3">
        <f>'Monthly Data'!A17</f>
        <v>42461</v>
      </c>
      <c r="B17" s="1">
        <f t="shared" si="0"/>
        <v>2016</v>
      </c>
      <c r="C17" s="1">
        <f t="shared" si="1"/>
        <v>4</v>
      </c>
      <c r="D17" s="268">
        <f>'Monthly Data'!S17</f>
        <v>7163584.4082842655</v>
      </c>
      <c r="E17" s="268">
        <f t="shared" ca="1" si="4"/>
        <v>0.4316666666666677</v>
      </c>
      <c r="F17" s="268">
        <f>'Monthly Data'!BE17</f>
        <v>0</v>
      </c>
      <c r="G17" s="278">
        <f>'Monthly Data'!CG17</f>
        <v>0</v>
      </c>
      <c r="H17" s="278">
        <f>'Monthly Data'!AQ17</f>
        <v>205.8</v>
      </c>
      <c r="I17" s="278">
        <f>'Monthly Data'!CD17</f>
        <v>30</v>
      </c>
      <c r="K17" s="18"/>
      <c r="L17" s="18">
        <f ca="1">(E17-F17)*'GS 1k-4,999 Predicted Monthly'!$T$11</f>
        <v>3861.1407505717921</v>
      </c>
      <c r="M17" s="18"/>
      <c r="N17" s="18"/>
      <c r="O17" s="18"/>
      <c r="P17" s="18">
        <f t="shared" ca="1" si="3"/>
        <v>7167445.5490348376</v>
      </c>
    </row>
    <row r="18" spans="1:17" x14ac:dyDescent="0.25">
      <c r="A18" s="3">
        <f>'Monthly Data'!A18</f>
        <v>42491</v>
      </c>
      <c r="B18" s="1">
        <f t="shared" si="0"/>
        <v>2016</v>
      </c>
      <c r="C18" s="1">
        <f t="shared" si="1"/>
        <v>5</v>
      </c>
      <c r="D18" s="268">
        <f>'Monthly Data'!S18</f>
        <v>7587662.1759159202</v>
      </c>
      <c r="E18" s="268">
        <f t="shared" ca="1" si="4"/>
        <v>29.4520183982684</v>
      </c>
      <c r="F18" s="268">
        <f>'Monthly Data'!BE18</f>
        <v>40.95416666666668</v>
      </c>
      <c r="G18" s="278">
        <f>'Monthly Data'!CG18</f>
        <v>0</v>
      </c>
      <c r="H18" s="278">
        <f>'Monthly Data'!AQ18</f>
        <v>206.1</v>
      </c>
      <c r="I18" s="278">
        <f>'Monthly Data'!CD18</f>
        <v>31</v>
      </c>
      <c r="K18" s="18"/>
      <c r="L18" s="18">
        <f ca="1">(E18-F18)*'GS 1k-4,999 Predicted Monthly'!$T$11</f>
        <v>-102883.58316192572</v>
      </c>
      <c r="M18" s="18"/>
      <c r="N18" s="18"/>
      <c r="O18" s="18"/>
      <c r="P18" s="18">
        <f t="shared" ca="1" si="3"/>
        <v>7484778.5927539943</v>
      </c>
    </row>
    <row r="19" spans="1:17" x14ac:dyDescent="0.25">
      <c r="A19" s="3">
        <f>'Monthly Data'!A19</f>
        <v>42522</v>
      </c>
      <c r="B19" s="1">
        <f t="shared" si="0"/>
        <v>2016</v>
      </c>
      <c r="C19" s="1">
        <f t="shared" si="1"/>
        <v>6</v>
      </c>
      <c r="D19" s="268">
        <f>'Monthly Data'!S19</f>
        <v>8266801.9215084706</v>
      </c>
      <c r="E19" s="268">
        <f t="shared" ca="1" si="4"/>
        <v>86.311049595332207</v>
      </c>
      <c r="F19" s="268">
        <f>'Monthly Data'!BE19</f>
        <v>97.33750000000002</v>
      </c>
      <c r="G19" s="278">
        <f>'Monthly Data'!CG19</f>
        <v>0</v>
      </c>
      <c r="H19" s="278">
        <f>'Monthly Data'!AQ19</f>
        <v>204.7</v>
      </c>
      <c r="I19" s="278">
        <f>'Monthly Data'!CD19</f>
        <v>30</v>
      </c>
      <c r="K19" s="18"/>
      <c r="L19" s="18">
        <f ca="1">(E19-F19)*'GS 1k-4,999 Predicted Monthly'!$T$11</f>
        <v>-98628.595347385984</v>
      </c>
      <c r="M19" s="18"/>
      <c r="N19" s="18"/>
      <c r="O19" s="18"/>
      <c r="P19" s="18">
        <f t="shared" ca="1" si="3"/>
        <v>8168173.3261610847</v>
      </c>
      <c r="Q19" s="288"/>
    </row>
    <row r="20" spans="1:17" x14ac:dyDescent="0.25">
      <c r="A20" s="3">
        <f>'Monthly Data'!A20</f>
        <v>42552</v>
      </c>
      <c r="B20" s="1">
        <f t="shared" si="0"/>
        <v>2016</v>
      </c>
      <c r="C20" s="1">
        <f t="shared" si="1"/>
        <v>7</v>
      </c>
      <c r="D20" s="268">
        <f>'Monthly Data'!S20</f>
        <v>9257660.4062251002</v>
      </c>
      <c r="E20" s="268">
        <f t="shared" ca="1" si="4"/>
        <v>174.0219619206118</v>
      </c>
      <c r="F20" s="268">
        <f>'Monthly Data'!BE20</f>
        <v>189.22916666666666</v>
      </c>
      <c r="G20" s="278">
        <f>'Monthly Data'!CG20</f>
        <v>0</v>
      </c>
      <c r="H20" s="278">
        <f>'Monthly Data'!AQ20</f>
        <v>206.5</v>
      </c>
      <c r="I20" s="278">
        <f>'Monthly Data'!CD20</f>
        <v>31</v>
      </c>
      <c r="K20" s="18"/>
      <c r="L20" s="18">
        <f ca="1">(E20-F20)*'GS 1k-4,999 Predicted Monthly'!$T$11</f>
        <v>-136024.30412497534</v>
      </c>
      <c r="M20" s="18"/>
      <c r="N20" s="18"/>
      <c r="O20" s="18"/>
      <c r="P20" s="18">
        <f t="shared" ca="1" si="3"/>
        <v>9121636.1021001246</v>
      </c>
    </row>
    <row r="21" spans="1:17" x14ac:dyDescent="0.25">
      <c r="A21" s="3">
        <f>'Monthly Data'!A21</f>
        <v>42583</v>
      </c>
      <c r="B21" s="1">
        <f t="shared" si="0"/>
        <v>2016</v>
      </c>
      <c r="C21" s="1">
        <f t="shared" si="1"/>
        <v>8</v>
      </c>
      <c r="D21" s="268">
        <f>'Monthly Data'!S21</f>
        <v>9581497.8125995416</v>
      </c>
      <c r="E21" s="268">
        <f t="shared" ca="1" si="4"/>
        <v>149.7160046113307</v>
      </c>
      <c r="F21" s="268">
        <f>'Monthly Data'!BE21</f>
        <v>204.02500000000006</v>
      </c>
      <c r="G21" s="278">
        <f>'Monthly Data'!CG21</f>
        <v>0</v>
      </c>
      <c r="H21" s="278">
        <f>'Monthly Data'!AQ21</f>
        <v>209.3</v>
      </c>
      <c r="I21" s="278">
        <f>'Monthly Data'!CD21</f>
        <v>31</v>
      </c>
      <c r="K21" s="18"/>
      <c r="L21" s="18">
        <f ca="1">(E21-F21)*'GS 1k-4,999 Predicted Monthly'!$T$11</f>
        <v>-485779.17038874049</v>
      </c>
      <c r="M21" s="18"/>
      <c r="N21" s="18"/>
      <c r="O21" s="18"/>
      <c r="P21" s="18">
        <f t="shared" ca="1" si="3"/>
        <v>9095718.6422108002</v>
      </c>
    </row>
    <row r="22" spans="1:17" x14ac:dyDescent="0.25">
      <c r="A22" s="3">
        <f>'Monthly Data'!A22</f>
        <v>42614</v>
      </c>
      <c r="B22" s="1">
        <f t="shared" si="0"/>
        <v>2016</v>
      </c>
      <c r="C22" s="1">
        <f t="shared" si="1"/>
        <v>9</v>
      </c>
      <c r="D22" s="268">
        <f>'Monthly Data'!S22</f>
        <v>8742623.7867525965</v>
      </c>
      <c r="E22" s="268">
        <f t="shared" ca="1" si="4"/>
        <v>62.345178571428576</v>
      </c>
      <c r="F22" s="268">
        <f>'Monthly Data'!BE22</f>
        <v>71.529166666666654</v>
      </c>
      <c r="G22" s="278">
        <f>'Monthly Data'!CG22</f>
        <v>0</v>
      </c>
      <c r="H22" s="278">
        <f>'Monthly Data'!AQ22</f>
        <v>213.5</v>
      </c>
      <c r="I22" s="278">
        <f>'Monthly Data'!CD22</f>
        <v>30</v>
      </c>
      <c r="K22" s="18"/>
      <c r="L22" s="18">
        <f ca="1">(E22-F22)*'GS 1k-4,999 Predicted Monthly'!$T$11</f>
        <v>-82148.271862447582</v>
      </c>
      <c r="M22" s="18"/>
      <c r="N22" s="18"/>
      <c r="O22" s="18"/>
      <c r="P22" s="18">
        <f t="shared" ca="1" si="3"/>
        <v>8660475.5148901492</v>
      </c>
    </row>
    <row r="23" spans="1:17" x14ac:dyDescent="0.25">
      <c r="A23" s="3">
        <f>'Monthly Data'!A23</f>
        <v>42644</v>
      </c>
      <c r="B23" s="1">
        <f t="shared" si="0"/>
        <v>2016</v>
      </c>
      <c r="C23" s="1">
        <f t="shared" si="1"/>
        <v>10</v>
      </c>
      <c r="D23" s="268">
        <f>'Monthly Data'!S23</f>
        <v>7674378.604801679</v>
      </c>
      <c r="E23" s="268">
        <f t="shared" ca="1" si="4"/>
        <v>7.1541666666666703</v>
      </c>
      <c r="F23" s="268">
        <f>'Monthly Data'!BE23</f>
        <v>7.2541666666666735</v>
      </c>
      <c r="G23" s="278">
        <f>'Monthly Data'!CG23</f>
        <v>0</v>
      </c>
      <c r="H23" s="278">
        <f>'Monthly Data'!AQ23</f>
        <v>214.3</v>
      </c>
      <c r="I23" s="278">
        <f>'Monthly Data'!CD23</f>
        <v>31</v>
      </c>
      <c r="K23" s="18"/>
      <c r="L23" s="18">
        <f ca="1">(E23-F23)*'GS 1k-4,999 Predicted Monthly'!$T$11</f>
        <v>-894.47276075024865</v>
      </c>
      <c r="M23" s="18"/>
      <c r="N23" s="18"/>
      <c r="O23" s="18"/>
      <c r="P23" s="18">
        <f t="shared" ca="1" si="3"/>
        <v>7673484.132040929</v>
      </c>
    </row>
    <row r="24" spans="1:17" x14ac:dyDescent="0.25">
      <c r="A24" s="3">
        <f>'Monthly Data'!A24</f>
        <v>42675</v>
      </c>
      <c r="B24" s="1">
        <f t="shared" si="0"/>
        <v>2016</v>
      </c>
      <c r="C24" s="1">
        <f t="shared" si="1"/>
        <v>11</v>
      </c>
      <c r="D24" s="268">
        <f>'Monthly Data'!S24</f>
        <v>7232382.6811063746</v>
      </c>
      <c r="E24" s="268">
        <f t="shared" ca="1" si="4"/>
        <v>0.15041666666666628</v>
      </c>
      <c r="F24" s="268">
        <f>'Monthly Data'!BE24</f>
        <v>0</v>
      </c>
      <c r="G24" s="278">
        <f>'Monthly Data'!CG24</f>
        <v>0</v>
      </c>
      <c r="H24" s="278">
        <f>'Monthly Data'!AQ24</f>
        <v>215.1</v>
      </c>
      <c r="I24" s="278">
        <f>'Monthly Data'!CD24</f>
        <v>30</v>
      </c>
      <c r="K24" s="18"/>
      <c r="L24" s="18">
        <f ca="1">(E24-F24)*'GS 1k-4,999 Predicted Monthly'!$T$11</f>
        <v>1345.4361109617857</v>
      </c>
      <c r="M24" s="18"/>
      <c r="N24" s="18"/>
      <c r="O24" s="18"/>
      <c r="P24" s="18">
        <f t="shared" ca="1" si="3"/>
        <v>7233728.1172173368</v>
      </c>
    </row>
    <row r="25" spans="1:17" x14ac:dyDescent="0.25">
      <c r="A25" s="3">
        <f>'Monthly Data'!A25</f>
        <v>42705</v>
      </c>
      <c r="B25" s="1">
        <f t="shared" si="0"/>
        <v>2016</v>
      </c>
      <c r="C25" s="1">
        <f t="shared" si="1"/>
        <v>12</v>
      </c>
      <c r="D25" s="268">
        <f>'Monthly Data'!S25</f>
        <v>7259200.5747319283</v>
      </c>
      <c r="E25" s="268">
        <f t="shared" ca="1" si="4"/>
        <v>0</v>
      </c>
      <c r="F25" s="268">
        <f>'Monthly Data'!BE25</f>
        <v>0</v>
      </c>
      <c r="G25" s="278">
        <f>'Monthly Data'!CG25</f>
        <v>0</v>
      </c>
      <c r="H25" s="278">
        <f>'Monthly Data'!AQ25</f>
        <v>215.7</v>
      </c>
      <c r="I25" s="278">
        <f>'Monthly Data'!CD25</f>
        <v>31</v>
      </c>
      <c r="K25" s="18"/>
      <c r="L25" s="18">
        <f ca="1">(E25-F25)*'GS 1k-4,999 Predicted Monthly'!$T$11</f>
        <v>0</v>
      </c>
      <c r="M25" s="18"/>
      <c r="N25" s="18"/>
      <c r="O25" s="18"/>
      <c r="P25" s="18">
        <f t="shared" ca="1" si="3"/>
        <v>7259200.5747319283</v>
      </c>
    </row>
    <row r="26" spans="1:17" x14ac:dyDescent="0.25">
      <c r="A26" s="3">
        <f>'Monthly Data'!A26</f>
        <v>42736</v>
      </c>
      <c r="B26" s="1">
        <f t="shared" si="0"/>
        <v>2017</v>
      </c>
      <c r="C26" s="1">
        <f t="shared" si="1"/>
        <v>1</v>
      </c>
      <c r="D26" s="268">
        <f>'Monthly Data'!S26</f>
        <v>7748576.2980715707</v>
      </c>
      <c r="E26" s="268">
        <f t="shared" si="4"/>
        <v>0</v>
      </c>
      <c r="F26" s="268">
        <f>'Monthly Data'!BE26</f>
        <v>0</v>
      </c>
      <c r="G26" s="278">
        <f>'Monthly Data'!CG26</f>
        <v>0</v>
      </c>
      <c r="H26" s="278">
        <f>'Monthly Data'!AQ26</f>
        <v>215.5</v>
      </c>
      <c r="I26" s="278">
        <f>'Monthly Data'!CD26</f>
        <v>31</v>
      </c>
      <c r="K26" s="18"/>
      <c r="L26" s="18">
        <f>(E26-F26)*'GS 1k-4,999 Predicted Monthly'!$T$11</f>
        <v>0</v>
      </c>
      <c r="M26" s="18"/>
      <c r="N26" s="18"/>
      <c r="O26" s="18"/>
      <c r="P26" s="18">
        <f t="shared" si="3"/>
        <v>7748576.2980715707</v>
      </c>
    </row>
    <row r="27" spans="1:17" x14ac:dyDescent="0.25">
      <c r="A27" s="3">
        <f>'Monthly Data'!A27</f>
        <v>42767</v>
      </c>
      <c r="B27" s="1">
        <f t="shared" si="0"/>
        <v>2017</v>
      </c>
      <c r="C27" s="1">
        <f t="shared" si="1"/>
        <v>2</v>
      </c>
      <c r="D27" s="268">
        <f>'Monthly Data'!S27</f>
        <v>7030359.4291701298</v>
      </c>
      <c r="E27" s="268">
        <f t="shared" ca="1" si="4"/>
        <v>0</v>
      </c>
      <c r="F27" s="268">
        <f>'Monthly Data'!BE27</f>
        <v>0</v>
      </c>
      <c r="G27" s="278">
        <f>'Monthly Data'!CG27</f>
        <v>0</v>
      </c>
      <c r="H27" s="278">
        <f>'Monthly Data'!AQ27</f>
        <v>209.8</v>
      </c>
      <c r="I27" s="278">
        <f>'Monthly Data'!CD27</f>
        <v>28</v>
      </c>
      <c r="K27" s="18"/>
      <c r="L27" s="18">
        <f ca="1">(E27-F27)*'GS 1k-4,999 Predicted Monthly'!$T$11</f>
        <v>0</v>
      </c>
      <c r="M27" s="18"/>
      <c r="N27" s="18"/>
      <c r="O27" s="18"/>
      <c r="P27" s="18">
        <f t="shared" ca="1" si="3"/>
        <v>7030359.4291701298</v>
      </c>
    </row>
    <row r="28" spans="1:17" x14ac:dyDescent="0.25">
      <c r="A28" s="3">
        <f>'Monthly Data'!A28</f>
        <v>42795</v>
      </c>
      <c r="B28" s="1">
        <f t="shared" si="0"/>
        <v>2017</v>
      </c>
      <c r="C28" s="1">
        <f t="shared" si="1"/>
        <v>3</v>
      </c>
      <c r="D28" s="268">
        <f>'Monthly Data'!S28</f>
        <v>7867386.6453418816</v>
      </c>
      <c r="E28" s="268">
        <f t="shared" ca="1" si="4"/>
        <v>0</v>
      </c>
      <c r="F28" s="268">
        <f>'Monthly Data'!BE28</f>
        <v>0</v>
      </c>
      <c r="G28" s="278">
        <f>'Monthly Data'!CG28</f>
        <v>0</v>
      </c>
      <c r="H28" s="278">
        <f>'Monthly Data'!AQ28</f>
        <v>203.2</v>
      </c>
      <c r="I28" s="278">
        <f>'Monthly Data'!CD28</f>
        <v>31</v>
      </c>
      <c r="K28" s="18"/>
      <c r="L28" s="18">
        <f ca="1">(E28-F28)*'GS 1k-4,999 Predicted Monthly'!$T$11</f>
        <v>0</v>
      </c>
      <c r="M28" s="18"/>
      <c r="N28" s="18"/>
      <c r="O28" s="18"/>
      <c r="P28" s="18">
        <f t="shared" ca="1" si="3"/>
        <v>7867386.6453418816</v>
      </c>
    </row>
    <row r="29" spans="1:17" x14ac:dyDescent="0.25">
      <c r="A29" s="3">
        <f>'Monthly Data'!A29</f>
        <v>42826</v>
      </c>
      <c r="B29" s="1">
        <f t="shared" si="0"/>
        <v>2017</v>
      </c>
      <c r="C29" s="1">
        <f t="shared" si="1"/>
        <v>4</v>
      </c>
      <c r="D29" s="268">
        <f>'Monthly Data'!S29</f>
        <v>7658302.3379697306</v>
      </c>
      <c r="E29" s="268">
        <f t="shared" ca="1" si="4"/>
        <v>0.4316666666666677</v>
      </c>
      <c r="F29" s="268">
        <f>'Monthly Data'!BE29</f>
        <v>2.3458333333333385</v>
      </c>
      <c r="G29" s="278">
        <f>'Monthly Data'!CG29</f>
        <v>0</v>
      </c>
      <c r="H29" s="278">
        <f>'Monthly Data'!AQ29</f>
        <v>200</v>
      </c>
      <c r="I29" s="278">
        <f>'Monthly Data'!CD29</f>
        <v>30</v>
      </c>
      <c r="K29" s="18"/>
      <c r="L29" s="18">
        <f ca="1">(E29-F29)*'GS 1k-4,999 Predicted Monthly'!$T$11</f>
        <v>-17121.699428693832</v>
      </c>
      <c r="M29" s="18"/>
      <c r="N29" s="18"/>
      <c r="O29" s="18"/>
      <c r="P29" s="18">
        <f t="shared" ca="1" si="3"/>
        <v>7641180.6385410372</v>
      </c>
    </row>
    <row r="30" spans="1:17" x14ac:dyDescent="0.25">
      <c r="A30" s="3">
        <f>'Monthly Data'!A30</f>
        <v>42856</v>
      </c>
      <c r="B30" s="1">
        <f t="shared" si="0"/>
        <v>2017</v>
      </c>
      <c r="C30" s="1">
        <f t="shared" si="1"/>
        <v>5</v>
      </c>
      <c r="D30" s="268">
        <f>'Monthly Data'!S30</f>
        <v>7506438.3334006667</v>
      </c>
      <c r="E30" s="268">
        <f t="shared" ca="1" si="4"/>
        <v>29.4520183982684</v>
      </c>
      <c r="F30" s="268">
        <f>'Monthly Data'!BE30</f>
        <v>13.075000000000003</v>
      </c>
      <c r="G30" s="278">
        <f>'Monthly Data'!CG30</f>
        <v>0</v>
      </c>
      <c r="H30" s="278">
        <f>'Monthly Data'!AQ30</f>
        <v>202.9</v>
      </c>
      <c r="I30" s="278">
        <f>'Monthly Data'!CD30</f>
        <v>31</v>
      </c>
      <c r="K30" s="18"/>
      <c r="L30" s="18">
        <f ca="1">(E30-F30)*'GS 1k-4,999 Predicted Monthly'!$T$11</f>
        <v>146487.96859556279</v>
      </c>
      <c r="M30" s="18"/>
      <c r="N30" s="18"/>
      <c r="O30" s="18"/>
      <c r="P30" s="18">
        <f t="shared" ca="1" si="3"/>
        <v>7652926.3019962292</v>
      </c>
    </row>
    <row r="31" spans="1:17" x14ac:dyDescent="0.25">
      <c r="A31" s="3">
        <f>'Monthly Data'!A31</f>
        <v>42887</v>
      </c>
      <c r="B31" s="1">
        <f t="shared" si="0"/>
        <v>2017</v>
      </c>
      <c r="C31" s="1">
        <f t="shared" si="1"/>
        <v>6</v>
      </c>
      <c r="D31" s="268">
        <f>'Monthly Data'!S31</f>
        <v>8030339.2459057812</v>
      </c>
      <c r="E31" s="268">
        <f t="shared" ca="1" si="4"/>
        <v>86.311049595332207</v>
      </c>
      <c r="F31" s="268">
        <f>'Monthly Data'!BE31</f>
        <v>68.909166666666678</v>
      </c>
      <c r="G31" s="278">
        <f>'Monthly Data'!CG31</f>
        <v>0</v>
      </c>
      <c r="H31" s="278">
        <f>'Monthly Data'!AQ31</f>
        <v>206.7</v>
      </c>
      <c r="I31" s="278">
        <f>'Monthly Data'!CD31</f>
        <v>30</v>
      </c>
      <c r="K31" s="18"/>
      <c r="L31" s="18">
        <f ca="1">(E31-F31)*'GS 1k-4,999 Predicted Monthly'!$T$11</f>
        <v>155655.10265455578</v>
      </c>
      <c r="M31" s="18"/>
      <c r="N31" s="18"/>
      <c r="O31" s="18"/>
      <c r="P31" s="18">
        <f t="shared" ca="1" si="3"/>
        <v>8185994.348560337</v>
      </c>
    </row>
    <row r="32" spans="1:17" x14ac:dyDescent="0.25">
      <c r="A32" s="3">
        <f>'Monthly Data'!A32</f>
        <v>42917</v>
      </c>
      <c r="B32" s="1">
        <f t="shared" si="0"/>
        <v>2017</v>
      </c>
      <c r="C32" s="1">
        <f t="shared" si="1"/>
        <v>7</v>
      </c>
      <c r="D32" s="268">
        <f>'Monthly Data'!S32</f>
        <v>8822626.0175652429</v>
      </c>
      <c r="E32" s="268">
        <f t="shared" ca="1" si="4"/>
        <v>174.0219619206118</v>
      </c>
      <c r="F32" s="268">
        <f>'Monthly Data'!BE32</f>
        <v>136.16666666666663</v>
      </c>
      <c r="G32" s="278">
        <f>'Monthly Data'!CG32</f>
        <v>0</v>
      </c>
      <c r="H32" s="278">
        <f>'Monthly Data'!AQ32</f>
        <v>207</v>
      </c>
      <c r="I32" s="278">
        <f>'Monthly Data'!CD32</f>
        <v>31</v>
      </c>
      <c r="K32" s="18"/>
      <c r="L32" s="18">
        <f ca="1">(E32-F32)*'GS 1k-4,999 Predicted Monthly'!$T$11</f>
        <v>338605.30454811041</v>
      </c>
      <c r="M32" s="18"/>
      <c r="N32" s="18"/>
      <c r="O32" s="18"/>
      <c r="P32" s="18">
        <f t="shared" ca="1" si="3"/>
        <v>9161231.3221133538</v>
      </c>
    </row>
    <row r="33" spans="1:16" x14ac:dyDescent="0.25">
      <c r="A33" s="3">
        <f>'Monthly Data'!A33</f>
        <v>42948</v>
      </c>
      <c r="B33" s="1">
        <f t="shared" si="0"/>
        <v>2017</v>
      </c>
      <c r="C33" s="1">
        <f t="shared" si="1"/>
        <v>8</v>
      </c>
      <c r="D33" s="268">
        <f>'Monthly Data'!S33</f>
        <v>9105942.2354655229</v>
      </c>
      <c r="E33" s="268">
        <f t="shared" ca="1" si="4"/>
        <v>149.7160046113307</v>
      </c>
      <c r="F33" s="268">
        <f>'Monthly Data'!BE33</f>
        <v>97.06576086956521</v>
      </c>
      <c r="G33" s="278">
        <f>'Monthly Data'!CG33</f>
        <v>0</v>
      </c>
      <c r="H33" s="278">
        <f>'Monthly Data'!AQ33</f>
        <v>208.1</v>
      </c>
      <c r="I33" s="278">
        <f>'Monthly Data'!CD33</f>
        <v>31</v>
      </c>
      <c r="K33" s="18"/>
      <c r="L33" s="18">
        <f ca="1">(E33-F33)*'GS 1k-4,999 Predicted Monthly'!$T$11</f>
        <v>470942.08873868972</v>
      </c>
      <c r="M33" s="18"/>
      <c r="N33" s="18"/>
      <c r="O33" s="18"/>
      <c r="P33" s="18">
        <f t="shared" ca="1" si="3"/>
        <v>9576884.3242042121</v>
      </c>
    </row>
    <row r="34" spans="1:16" x14ac:dyDescent="0.25">
      <c r="A34" s="3">
        <f>'Monthly Data'!A34</f>
        <v>42979</v>
      </c>
      <c r="B34" s="1">
        <f t="shared" si="0"/>
        <v>2017</v>
      </c>
      <c r="C34" s="1">
        <f t="shared" si="1"/>
        <v>9</v>
      </c>
      <c r="D34" s="268">
        <f>'Monthly Data'!S34</f>
        <v>7578589.9761335328</v>
      </c>
      <c r="E34" s="268">
        <f t="shared" ca="1" si="4"/>
        <v>62.345178571428576</v>
      </c>
      <c r="F34" s="268">
        <f>'Monthly Data'!BE34</f>
        <v>73.237499999999983</v>
      </c>
      <c r="G34" s="278">
        <f>'Monthly Data'!CG34</f>
        <v>0</v>
      </c>
      <c r="H34" s="278">
        <f>'Monthly Data'!AQ34</f>
        <v>208.1</v>
      </c>
      <c r="I34" s="278">
        <f>'Monthly Data'!CD34</f>
        <v>30</v>
      </c>
      <c r="K34" s="18"/>
      <c r="L34" s="18">
        <f ca="1">(E34-F34)*'GS 1k-4,999 Predicted Monthly'!$T$11</f>
        <v>-97428.848191930461</v>
      </c>
      <c r="M34" s="18"/>
      <c r="N34" s="18"/>
      <c r="O34" s="18"/>
      <c r="P34" s="18">
        <f t="shared" ca="1" si="3"/>
        <v>7481161.1279416019</v>
      </c>
    </row>
    <row r="35" spans="1:16" x14ac:dyDescent="0.25">
      <c r="A35" s="3">
        <f>'Monthly Data'!A35</f>
        <v>43009</v>
      </c>
      <c r="B35" s="1">
        <f t="shared" si="0"/>
        <v>2017</v>
      </c>
      <c r="C35" s="1">
        <f t="shared" si="1"/>
        <v>10</v>
      </c>
      <c r="D35" s="268">
        <f>'Monthly Data'!S35</f>
        <v>7201241.0247569699</v>
      </c>
      <c r="E35" s="268">
        <f t="shared" ca="1" si="4"/>
        <v>7.1541666666666703</v>
      </c>
      <c r="F35" s="268">
        <f>'Monthly Data'!BE35</f>
        <v>10.279166666666672</v>
      </c>
      <c r="G35" s="278">
        <f>'Monthly Data'!CG35</f>
        <v>0</v>
      </c>
      <c r="H35" s="278">
        <f>'Monthly Data'!AQ35</f>
        <v>209.9</v>
      </c>
      <c r="I35" s="278">
        <f>'Monthly Data'!CD35</f>
        <v>31</v>
      </c>
      <c r="K35" s="18"/>
      <c r="L35" s="18">
        <f ca="1">(E35-F35)*'GS 1k-4,999 Predicted Monthly'!$T$11</f>
        <v>-27952.273773444391</v>
      </c>
      <c r="M35" s="18"/>
      <c r="N35" s="18"/>
      <c r="O35" s="18"/>
      <c r="P35" s="18">
        <f t="shared" ca="1" si="3"/>
        <v>7173288.7509835251</v>
      </c>
    </row>
    <row r="36" spans="1:16" x14ac:dyDescent="0.25">
      <c r="A36" s="3">
        <f>'Monthly Data'!A36</f>
        <v>43040</v>
      </c>
      <c r="B36" s="1">
        <f t="shared" si="0"/>
        <v>2017</v>
      </c>
      <c r="C36" s="1">
        <f t="shared" si="1"/>
        <v>11</v>
      </c>
      <c r="D36" s="268">
        <f>'Monthly Data'!S36</f>
        <v>7272686.6406943528</v>
      </c>
      <c r="E36" s="268">
        <f t="shared" ca="1" si="4"/>
        <v>0.15041666666666628</v>
      </c>
      <c r="F36" s="268">
        <f>'Monthly Data'!BE36</f>
        <v>0</v>
      </c>
      <c r="G36" s="278">
        <f>'Monthly Data'!CG36</f>
        <v>0</v>
      </c>
      <c r="H36" s="278">
        <f>'Monthly Data'!AQ36</f>
        <v>209</v>
      </c>
      <c r="I36" s="278">
        <f>'Monthly Data'!CD36</f>
        <v>30</v>
      </c>
      <c r="K36" s="18"/>
      <c r="L36" s="18">
        <f ca="1">(E36-F36)*'GS 1k-4,999 Predicted Monthly'!$T$11</f>
        <v>1345.4361109617857</v>
      </c>
      <c r="M36" s="18"/>
      <c r="N36" s="18"/>
      <c r="O36" s="18"/>
      <c r="P36" s="18">
        <f t="shared" ca="1" si="3"/>
        <v>7274032.076805315</v>
      </c>
    </row>
    <row r="37" spans="1:16" x14ac:dyDescent="0.25">
      <c r="A37" s="3">
        <f>'Monthly Data'!A37</f>
        <v>43070</v>
      </c>
      <c r="B37" s="1">
        <f t="shared" si="0"/>
        <v>2017</v>
      </c>
      <c r="C37" s="1">
        <f t="shared" si="1"/>
        <v>12</v>
      </c>
      <c r="D37" s="268">
        <f>'Monthly Data'!S37</f>
        <v>6901002.2880553724</v>
      </c>
      <c r="E37" s="268">
        <f t="shared" ca="1" si="4"/>
        <v>0</v>
      </c>
      <c r="F37" s="268">
        <f>'Monthly Data'!BE37</f>
        <v>0</v>
      </c>
      <c r="G37" s="278">
        <f>'Monthly Data'!CG37</f>
        <v>0</v>
      </c>
      <c r="H37" s="278">
        <f>'Monthly Data'!AQ37</f>
        <v>208</v>
      </c>
      <c r="I37" s="278">
        <f>'Monthly Data'!CD37</f>
        <v>31</v>
      </c>
      <c r="K37" s="18"/>
      <c r="L37" s="18">
        <f ca="1">(E37-F37)*'GS 1k-4,999 Predicted Monthly'!$T$11</f>
        <v>0</v>
      </c>
      <c r="M37" s="18"/>
      <c r="N37" s="18"/>
      <c r="O37" s="18"/>
      <c r="P37" s="18">
        <f t="shared" ca="1" si="3"/>
        <v>6901002.2880553724</v>
      </c>
    </row>
    <row r="38" spans="1:16" x14ac:dyDescent="0.25">
      <c r="A38" s="3">
        <f>'Monthly Data'!A38</f>
        <v>43101</v>
      </c>
      <c r="B38" s="1">
        <f t="shared" si="0"/>
        <v>2018</v>
      </c>
      <c r="C38" s="1">
        <f t="shared" si="1"/>
        <v>1</v>
      </c>
      <c r="D38" s="268">
        <f>'Monthly Data'!S38</f>
        <v>7124030.899678275</v>
      </c>
      <c r="E38" s="268">
        <f t="shared" si="4"/>
        <v>0</v>
      </c>
      <c r="F38" s="268">
        <f>'Monthly Data'!BE38</f>
        <v>0</v>
      </c>
      <c r="G38" s="278">
        <f>'Monthly Data'!CG38</f>
        <v>0</v>
      </c>
      <c r="H38" s="278">
        <f>'Monthly Data'!AQ38</f>
        <v>206.9</v>
      </c>
      <c r="I38" s="278">
        <f>'Monthly Data'!CD38</f>
        <v>31</v>
      </c>
      <c r="K38" s="18"/>
      <c r="L38" s="18">
        <f>(E38-F38)*'GS 1k-4,999 Predicted Monthly'!$T$11</f>
        <v>0</v>
      </c>
      <c r="M38" s="18"/>
      <c r="N38" s="18"/>
      <c r="O38" s="18"/>
      <c r="P38" s="18">
        <f t="shared" si="3"/>
        <v>7124030.899678275</v>
      </c>
    </row>
    <row r="39" spans="1:16" x14ac:dyDescent="0.25">
      <c r="A39" s="3">
        <f>'Monthly Data'!A39</f>
        <v>43132</v>
      </c>
      <c r="B39" s="1">
        <f t="shared" si="0"/>
        <v>2018</v>
      </c>
      <c r="C39" s="1">
        <f t="shared" si="1"/>
        <v>2</v>
      </c>
      <c r="D39" s="268">
        <f>'Monthly Data'!S39</f>
        <v>6399514.7034799419</v>
      </c>
      <c r="E39" s="268">
        <f t="shared" ca="1" si="4"/>
        <v>0</v>
      </c>
      <c r="F39" s="268">
        <f>'Monthly Data'!BE39</f>
        <v>0</v>
      </c>
      <c r="G39" s="278">
        <f>'Monthly Data'!CG39</f>
        <v>0</v>
      </c>
      <c r="H39" s="278">
        <f>'Monthly Data'!AQ39</f>
        <v>207.4</v>
      </c>
      <c r="I39" s="278">
        <f>'Monthly Data'!CD39</f>
        <v>28</v>
      </c>
      <c r="K39" s="18"/>
      <c r="L39" s="18">
        <f ca="1">(E39-F39)*'GS 1k-4,999 Predicted Monthly'!$T$11</f>
        <v>0</v>
      </c>
      <c r="M39" s="18"/>
      <c r="N39" s="18"/>
      <c r="O39" s="18"/>
      <c r="P39" s="18">
        <f t="shared" ca="1" si="3"/>
        <v>6399514.7034799419</v>
      </c>
    </row>
    <row r="40" spans="1:16" x14ac:dyDescent="0.25">
      <c r="A40" s="3">
        <f>'Monthly Data'!A40</f>
        <v>43160</v>
      </c>
      <c r="B40" s="1">
        <f t="shared" si="0"/>
        <v>2018</v>
      </c>
      <c r="C40" s="1">
        <f t="shared" si="1"/>
        <v>3</v>
      </c>
      <c r="D40" s="268">
        <f>'Monthly Data'!S40</f>
        <v>6880257.4649304906</v>
      </c>
      <c r="E40" s="268">
        <f t="shared" ca="1" si="4"/>
        <v>0</v>
      </c>
      <c r="F40" s="268">
        <f>'Monthly Data'!BE40</f>
        <v>0</v>
      </c>
      <c r="G40" s="278">
        <f>'Monthly Data'!CG40</f>
        <v>0</v>
      </c>
      <c r="H40" s="278">
        <f>'Monthly Data'!AQ40</f>
        <v>210.4</v>
      </c>
      <c r="I40" s="278">
        <f>'Monthly Data'!CD40</f>
        <v>31</v>
      </c>
      <c r="K40" s="18"/>
      <c r="L40" s="18">
        <f ca="1">(E40-F40)*'GS 1k-4,999 Predicted Monthly'!$T$11</f>
        <v>0</v>
      </c>
      <c r="M40" s="18"/>
      <c r="N40" s="18"/>
      <c r="O40" s="18"/>
      <c r="P40" s="18">
        <f t="shared" ca="1" si="3"/>
        <v>6880257.4649304906</v>
      </c>
    </row>
    <row r="41" spans="1:16" x14ac:dyDescent="0.25">
      <c r="A41" s="3">
        <f>'Monthly Data'!A41</f>
        <v>43191</v>
      </c>
      <c r="B41" s="1">
        <f t="shared" si="0"/>
        <v>2018</v>
      </c>
      <c r="C41" s="1">
        <f t="shared" si="1"/>
        <v>4</v>
      </c>
      <c r="D41" s="268">
        <f>'Monthly Data'!S41</f>
        <v>7045665.0089409975</v>
      </c>
      <c r="E41" s="268">
        <f t="shared" ca="1" si="4"/>
        <v>0.4316666666666677</v>
      </c>
      <c r="F41" s="268">
        <f>'Monthly Data'!BE41</f>
        <v>0</v>
      </c>
      <c r="G41" s="278">
        <f>'Monthly Data'!CG41</f>
        <v>0</v>
      </c>
      <c r="H41" s="278">
        <f>'Monthly Data'!AQ41</f>
        <v>214.5</v>
      </c>
      <c r="I41" s="278">
        <f>'Monthly Data'!CD41</f>
        <v>30</v>
      </c>
      <c r="K41" s="18"/>
      <c r="L41" s="18">
        <f ca="1">(E41-F41)*'GS 1k-4,999 Predicted Monthly'!$T$11</f>
        <v>3861.1407505717921</v>
      </c>
      <c r="M41" s="18"/>
      <c r="N41" s="18"/>
      <c r="O41" s="18"/>
      <c r="P41" s="18">
        <f t="shared" ca="1" si="3"/>
        <v>7049526.1496915696</v>
      </c>
    </row>
    <row r="42" spans="1:16" x14ac:dyDescent="0.25">
      <c r="A42" s="3">
        <f>'Monthly Data'!A42</f>
        <v>43221</v>
      </c>
      <c r="B42" s="1">
        <f t="shared" si="0"/>
        <v>2018</v>
      </c>
      <c r="C42" s="1">
        <f t="shared" si="1"/>
        <v>5</v>
      </c>
      <c r="D42" s="268">
        <f>'Monthly Data'!S42</f>
        <v>7498547.6286311271</v>
      </c>
      <c r="E42" s="268">
        <f t="shared" ca="1" si="4"/>
        <v>29.4520183982684</v>
      </c>
      <c r="F42" s="268">
        <f>'Monthly Data'!BE42</f>
        <v>50.000541125541133</v>
      </c>
      <c r="G42" s="278">
        <f>'Monthly Data'!CG42</f>
        <v>0</v>
      </c>
      <c r="H42" s="278">
        <f>'Monthly Data'!AQ42</f>
        <v>218.3</v>
      </c>
      <c r="I42" s="278">
        <f>'Monthly Data'!CD42</f>
        <v>31</v>
      </c>
      <c r="K42" s="18"/>
      <c r="L42" s="18">
        <f ca="1">(E42-F42)*'GS 1k-4,999 Predicted Monthly'!$T$11</f>
        <v>-183800.93853202282</v>
      </c>
      <c r="M42" s="18"/>
      <c r="N42" s="18"/>
      <c r="O42" s="18"/>
      <c r="P42" s="18">
        <f t="shared" ca="1" si="3"/>
        <v>7314746.6900991043</v>
      </c>
    </row>
    <row r="43" spans="1:16" x14ac:dyDescent="0.25">
      <c r="A43" s="3">
        <f>'Monthly Data'!A43</f>
        <v>43252</v>
      </c>
      <c r="B43" s="1">
        <f t="shared" si="0"/>
        <v>2018</v>
      </c>
      <c r="C43" s="1">
        <f t="shared" si="1"/>
        <v>6</v>
      </c>
      <c r="D43" s="268">
        <f>'Monthly Data'!S43</f>
        <v>7218892.5771825379</v>
      </c>
      <c r="E43" s="268">
        <f t="shared" ca="1" si="4"/>
        <v>86.311049595332207</v>
      </c>
      <c r="F43" s="268">
        <f>'Monthly Data'!BE43</f>
        <v>85.839772727272717</v>
      </c>
      <c r="G43" s="278">
        <f>'Monthly Data'!CG43</f>
        <v>0</v>
      </c>
      <c r="H43" s="278">
        <f>'Monthly Data'!AQ43</f>
        <v>220.4</v>
      </c>
      <c r="I43" s="278">
        <f>'Monthly Data'!CD43</f>
        <v>30</v>
      </c>
      <c r="K43" s="18"/>
      <c r="L43" s="18">
        <f ca="1">(E43-F43)*'GS 1k-4,999 Predicted Monthly'!$T$11</f>
        <v>4215.443212508897</v>
      </c>
      <c r="M43" s="18"/>
      <c r="N43" s="18"/>
      <c r="O43" s="18"/>
      <c r="P43" s="18">
        <f t="shared" ca="1" si="3"/>
        <v>7223108.020395047</v>
      </c>
    </row>
    <row r="44" spans="1:16" x14ac:dyDescent="0.25">
      <c r="A44" s="3">
        <f>'Monthly Data'!A44</f>
        <v>43282</v>
      </c>
      <c r="B44" s="1">
        <f t="shared" si="0"/>
        <v>2018</v>
      </c>
      <c r="C44" s="1">
        <f t="shared" si="1"/>
        <v>7</v>
      </c>
      <c r="D44" s="268">
        <f>'Monthly Data'!S44</f>
        <v>7674844.1264595538</v>
      </c>
      <c r="E44" s="268">
        <f t="shared" ca="1" si="4"/>
        <v>174.0219619206118</v>
      </c>
      <c r="F44" s="268">
        <f>'Monthly Data'!BE44</f>
        <v>194.39861424807077</v>
      </c>
      <c r="G44" s="278">
        <f>'Monthly Data'!CG44</f>
        <v>0</v>
      </c>
      <c r="H44" s="278">
        <f>'Monthly Data'!AQ44</f>
        <v>219.9</v>
      </c>
      <c r="I44" s="278">
        <f>'Monthly Data'!CD44</f>
        <v>31</v>
      </c>
      <c r="K44" s="18"/>
      <c r="L44" s="18">
        <f ca="1">(E44-F44)*'GS 1k-4,999 Predicted Monthly'!$T$11</f>
        <v>-182263.6046218962</v>
      </c>
      <c r="M44" s="18"/>
      <c r="N44" s="18"/>
      <c r="O44" s="18"/>
      <c r="P44" s="18">
        <f t="shared" ca="1" si="3"/>
        <v>7492580.5218376573</v>
      </c>
    </row>
    <row r="45" spans="1:16" x14ac:dyDescent="0.25">
      <c r="A45" s="3">
        <f>'Monthly Data'!A45</f>
        <v>43313</v>
      </c>
      <c r="B45" s="1">
        <f t="shared" si="0"/>
        <v>2018</v>
      </c>
      <c r="C45" s="1">
        <f t="shared" si="1"/>
        <v>8</v>
      </c>
      <c r="D45" s="268">
        <f>'Monthly Data'!S45</f>
        <v>8559341.27840144</v>
      </c>
      <c r="E45" s="268">
        <f t="shared" ca="1" si="4"/>
        <v>149.7160046113307</v>
      </c>
      <c r="F45" s="268">
        <f>'Monthly Data'!BE45</f>
        <v>190.24583333333339</v>
      </c>
      <c r="G45" s="278">
        <f>'Monthly Data'!CG45</f>
        <v>0</v>
      </c>
      <c r="H45" s="278">
        <f>'Monthly Data'!AQ45</f>
        <v>218.3</v>
      </c>
      <c r="I45" s="278">
        <f>'Monthly Data'!CD45</f>
        <v>31</v>
      </c>
      <c r="K45" s="18"/>
      <c r="L45" s="18">
        <f ca="1">(E45-F45)*'GS 1k-4,999 Predicted Monthly'!$T$11</f>
        <v>-362528.27789703308</v>
      </c>
      <c r="M45" s="18"/>
      <c r="N45" s="18"/>
      <c r="O45" s="18"/>
      <c r="P45" s="18">
        <f t="shared" ca="1" si="3"/>
        <v>8196813.0005044071</v>
      </c>
    </row>
    <row r="46" spans="1:16" x14ac:dyDescent="0.25">
      <c r="A46" s="3">
        <f>'Monthly Data'!A46</f>
        <v>43344</v>
      </c>
      <c r="B46" s="1">
        <f t="shared" si="0"/>
        <v>2018</v>
      </c>
      <c r="C46" s="1">
        <f t="shared" si="1"/>
        <v>9</v>
      </c>
      <c r="D46" s="268">
        <f>'Monthly Data'!S46</f>
        <v>7863635.481699842</v>
      </c>
      <c r="E46" s="268">
        <f t="shared" ca="1" si="4"/>
        <v>62.345178571428576</v>
      </c>
      <c r="F46" s="268">
        <f>'Monthly Data'!BE46</f>
        <v>94.645833333333329</v>
      </c>
      <c r="G46" s="278">
        <f>'Monthly Data'!CG46</f>
        <v>0</v>
      </c>
      <c r="H46" s="278">
        <f>'Monthly Data'!AQ46</f>
        <v>216.6</v>
      </c>
      <c r="I46" s="278">
        <f>'Monthly Data'!CD46</f>
        <v>30</v>
      </c>
      <c r="K46" s="18"/>
      <c r="L46" s="18">
        <f ca="1">(E46-F46)*'GS 1k-4,999 Predicted Monthly'!$T$11</f>
        <v>-288920.55838920682</v>
      </c>
      <c r="M46" s="18"/>
      <c r="N46" s="18"/>
      <c r="O46" s="18"/>
      <c r="P46" s="18">
        <f t="shared" ca="1" si="3"/>
        <v>7574714.9233106356</v>
      </c>
    </row>
    <row r="47" spans="1:16" x14ac:dyDescent="0.25">
      <c r="A47" s="3">
        <f>'Monthly Data'!A47</f>
        <v>43374</v>
      </c>
      <c r="B47" s="1">
        <f t="shared" si="0"/>
        <v>2018</v>
      </c>
      <c r="C47" s="1">
        <f t="shared" si="1"/>
        <v>10</v>
      </c>
      <c r="D47" s="268">
        <f>'Monthly Data'!S47</f>
        <v>7239505.6133747967</v>
      </c>
      <c r="E47" s="268">
        <f t="shared" ca="1" si="4"/>
        <v>7.1541666666666703</v>
      </c>
      <c r="F47" s="268">
        <f>'Monthly Data'!BE47</f>
        <v>8.0958333333333314</v>
      </c>
      <c r="G47" s="278">
        <f>'Monthly Data'!CG47</f>
        <v>0</v>
      </c>
      <c r="H47" s="278">
        <f>'Monthly Data'!AQ47</f>
        <v>215.2</v>
      </c>
      <c r="I47" s="278">
        <f>'Monthly Data'!CD47</f>
        <v>31</v>
      </c>
      <c r="K47" s="18"/>
      <c r="L47" s="18">
        <f ca="1">(E47-F47)*'GS 1k-4,999 Predicted Monthly'!$T$11</f>
        <v>-8422.9518303978548</v>
      </c>
      <c r="M47" s="18"/>
      <c r="N47" s="18"/>
      <c r="O47" s="18"/>
      <c r="P47" s="18">
        <f t="shared" ca="1" si="3"/>
        <v>7231082.6615443984</v>
      </c>
    </row>
    <row r="48" spans="1:16" x14ac:dyDescent="0.25">
      <c r="A48" s="3">
        <f>'Monthly Data'!A48</f>
        <v>43405</v>
      </c>
      <c r="B48" s="1">
        <f t="shared" si="0"/>
        <v>2018</v>
      </c>
      <c r="C48" s="1">
        <f t="shared" si="1"/>
        <v>11</v>
      </c>
      <c r="D48" s="268">
        <f>'Monthly Data'!S48</f>
        <v>6895809.8727658689</v>
      </c>
      <c r="E48" s="268">
        <f t="shared" ca="1" si="4"/>
        <v>0.15041666666666628</v>
      </c>
      <c r="F48" s="268">
        <f>'Monthly Data'!BE48</f>
        <v>0</v>
      </c>
      <c r="G48" s="278">
        <f>'Monthly Data'!CG48</f>
        <v>0</v>
      </c>
      <c r="H48" s="278">
        <f>'Monthly Data'!AQ48</f>
        <v>215.3</v>
      </c>
      <c r="I48" s="278">
        <f>'Monthly Data'!CD48</f>
        <v>30</v>
      </c>
      <c r="K48" s="18"/>
      <c r="L48" s="18">
        <f ca="1">(E48-F48)*'GS 1k-4,999 Predicted Monthly'!$T$11</f>
        <v>1345.4361109617857</v>
      </c>
      <c r="M48" s="18"/>
      <c r="N48" s="18"/>
      <c r="O48" s="18"/>
      <c r="P48" s="18">
        <f t="shared" ca="1" si="3"/>
        <v>6897155.3088768311</v>
      </c>
    </row>
    <row r="49" spans="1:16" x14ac:dyDescent="0.25">
      <c r="A49" s="3">
        <f>'Monthly Data'!A49</f>
        <v>43435</v>
      </c>
      <c r="B49" s="1">
        <f t="shared" si="0"/>
        <v>2018</v>
      </c>
      <c r="C49" s="1">
        <f t="shared" si="1"/>
        <v>12</v>
      </c>
      <c r="D49" s="268">
        <f>'Monthly Data'!S49</f>
        <v>6632585.3377094418</v>
      </c>
      <c r="E49" s="268">
        <f t="shared" ca="1" si="4"/>
        <v>0</v>
      </c>
      <c r="F49" s="268">
        <f>'Monthly Data'!BE49</f>
        <v>0</v>
      </c>
      <c r="G49" s="278">
        <f>'Monthly Data'!CG49</f>
        <v>0</v>
      </c>
      <c r="H49" s="278">
        <f>'Monthly Data'!AQ49</f>
        <v>214.3</v>
      </c>
      <c r="I49" s="278">
        <f>'Monthly Data'!CD49</f>
        <v>31</v>
      </c>
      <c r="K49" s="18"/>
      <c r="L49" s="18">
        <f ca="1">(E49-F49)*'GS 1k-4,999 Predicted Monthly'!$T$11</f>
        <v>0</v>
      </c>
      <c r="M49" s="18"/>
      <c r="N49" s="18"/>
      <c r="O49" s="18"/>
      <c r="P49" s="18">
        <f t="shared" ca="1" si="3"/>
        <v>6632585.3377094418</v>
      </c>
    </row>
    <row r="50" spans="1:16" x14ac:dyDescent="0.25">
      <c r="A50" s="3">
        <f>'Monthly Data'!A50</f>
        <v>43466</v>
      </c>
      <c r="B50" s="1">
        <f t="shared" si="0"/>
        <v>2019</v>
      </c>
      <c r="C50" s="1">
        <f t="shared" si="1"/>
        <v>1</v>
      </c>
      <c r="D50" s="268">
        <f>'Monthly Data'!S50</f>
        <v>7362866.2549784202</v>
      </c>
      <c r="E50" s="268">
        <f t="shared" si="4"/>
        <v>0</v>
      </c>
      <c r="F50" s="268">
        <f>'Monthly Data'!BE50</f>
        <v>0</v>
      </c>
      <c r="G50" s="278">
        <f>'Monthly Data'!CG50</f>
        <v>0</v>
      </c>
      <c r="H50" s="278">
        <f>'Monthly Data'!AQ50</f>
        <v>217.1</v>
      </c>
      <c r="I50" s="278">
        <f>'Monthly Data'!CD50</f>
        <v>31</v>
      </c>
      <c r="K50" s="18"/>
      <c r="L50" s="18">
        <f>(E50-F50)*'GS 1k-4,999 Predicted Monthly'!$T$11</f>
        <v>0</v>
      </c>
      <c r="M50" s="18"/>
      <c r="N50" s="18"/>
      <c r="O50" s="18"/>
      <c r="P50" s="18">
        <f t="shared" si="3"/>
        <v>7362866.2549784202</v>
      </c>
    </row>
    <row r="51" spans="1:16" x14ac:dyDescent="0.25">
      <c r="A51" s="3">
        <f>'Monthly Data'!A51</f>
        <v>43497</v>
      </c>
      <c r="B51" s="1">
        <f t="shared" si="0"/>
        <v>2019</v>
      </c>
      <c r="C51" s="1">
        <f t="shared" si="1"/>
        <v>2</v>
      </c>
      <c r="D51" s="268">
        <f>'Monthly Data'!S51</f>
        <v>6700295.0580196613</v>
      </c>
      <c r="E51" s="268">
        <f t="shared" ca="1" si="4"/>
        <v>0</v>
      </c>
      <c r="F51" s="268">
        <f>'Monthly Data'!BE51</f>
        <v>0</v>
      </c>
      <c r="G51" s="278">
        <f>'Monthly Data'!CG51</f>
        <v>0</v>
      </c>
      <c r="H51" s="278">
        <f>'Monthly Data'!AQ51</f>
        <v>219.1</v>
      </c>
      <c r="I51" s="278">
        <f>'Monthly Data'!CD51</f>
        <v>28</v>
      </c>
      <c r="K51" s="18"/>
      <c r="L51" s="18">
        <f ca="1">(E51-F51)*'GS 1k-4,999 Predicted Monthly'!$T$11</f>
        <v>0</v>
      </c>
      <c r="M51" s="18"/>
      <c r="N51" s="18"/>
      <c r="O51" s="18"/>
      <c r="P51" s="18">
        <f t="shared" ca="1" si="3"/>
        <v>6700295.0580196613</v>
      </c>
    </row>
    <row r="52" spans="1:16" x14ac:dyDescent="0.25">
      <c r="A52" s="3">
        <f>'Monthly Data'!A52</f>
        <v>43525</v>
      </c>
      <c r="B52" s="1">
        <f t="shared" si="0"/>
        <v>2019</v>
      </c>
      <c r="C52" s="1">
        <f t="shared" si="1"/>
        <v>3</v>
      </c>
      <c r="D52" s="268">
        <f>'Monthly Data'!S52</f>
        <v>7200226.2824770492</v>
      </c>
      <c r="E52" s="268">
        <f t="shared" ca="1" si="4"/>
        <v>0</v>
      </c>
      <c r="F52" s="268">
        <f>'Monthly Data'!BE52</f>
        <v>0</v>
      </c>
      <c r="G52" s="278">
        <f>'Monthly Data'!CG52</f>
        <v>0</v>
      </c>
      <c r="H52" s="278">
        <f>'Monthly Data'!AQ52</f>
        <v>221.6</v>
      </c>
      <c r="I52" s="278">
        <f>'Monthly Data'!CD52</f>
        <v>31</v>
      </c>
      <c r="K52" s="18"/>
      <c r="L52" s="18">
        <f ca="1">(E52-F52)*'GS 1k-4,999 Predicted Monthly'!$T$11</f>
        <v>0</v>
      </c>
      <c r="M52" s="18"/>
      <c r="N52" s="18"/>
      <c r="O52" s="18"/>
      <c r="P52" s="18">
        <f t="shared" ca="1" si="3"/>
        <v>7200226.2824770492</v>
      </c>
    </row>
    <row r="53" spans="1:16" x14ac:dyDescent="0.25">
      <c r="A53" s="3">
        <f>'Monthly Data'!A53</f>
        <v>43556</v>
      </c>
      <c r="B53" s="1">
        <f t="shared" si="0"/>
        <v>2019</v>
      </c>
      <c r="C53" s="1">
        <f t="shared" si="1"/>
        <v>4</v>
      </c>
      <c r="D53" s="268">
        <f>'Monthly Data'!S53</f>
        <v>6757129.4428079324</v>
      </c>
      <c r="E53" s="268">
        <f t="shared" ca="1" si="4"/>
        <v>0.4316666666666677</v>
      </c>
      <c r="F53" s="268">
        <f>'Monthly Data'!BE53</f>
        <v>0</v>
      </c>
      <c r="G53" s="278">
        <f>'Monthly Data'!CG53</f>
        <v>0</v>
      </c>
      <c r="H53" s="278">
        <f>'Monthly Data'!AQ53</f>
        <v>220.7</v>
      </c>
      <c r="I53" s="278">
        <f>'Monthly Data'!CD53</f>
        <v>30</v>
      </c>
      <c r="K53" s="18"/>
      <c r="L53" s="18">
        <f ca="1">(E53-F53)*'GS 1k-4,999 Predicted Monthly'!$T$11</f>
        <v>3861.1407505717921</v>
      </c>
      <c r="M53" s="18"/>
      <c r="N53" s="18"/>
      <c r="O53" s="18"/>
      <c r="P53" s="18">
        <f t="shared" ca="1" si="3"/>
        <v>6760990.5835585045</v>
      </c>
    </row>
    <row r="54" spans="1:16" x14ac:dyDescent="0.25">
      <c r="A54" s="3">
        <f>'Monthly Data'!A54</f>
        <v>43586</v>
      </c>
      <c r="B54" s="1">
        <f t="shared" si="0"/>
        <v>2019</v>
      </c>
      <c r="C54" s="1">
        <f t="shared" si="1"/>
        <v>5</v>
      </c>
      <c r="D54" s="268">
        <f>'Monthly Data'!S54</f>
        <v>7190309.3222989608</v>
      </c>
      <c r="E54" s="268">
        <f t="shared" ca="1" si="4"/>
        <v>29.4520183982684</v>
      </c>
      <c r="F54" s="268">
        <f>'Monthly Data'!BE54</f>
        <v>2.4041666666666686</v>
      </c>
      <c r="G54" s="278">
        <f>'Monthly Data'!CG54</f>
        <v>0</v>
      </c>
      <c r="H54" s="278">
        <f>'Monthly Data'!AQ54</f>
        <v>219.3</v>
      </c>
      <c r="I54" s="278">
        <f>'Monthly Data'!CD54</f>
        <v>31</v>
      </c>
      <c r="K54" s="18"/>
      <c r="L54" s="18">
        <f ca="1">(E54-F54)*'GS 1k-4,999 Predicted Monthly'!$T$11</f>
        <v>241935.6661072842</v>
      </c>
      <c r="M54" s="18"/>
      <c r="N54" s="18"/>
      <c r="O54" s="18"/>
      <c r="P54" s="18">
        <f t="shared" ca="1" si="3"/>
        <v>7432244.9884062447</v>
      </c>
    </row>
    <row r="55" spans="1:16" x14ac:dyDescent="0.25">
      <c r="A55" s="3">
        <f>'Monthly Data'!A55</f>
        <v>43617</v>
      </c>
      <c r="B55" s="1">
        <f t="shared" si="0"/>
        <v>2019</v>
      </c>
      <c r="C55" s="1">
        <f t="shared" si="1"/>
        <v>6</v>
      </c>
      <c r="D55" s="268">
        <f>'Monthly Data'!S55</f>
        <v>7204081.3004395068</v>
      </c>
      <c r="E55" s="268">
        <f t="shared" ca="1" si="4"/>
        <v>86.311049595332207</v>
      </c>
      <c r="F55" s="268">
        <f>'Monthly Data'!BE55</f>
        <v>71.666666666666629</v>
      </c>
      <c r="G55" s="278">
        <f>'Monthly Data'!CG55</f>
        <v>0</v>
      </c>
      <c r="H55" s="278">
        <f>'Monthly Data'!AQ55</f>
        <v>218.5</v>
      </c>
      <c r="I55" s="278">
        <f>'Monthly Data'!CD55</f>
        <v>30</v>
      </c>
      <c r="K55" s="18"/>
      <c r="L55" s="18">
        <f ca="1">(E55-F55)*'GS 1k-4,999 Predicted Monthly'!$T$11</f>
        <v>130990.01627686892</v>
      </c>
      <c r="M55" s="18"/>
      <c r="N55" s="18"/>
      <c r="O55" s="18"/>
      <c r="P55" s="18">
        <f t="shared" ca="1" si="3"/>
        <v>7335071.3167163758</v>
      </c>
    </row>
    <row r="56" spans="1:16" x14ac:dyDescent="0.25">
      <c r="A56" s="3">
        <f>'Monthly Data'!A56</f>
        <v>43647</v>
      </c>
      <c r="B56" s="1">
        <f t="shared" si="0"/>
        <v>2019</v>
      </c>
      <c r="C56" s="1">
        <f t="shared" si="1"/>
        <v>7</v>
      </c>
      <c r="D56" s="268">
        <f>'Monthly Data'!S56</f>
        <v>8750214.2978592087</v>
      </c>
      <c r="E56" s="268">
        <f t="shared" ca="1" si="4"/>
        <v>174.0219619206118</v>
      </c>
      <c r="F56" s="268">
        <f>'Monthly Data'!BE56</f>
        <v>197.60000000000005</v>
      </c>
      <c r="G56" s="278">
        <f>'Monthly Data'!CG56</f>
        <v>0</v>
      </c>
      <c r="H56" s="278">
        <f>'Monthly Data'!AQ56</f>
        <v>217</v>
      </c>
      <c r="I56" s="278">
        <f>'Monthly Data'!CD56</f>
        <v>31</v>
      </c>
      <c r="K56" s="18"/>
      <c r="L56" s="18">
        <f ca="1">(E56-F56)*'GS 1k-4,999 Predicted Monthly'!$T$11</f>
        <v>-210899.12813944224</v>
      </c>
      <c r="M56" s="18"/>
      <c r="N56" s="18"/>
      <c r="O56" s="18"/>
      <c r="P56" s="18">
        <f t="shared" ca="1" si="3"/>
        <v>8539315.1697197668</v>
      </c>
    </row>
    <row r="57" spans="1:16" x14ac:dyDescent="0.25">
      <c r="A57" s="3">
        <f>'Monthly Data'!A57</f>
        <v>43678</v>
      </c>
      <c r="B57" s="1">
        <f t="shared" si="0"/>
        <v>2019</v>
      </c>
      <c r="C57" s="1">
        <f t="shared" si="1"/>
        <v>8</v>
      </c>
      <c r="D57" s="268">
        <f>'Monthly Data'!S57</f>
        <v>8314591.1828323836</v>
      </c>
      <c r="E57" s="268">
        <f t="shared" ca="1" si="4"/>
        <v>149.7160046113307</v>
      </c>
      <c r="F57" s="268">
        <f>'Monthly Data'!BE57</f>
        <v>128.07083333333338</v>
      </c>
      <c r="G57" s="278">
        <f>'Monthly Data'!CG57</f>
        <v>0</v>
      </c>
      <c r="H57" s="278">
        <f>'Monthly Data'!AQ57</f>
        <v>214.2</v>
      </c>
      <c r="I57" s="278">
        <f>'Monthly Data'!CD57</f>
        <v>31</v>
      </c>
      <c r="K57" s="18"/>
      <c r="L57" s="18">
        <f ca="1">(E57-F57)*'GS 1k-4,999 Predicted Monthly'!$T$11</f>
        <v>193610.16109941632</v>
      </c>
      <c r="M57" s="18"/>
      <c r="N57" s="18"/>
      <c r="O57" s="18"/>
      <c r="P57" s="18">
        <f t="shared" ca="1" si="3"/>
        <v>8508201.3439317998</v>
      </c>
    </row>
    <row r="58" spans="1:16" x14ac:dyDescent="0.25">
      <c r="A58" s="3">
        <f>'Monthly Data'!A58</f>
        <v>43709</v>
      </c>
      <c r="B58" s="1">
        <f t="shared" si="0"/>
        <v>2019</v>
      </c>
      <c r="C58" s="1">
        <f t="shared" si="1"/>
        <v>9</v>
      </c>
      <c r="D58" s="268">
        <f>'Monthly Data'!S58</f>
        <v>7364154.3036004463</v>
      </c>
      <c r="E58" s="268">
        <f t="shared" ca="1" si="4"/>
        <v>62.345178571428576</v>
      </c>
      <c r="F58" s="268">
        <f>'Monthly Data'!BE58</f>
        <v>32.520833333333329</v>
      </c>
      <c r="G58" s="278">
        <f>'Monthly Data'!CG58</f>
        <v>0</v>
      </c>
      <c r="H58" s="278">
        <f>'Monthly Data'!AQ58</f>
        <v>210</v>
      </c>
      <c r="I58" s="278">
        <f>'Monthly Data'!CD58</f>
        <v>30</v>
      </c>
      <c r="K58" s="18"/>
      <c r="L58" s="18">
        <f ca="1">(E58-F58)*'GS 1k-4,999 Predicted Monthly'!$T$11</f>
        <v>266770.64422686736</v>
      </c>
      <c r="M58" s="18"/>
      <c r="N58" s="18"/>
      <c r="O58" s="18"/>
      <c r="P58" s="18">
        <f t="shared" ca="1" si="3"/>
        <v>7630924.947827314</v>
      </c>
    </row>
    <row r="59" spans="1:16" x14ac:dyDescent="0.25">
      <c r="A59" s="3">
        <f>'Monthly Data'!A59</f>
        <v>43739</v>
      </c>
      <c r="B59" s="1">
        <f t="shared" si="0"/>
        <v>2019</v>
      </c>
      <c r="C59" s="1">
        <f t="shared" si="1"/>
        <v>10</v>
      </c>
      <c r="D59" s="268">
        <f>'Monthly Data'!S59</f>
        <v>6877310.3938974263</v>
      </c>
      <c r="E59" s="268">
        <f t="shared" ca="1" si="4"/>
        <v>7.1541666666666703</v>
      </c>
      <c r="F59" s="268">
        <f>'Monthly Data'!BE59</f>
        <v>3.8125000000000036</v>
      </c>
      <c r="G59" s="278">
        <f>'Monthly Data'!CG59</f>
        <v>0</v>
      </c>
      <c r="H59" s="278">
        <f>'Monthly Data'!AQ59</f>
        <v>207.5</v>
      </c>
      <c r="I59" s="278">
        <f>'Monthly Data'!CD59</f>
        <v>31</v>
      </c>
      <c r="K59" s="18"/>
      <c r="L59" s="18">
        <f ca="1">(E59-F59)*'GS 1k-4,999 Predicted Monthly'!$T$11</f>
        <v>29890.298088403186</v>
      </c>
      <c r="M59" s="18"/>
      <c r="N59" s="18"/>
      <c r="O59" s="18"/>
      <c r="P59" s="18">
        <f t="shared" ca="1" si="3"/>
        <v>6907200.6919858297</v>
      </c>
    </row>
    <row r="60" spans="1:16" x14ac:dyDescent="0.25">
      <c r="A60" s="3">
        <f>'Monthly Data'!A60</f>
        <v>43770</v>
      </c>
      <c r="B60" s="1">
        <f t="shared" si="0"/>
        <v>2019</v>
      </c>
      <c r="C60" s="1">
        <f t="shared" si="1"/>
        <v>11</v>
      </c>
      <c r="D60" s="268">
        <f>'Monthly Data'!S60</f>
        <v>6504414.3737810226</v>
      </c>
      <c r="E60" s="268">
        <f t="shared" ca="1" si="4"/>
        <v>0.15041666666666628</v>
      </c>
      <c r="F60" s="268">
        <f>'Monthly Data'!BE60</f>
        <v>0</v>
      </c>
      <c r="G60" s="278">
        <f>'Monthly Data'!CG60</f>
        <v>0</v>
      </c>
      <c r="H60" s="278">
        <f>'Monthly Data'!AQ60</f>
        <v>206.3</v>
      </c>
      <c r="I60" s="278">
        <f>'Monthly Data'!CD60</f>
        <v>30</v>
      </c>
      <c r="K60" s="18"/>
      <c r="L60" s="18">
        <f ca="1">(E60-F60)*'GS 1k-4,999 Predicted Monthly'!$T$11</f>
        <v>1345.4361109617857</v>
      </c>
      <c r="M60" s="18"/>
      <c r="N60" s="18"/>
      <c r="O60" s="18"/>
      <c r="P60" s="18">
        <f t="shared" ca="1" si="3"/>
        <v>6505759.8098919848</v>
      </c>
    </row>
    <row r="61" spans="1:16" x14ac:dyDescent="0.25">
      <c r="A61" s="3">
        <f>'Monthly Data'!A61</f>
        <v>43800</v>
      </c>
      <c r="B61" s="1">
        <f t="shared" si="0"/>
        <v>2019</v>
      </c>
      <c r="C61" s="1">
        <f t="shared" si="1"/>
        <v>12</v>
      </c>
      <c r="D61" s="268">
        <f>'Monthly Data'!S61</f>
        <v>6916748.0792108662</v>
      </c>
      <c r="E61" s="268">
        <f t="shared" ca="1" si="4"/>
        <v>0</v>
      </c>
      <c r="F61" s="268">
        <f>'Monthly Data'!BE61</f>
        <v>0</v>
      </c>
      <c r="G61" s="278">
        <f>'Monthly Data'!CG61</f>
        <v>0</v>
      </c>
      <c r="H61" s="278">
        <f>'Monthly Data'!AQ61</f>
        <v>207.6</v>
      </c>
      <c r="I61" s="278">
        <f>'Monthly Data'!CD61</f>
        <v>31</v>
      </c>
      <c r="K61" s="18"/>
      <c r="L61" s="18">
        <f ca="1">(E61-F61)*'GS 1k-4,999 Predicted Monthly'!$T$11</f>
        <v>0</v>
      </c>
      <c r="M61" s="18"/>
      <c r="N61" s="18"/>
      <c r="O61" s="18"/>
      <c r="P61" s="18">
        <f t="shared" ca="1" si="3"/>
        <v>6916748.0792108662</v>
      </c>
    </row>
    <row r="62" spans="1:16" x14ac:dyDescent="0.25">
      <c r="A62" s="3">
        <f>'Monthly Data'!A62</f>
        <v>43831</v>
      </c>
      <c r="B62" s="1">
        <f t="shared" si="0"/>
        <v>2020</v>
      </c>
      <c r="C62" s="1">
        <f t="shared" si="1"/>
        <v>1</v>
      </c>
      <c r="D62" s="268">
        <f>'Monthly Data'!S62</f>
        <v>7135430.5825945279</v>
      </c>
      <c r="E62" s="268">
        <f t="shared" si="4"/>
        <v>0</v>
      </c>
      <c r="F62" s="268">
        <f>'Monthly Data'!BE62</f>
        <v>0</v>
      </c>
      <c r="G62" s="278">
        <f>'Monthly Data'!CG62</f>
        <v>0</v>
      </c>
      <c r="H62" s="278">
        <f>'Monthly Data'!AQ62</f>
        <v>208.1</v>
      </c>
      <c r="I62" s="278">
        <f>'Monthly Data'!CD62</f>
        <v>31</v>
      </c>
      <c r="K62" s="18"/>
      <c r="L62" s="18">
        <f>(E62-F62)*'GS 1k-4,999 Predicted Monthly'!$T$11</f>
        <v>0</v>
      </c>
      <c r="M62" s="18"/>
      <c r="N62" s="18"/>
      <c r="O62" s="18"/>
      <c r="P62" s="18">
        <f t="shared" si="3"/>
        <v>7135430.5825945279</v>
      </c>
    </row>
    <row r="63" spans="1:16" x14ac:dyDescent="0.25">
      <c r="A63" s="3">
        <f>'Monthly Data'!A63</f>
        <v>43862</v>
      </c>
      <c r="B63" s="1">
        <f t="shared" si="0"/>
        <v>2020</v>
      </c>
      <c r="C63" s="1">
        <f t="shared" si="1"/>
        <v>2</v>
      </c>
      <c r="D63" s="268">
        <f>'Monthly Data'!S63</f>
        <v>6643831.0976723712</v>
      </c>
      <c r="E63" s="268">
        <f t="shared" ca="1" si="4"/>
        <v>0</v>
      </c>
      <c r="F63" s="268">
        <f>'Monthly Data'!BE63</f>
        <v>0</v>
      </c>
      <c r="G63" s="278">
        <f>'Monthly Data'!CG63</f>
        <v>0</v>
      </c>
      <c r="H63" s="278">
        <f>'Monthly Data'!AQ63</f>
        <v>210.7</v>
      </c>
      <c r="I63" s="278">
        <f>'Monthly Data'!CD63</f>
        <v>29</v>
      </c>
      <c r="K63" s="18"/>
      <c r="L63" s="18">
        <f ca="1">(E63-F63)*'GS 1k-4,999 Predicted Monthly'!$T$11</f>
        <v>0</v>
      </c>
      <c r="M63" s="18"/>
      <c r="N63" s="18"/>
      <c r="O63" s="18"/>
      <c r="P63" s="18">
        <f t="shared" ca="1" si="3"/>
        <v>6643831.0976723712</v>
      </c>
    </row>
    <row r="64" spans="1:16" x14ac:dyDescent="0.25">
      <c r="A64" s="3">
        <f>'Monthly Data'!A64</f>
        <v>43891</v>
      </c>
      <c r="B64" s="1">
        <f t="shared" si="0"/>
        <v>2020</v>
      </c>
      <c r="C64" s="1">
        <f t="shared" si="1"/>
        <v>3</v>
      </c>
      <c r="D64" s="268">
        <f>'Monthly Data'!S64</f>
        <v>6564881.6992580527</v>
      </c>
      <c r="E64" s="268">
        <f t="shared" ca="1" si="4"/>
        <v>0</v>
      </c>
      <c r="F64" s="268">
        <f>'Monthly Data'!BE64</f>
        <v>0</v>
      </c>
      <c r="G64" s="278">
        <f>'Monthly Data'!CG64</f>
        <v>0.5</v>
      </c>
      <c r="H64" s="278">
        <f>'Monthly Data'!AQ64</f>
        <v>208.3</v>
      </c>
      <c r="I64" s="278">
        <f>'Monthly Data'!CD64</f>
        <v>31</v>
      </c>
      <c r="K64" s="18"/>
      <c r="L64" s="18">
        <f ca="1">(E64-F64)*'GS 1k-4,999 Predicted Monthly'!$T$11</f>
        <v>0</v>
      </c>
      <c r="M64" s="18"/>
      <c r="N64" s="18"/>
      <c r="O64" s="18"/>
      <c r="P64" s="18">
        <f t="shared" ca="1" si="3"/>
        <v>6564881.6992580527</v>
      </c>
    </row>
    <row r="65" spans="1:16" x14ac:dyDescent="0.25">
      <c r="A65" s="3">
        <f>'Monthly Data'!A65</f>
        <v>43922</v>
      </c>
      <c r="B65" s="1">
        <f t="shared" si="0"/>
        <v>2020</v>
      </c>
      <c r="C65" s="1">
        <f t="shared" si="1"/>
        <v>4</v>
      </c>
      <c r="D65" s="268">
        <f>'Monthly Data'!S65</f>
        <v>5198888.1617160002</v>
      </c>
      <c r="E65" s="268">
        <f t="shared" ca="1" si="4"/>
        <v>0.4316666666666677</v>
      </c>
      <c r="F65" s="268">
        <f>'Monthly Data'!BE65</f>
        <v>0</v>
      </c>
      <c r="G65" s="278">
        <f>'Monthly Data'!CG65</f>
        <v>1</v>
      </c>
      <c r="H65" s="278">
        <f>'Monthly Data'!AQ65</f>
        <v>201.9</v>
      </c>
      <c r="I65" s="278">
        <f>'Monthly Data'!CD65</f>
        <v>30</v>
      </c>
      <c r="K65" s="18"/>
      <c r="L65" s="18">
        <f ca="1">(E65-F65)*'GS 1k-4,999 Predicted Monthly'!$T$11</f>
        <v>3861.1407505717921</v>
      </c>
      <c r="M65" s="18"/>
      <c r="N65" s="18"/>
      <c r="O65" s="18"/>
      <c r="P65" s="18">
        <f t="shared" ca="1" si="3"/>
        <v>5202749.3024665723</v>
      </c>
    </row>
    <row r="66" spans="1:16" x14ac:dyDescent="0.25">
      <c r="A66" s="3">
        <f>'Monthly Data'!A66</f>
        <v>43952</v>
      </c>
      <c r="B66" s="1">
        <f t="shared" ref="B66:B129" si="5">YEAR(A66)</f>
        <v>2020</v>
      </c>
      <c r="C66" s="1">
        <f t="shared" ref="C66:C129" si="6">MONTH(A66)</f>
        <v>5</v>
      </c>
      <c r="D66" s="268">
        <f>'Monthly Data'!S66</f>
        <v>5975758.5394809321</v>
      </c>
      <c r="E66" s="268">
        <f t="shared" ca="1" si="4"/>
        <v>29.4520183982684</v>
      </c>
      <c r="F66" s="268">
        <f>'Monthly Data'!BE66</f>
        <v>31.450595238095232</v>
      </c>
      <c r="G66" s="278">
        <f>'Monthly Data'!CG66</f>
        <v>1</v>
      </c>
      <c r="H66" s="278">
        <f>'Monthly Data'!AQ66</f>
        <v>193.3</v>
      </c>
      <c r="I66" s="278">
        <f>'Monthly Data'!CD66</f>
        <v>31</v>
      </c>
      <c r="K66" s="18"/>
      <c r="L66" s="18">
        <f ca="1">(E66-F66)*'GS 1k-4,999 Predicted Monthly'!$T$11</f>
        <v>-17876.725434913566</v>
      </c>
      <c r="M66" s="18"/>
      <c r="N66" s="18"/>
      <c r="O66" s="18"/>
      <c r="P66" s="18">
        <f t="shared" ca="1" si="3"/>
        <v>5957881.8140460188</v>
      </c>
    </row>
    <row r="67" spans="1:16" x14ac:dyDescent="0.25">
      <c r="A67" s="3">
        <f>'Monthly Data'!A67</f>
        <v>43983</v>
      </c>
      <c r="B67" s="1">
        <f t="shared" si="5"/>
        <v>2020</v>
      </c>
      <c r="C67" s="1">
        <f t="shared" si="6"/>
        <v>6</v>
      </c>
      <c r="D67" s="268">
        <f>'Monthly Data'!S67</f>
        <v>7052492.3045150973</v>
      </c>
      <c r="E67" s="268">
        <f t="shared" ca="1" si="4"/>
        <v>86.311049595332207</v>
      </c>
      <c r="F67" s="268">
        <f>'Monthly Data'!BE67</f>
        <v>115.68206521739128</v>
      </c>
      <c r="G67" s="278">
        <f>'Monthly Data'!CG67</f>
        <v>0.5</v>
      </c>
      <c r="H67" s="278">
        <f>'Monthly Data'!AQ67</f>
        <v>190.3</v>
      </c>
      <c r="I67" s="278">
        <f>'Monthly Data'!CD67</f>
        <v>30</v>
      </c>
      <c r="K67" s="18"/>
      <c r="L67" s="18">
        <f ca="1">(E67-F67)*'GS 1k-4,999 Predicted Monthly'!$T$11</f>
        <v>-262715.73429501022</v>
      </c>
      <c r="M67" s="18"/>
      <c r="N67" s="18"/>
      <c r="O67" s="18"/>
      <c r="P67" s="18">
        <f t="shared" ca="1" si="3"/>
        <v>6789776.5702200867</v>
      </c>
    </row>
    <row r="68" spans="1:16" x14ac:dyDescent="0.25">
      <c r="A68" s="3">
        <f>'Monthly Data'!A68</f>
        <v>44013</v>
      </c>
      <c r="B68" s="1">
        <f t="shared" si="5"/>
        <v>2020</v>
      </c>
      <c r="C68" s="1">
        <f t="shared" si="6"/>
        <v>7</v>
      </c>
      <c r="D68" s="268">
        <f>'Monthly Data'!S68</f>
        <v>8644136.8558436297</v>
      </c>
      <c r="E68" s="268">
        <f t="shared" ca="1" si="4"/>
        <v>174.0219619206118</v>
      </c>
      <c r="F68" s="268">
        <f>'Monthly Data'!BE68</f>
        <v>246.88749999999999</v>
      </c>
      <c r="G68" s="278">
        <f>'Monthly Data'!CG68</f>
        <v>0.5</v>
      </c>
      <c r="H68" s="278">
        <f>'Monthly Data'!AQ68</f>
        <v>195.6</v>
      </c>
      <c r="I68" s="278">
        <f>'Monthly Data'!CD68</f>
        <v>31</v>
      </c>
      <c r="K68" s="18"/>
      <c r="L68" s="18">
        <f ca="1">(E68-F68)*'GS 1k-4,999 Predicted Monthly'!$T$11</f>
        <v>-651762.39009420632</v>
      </c>
      <c r="M68" s="18"/>
      <c r="N68" s="18"/>
      <c r="O68" s="18"/>
      <c r="P68" s="18">
        <f t="shared" ca="1" si="3"/>
        <v>7992374.465749423</v>
      </c>
    </row>
    <row r="69" spans="1:16" x14ac:dyDescent="0.25">
      <c r="A69" s="3">
        <f>'Monthly Data'!A69</f>
        <v>44044</v>
      </c>
      <c r="B69" s="1">
        <f t="shared" si="5"/>
        <v>2020</v>
      </c>
      <c r="C69" s="1">
        <f t="shared" si="6"/>
        <v>8</v>
      </c>
      <c r="D69" s="268">
        <f>'Monthly Data'!S69</f>
        <v>8115885.9892690107</v>
      </c>
      <c r="E69" s="268">
        <f t="shared" ca="1" si="4"/>
        <v>149.7160046113307</v>
      </c>
      <c r="F69" s="268">
        <f>'Monthly Data'!BE69</f>
        <v>154.93106060606064</v>
      </c>
      <c r="G69" s="278">
        <f>'Monthly Data'!CG69</f>
        <v>0.5</v>
      </c>
      <c r="H69" s="278">
        <f>'Monthly Data'!AQ69</f>
        <v>202.7</v>
      </c>
      <c r="I69" s="278">
        <f>'Monthly Data'!CD69</f>
        <v>31</v>
      </c>
      <c r="K69" s="18"/>
      <c r="L69" s="18">
        <f ca="1">(E69-F69)*'GS 1k-4,999 Predicted Monthly'!$T$11</f>
        <v>-46647.255330730717</v>
      </c>
      <c r="M69" s="18"/>
      <c r="N69" s="18"/>
      <c r="O69" s="18"/>
      <c r="P69" s="18">
        <f t="shared" ca="1" si="3"/>
        <v>8069238.7339382796</v>
      </c>
    </row>
    <row r="70" spans="1:16" x14ac:dyDescent="0.25">
      <c r="A70" s="3">
        <f>'Monthly Data'!A70</f>
        <v>44075</v>
      </c>
      <c r="B70" s="1">
        <f t="shared" si="5"/>
        <v>2020</v>
      </c>
      <c r="C70" s="1">
        <f t="shared" si="6"/>
        <v>9</v>
      </c>
      <c r="D70" s="268">
        <f>'Monthly Data'!S70</f>
        <v>6840875.8033127291</v>
      </c>
      <c r="E70" s="268">
        <f t="shared" ca="1" si="4"/>
        <v>62.345178571428576</v>
      </c>
      <c r="F70" s="268">
        <f>'Monthly Data'!BE70</f>
        <v>37.879166666666663</v>
      </c>
      <c r="G70" s="278">
        <f>'Monthly Data'!CG70</f>
        <v>0.5</v>
      </c>
      <c r="H70" s="278">
        <f>'Monthly Data'!AQ70</f>
        <v>208.8</v>
      </c>
      <c r="I70" s="278">
        <f>'Monthly Data'!CD70</f>
        <v>30</v>
      </c>
      <c r="K70" s="18"/>
      <c r="L70" s="18">
        <f ca="1">(E70-F70)*'GS 1k-4,999 Predicted Monthly'!$T$11</f>
        <v>218841.81213000137</v>
      </c>
      <c r="M70" s="18"/>
      <c r="N70" s="18"/>
      <c r="O70" s="18"/>
      <c r="P70" s="18">
        <f t="shared" ca="1" si="3"/>
        <v>7059717.6154427305</v>
      </c>
    </row>
    <row r="71" spans="1:16" x14ac:dyDescent="0.25">
      <c r="A71" s="3">
        <f>'Monthly Data'!A71</f>
        <v>44105</v>
      </c>
      <c r="B71" s="1">
        <f t="shared" si="5"/>
        <v>2020</v>
      </c>
      <c r="C71" s="1">
        <f t="shared" si="6"/>
        <v>10</v>
      </c>
      <c r="D71" s="268">
        <f>'Monthly Data'!S71</f>
        <v>6096532.0669815103</v>
      </c>
      <c r="E71" s="268">
        <f t="shared" ca="1" si="4"/>
        <v>7.1541666666666703</v>
      </c>
      <c r="F71" s="268">
        <f>'Monthly Data'!BE71</f>
        <v>0.22916666666666785</v>
      </c>
      <c r="G71" s="278">
        <f>'Monthly Data'!CG71</f>
        <v>0.5</v>
      </c>
      <c r="H71" s="278">
        <f>'Monthly Data'!AQ71</f>
        <v>213.3</v>
      </c>
      <c r="I71" s="278">
        <f>'Monthly Data'!CD71</f>
        <v>31</v>
      </c>
      <c r="K71" s="18"/>
      <c r="L71" s="18">
        <f ca="1">(E71-F71)*'GS 1k-4,999 Predicted Monthly'!$T$11</f>
        <v>61942.23868195276</v>
      </c>
      <c r="M71" s="18"/>
      <c r="N71" s="18"/>
      <c r="O71" s="18"/>
      <c r="P71" s="18">
        <f t="shared" ca="1" si="3"/>
        <v>6158474.3056634627</v>
      </c>
    </row>
    <row r="72" spans="1:16" x14ac:dyDescent="0.25">
      <c r="A72" s="3">
        <f>'Monthly Data'!A72</f>
        <v>44136</v>
      </c>
      <c r="B72" s="1">
        <f t="shared" si="5"/>
        <v>2020</v>
      </c>
      <c r="C72" s="1">
        <f t="shared" si="6"/>
        <v>11</v>
      </c>
      <c r="D72" s="268">
        <f>'Monthly Data'!S72</f>
        <v>6275162.6858837437</v>
      </c>
      <c r="E72" s="268">
        <f t="shared" ca="1" si="4"/>
        <v>0.15041666666666628</v>
      </c>
      <c r="F72" s="268">
        <f>'Monthly Data'!BE72</f>
        <v>0</v>
      </c>
      <c r="G72" s="278">
        <f>'Monthly Data'!CG72</f>
        <v>0.5</v>
      </c>
      <c r="H72" s="278">
        <f>'Monthly Data'!AQ72</f>
        <v>214.2</v>
      </c>
      <c r="I72" s="278">
        <f>'Monthly Data'!CD72</f>
        <v>30</v>
      </c>
      <c r="K72" s="18"/>
      <c r="L72" s="18">
        <f ca="1">(E72-F72)*'GS 1k-4,999 Predicted Monthly'!$T$11</f>
        <v>1345.4361109617857</v>
      </c>
      <c r="M72" s="18"/>
      <c r="N72" s="18"/>
      <c r="O72" s="18"/>
      <c r="P72" s="18">
        <f t="shared" ref="P72:P121" ca="1" si="7">SUM(D72,K72:O72)</f>
        <v>6276508.1219947059</v>
      </c>
    </row>
    <row r="73" spans="1:16" x14ac:dyDescent="0.25">
      <c r="A73" s="3">
        <f>'Monthly Data'!A73</f>
        <v>44166</v>
      </c>
      <c r="B73" s="1">
        <f t="shared" si="5"/>
        <v>2020</v>
      </c>
      <c r="C73" s="1">
        <f t="shared" si="6"/>
        <v>12</v>
      </c>
      <c r="D73" s="268">
        <f>'Monthly Data'!S73</f>
        <v>6594890.4345861645</v>
      </c>
      <c r="E73" s="268">
        <f t="shared" ca="1" si="4"/>
        <v>0</v>
      </c>
      <c r="F73" s="268">
        <f>'Monthly Data'!BE73</f>
        <v>0</v>
      </c>
      <c r="G73" s="278">
        <f>'Monthly Data'!CG73</f>
        <v>0.5</v>
      </c>
      <c r="H73" s="278">
        <f>'Monthly Data'!AQ73</f>
        <v>213.6</v>
      </c>
      <c r="I73" s="278">
        <f>'Monthly Data'!CD73</f>
        <v>31</v>
      </c>
      <c r="K73" s="18"/>
      <c r="L73" s="18">
        <f ca="1">(E73-F73)*'GS 1k-4,999 Predicted Monthly'!$T$11</f>
        <v>0</v>
      </c>
      <c r="M73" s="18"/>
      <c r="N73" s="18"/>
      <c r="O73" s="18"/>
      <c r="P73" s="18">
        <f t="shared" ca="1" si="7"/>
        <v>6594890.4345861645</v>
      </c>
    </row>
    <row r="74" spans="1:16" x14ac:dyDescent="0.25">
      <c r="A74" s="3">
        <f>'Monthly Data'!A74</f>
        <v>44197</v>
      </c>
      <c r="B74" s="1">
        <f t="shared" si="5"/>
        <v>2021</v>
      </c>
      <c r="C74" s="1">
        <f t="shared" si="6"/>
        <v>1</v>
      </c>
      <c r="D74" s="268">
        <f>'Monthly Data'!S74</f>
        <v>6462981.7309892355</v>
      </c>
      <c r="E74" s="268">
        <f t="shared" si="4"/>
        <v>0</v>
      </c>
      <c r="F74" s="268">
        <f>'Monthly Data'!BE74</f>
        <v>0</v>
      </c>
      <c r="G74" s="278">
        <f>'Monthly Data'!CG74</f>
        <v>0.5</v>
      </c>
      <c r="H74" s="278">
        <f>'Monthly Data'!AQ74</f>
        <v>207.3</v>
      </c>
      <c r="I74" s="278">
        <f>'Monthly Data'!CD74</f>
        <v>31</v>
      </c>
      <c r="K74" s="18"/>
      <c r="L74" s="18">
        <f>(E74-F74)*'GS 1k-4,999 Predicted Monthly'!$T$11</f>
        <v>0</v>
      </c>
      <c r="M74" s="18"/>
      <c r="N74" s="18"/>
      <c r="O74" s="18"/>
      <c r="P74" s="18">
        <f t="shared" si="7"/>
        <v>6462981.7309892355</v>
      </c>
    </row>
    <row r="75" spans="1:16" x14ac:dyDescent="0.25">
      <c r="A75" s="3">
        <f>'Monthly Data'!A75</f>
        <v>44228</v>
      </c>
      <c r="B75" s="1">
        <f t="shared" si="5"/>
        <v>2021</v>
      </c>
      <c r="C75" s="1">
        <f t="shared" si="6"/>
        <v>2</v>
      </c>
      <c r="D75" s="268">
        <f>'Monthly Data'!S75</f>
        <v>5458159.4994783401</v>
      </c>
      <c r="E75" s="268">
        <f t="shared" ca="1" si="4"/>
        <v>0</v>
      </c>
      <c r="F75" s="268">
        <f>'Monthly Data'!BE75</f>
        <v>0</v>
      </c>
      <c r="G75" s="278">
        <f>'Monthly Data'!CG75</f>
        <v>0.5</v>
      </c>
      <c r="H75" s="278">
        <f>'Monthly Data'!AQ75</f>
        <v>205.4</v>
      </c>
      <c r="I75" s="278">
        <f>'Monthly Data'!CD75</f>
        <v>28</v>
      </c>
      <c r="K75" s="18"/>
      <c r="L75" s="18">
        <f ca="1">(E75-F75)*'GS 1k-4,999 Predicted Monthly'!$T$11</f>
        <v>0</v>
      </c>
      <c r="M75" s="18"/>
      <c r="N75" s="18"/>
      <c r="O75" s="18"/>
      <c r="P75" s="18">
        <f t="shared" ca="1" si="7"/>
        <v>5458159.4994783401</v>
      </c>
    </row>
    <row r="76" spans="1:16" x14ac:dyDescent="0.25">
      <c r="A76" s="3">
        <f>'Monthly Data'!A76</f>
        <v>44256</v>
      </c>
      <c r="B76" s="1">
        <f t="shared" si="5"/>
        <v>2021</v>
      </c>
      <c r="C76" s="1">
        <f t="shared" si="6"/>
        <v>3</v>
      </c>
      <c r="D76" s="268">
        <f>'Monthly Data'!S76</f>
        <v>6087613.54559239</v>
      </c>
      <c r="E76" s="268">
        <f t="shared" ca="1" si="4"/>
        <v>0</v>
      </c>
      <c r="F76" s="268">
        <f>'Monthly Data'!BE76</f>
        <v>0</v>
      </c>
      <c r="G76" s="278">
        <f>'Monthly Data'!CG76</f>
        <v>0.5</v>
      </c>
      <c r="H76" s="278">
        <f>'Monthly Data'!AQ76</f>
        <v>204.5</v>
      </c>
      <c r="I76" s="278">
        <f>'Monthly Data'!CD76</f>
        <v>31</v>
      </c>
      <c r="K76" s="18"/>
      <c r="L76" s="18">
        <f ca="1">(E76-F76)*'GS 1k-4,999 Predicted Monthly'!$T$11</f>
        <v>0</v>
      </c>
      <c r="M76" s="18"/>
      <c r="N76" s="18"/>
      <c r="O76" s="18"/>
      <c r="P76" s="18">
        <f t="shared" ca="1" si="7"/>
        <v>6087613.54559239</v>
      </c>
    </row>
    <row r="77" spans="1:16" x14ac:dyDescent="0.25">
      <c r="A77" s="3">
        <f>'Monthly Data'!A77</f>
        <v>44287</v>
      </c>
      <c r="B77" s="1">
        <f t="shared" si="5"/>
        <v>2021</v>
      </c>
      <c r="C77" s="1">
        <f t="shared" si="6"/>
        <v>4</v>
      </c>
      <c r="D77" s="268">
        <f>'Monthly Data'!S77</f>
        <v>6925948.7904819697</v>
      </c>
      <c r="E77" s="268">
        <f t="shared" ca="1" si="4"/>
        <v>0.4316666666666677</v>
      </c>
      <c r="F77" s="268">
        <f>'Monthly Data'!BE77</f>
        <v>0.21249999999999858</v>
      </c>
      <c r="G77" s="278">
        <f>'Monthly Data'!CG77</f>
        <v>0.5</v>
      </c>
      <c r="H77" s="278">
        <f>'Monthly Data'!AQ77</f>
        <v>206</v>
      </c>
      <c r="I77" s="278">
        <f>'Monthly Data'!CD77</f>
        <v>30</v>
      </c>
      <c r="K77" s="18"/>
      <c r="L77" s="18">
        <f ca="1">(E77-F77)*'GS 1k-4,999 Predicted Monthly'!$T$11</f>
        <v>1960.3861339775874</v>
      </c>
      <c r="M77" s="18"/>
      <c r="N77" s="18"/>
      <c r="O77" s="18"/>
      <c r="P77" s="18">
        <f t="shared" ca="1" si="7"/>
        <v>6927909.1766159469</v>
      </c>
    </row>
    <row r="78" spans="1:16" x14ac:dyDescent="0.25">
      <c r="A78" s="3">
        <f>'Monthly Data'!A78</f>
        <v>44317</v>
      </c>
      <c r="B78" s="1">
        <f t="shared" si="5"/>
        <v>2021</v>
      </c>
      <c r="C78" s="1">
        <f t="shared" si="6"/>
        <v>5</v>
      </c>
      <c r="D78" s="268">
        <f>'Monthly Data'!S78</f>
        <v>6679521.9702554708</v>
      </c>
      <c r="E78" s="268">
        <f t="shared" ca="1" si="4"/>
        <v>29.4520183982684</v>
      </c>
      <c r="F78" s="268">
        <f>'Monthly Data'!BE78</f>
        <v>35.574999999999996</v>
      </c>
      <c r="G78" s="278">
        <f>'Monthly Data'!CG78</f>
        <v>0.5</v>
      </c>
      <c r="H78" s="278">
        <f>'Monthly Data'!AQ78</f>
        <v>204.1</v>
      </c>
      <c r="I78" s="278">
        <f>'Monthly Data'!CD78</f>
        <v>31</v>
      </c>
      <c r="K78" s="18"/>
      <c r="L78" s="18">
        <f ca="1">(E78-F78)*'GS 1k-4,999 Predicted Monthly'!$T$11</f>
        <v>-54768.402573236643</v>
      </c>
      <c r="M78" s="18"/>
      <c r="N78" s="18"/>
      <c r="O78" s="18"/>
      <c r="P78" s="18">
        <f t="shared" ca="1" si="7"/>
        <v>6624753.5676822346</v>
      </c>
    </row>
    <row r="79" spans="1:16" x14ac:dyDescent="0.25">
      <c r="A79" s="3">
        <f>'Monthly Data'!A79</f>
        <v>44348</v>
      </c>
      <c r="B79" s="1">
        <f t="shared" si="5"/>
        <v>2021</v>
      </c>
      <c r="C79" s="1">
        <f t="shared" si="6"/>
        <v>6</v>
      </c>
      <c r="D79" s="268">
        <f>'Monthly Data'!S79</f>
        <v>7247178.0773107251</v>
      </c>
      <c r="E79" s="268">
        <f t="shared" ref="E79:E121" ca="1" si="8">E67</f>
        <v>86.311049595332207</v>
      </c>
      <c r="F79" s="268">
        <f>'Monthly Data'!BE79</f>
        <v>124.94583333333331</v>
      </c>
      <c r="G79" s="278">
        <f>'Monthly Data'!CG79</f>
        <v>0.5</v>
      </c>
      <c r="H79" s="278">
        <f>'Monthly Data'!AQ79</f>
        <v>203.9</v>
      </c>
      <c r="I79" s="278">
        <f>'Monthly Data'!CD79</f>
        <v>30</v>
      </c>
      <c r="K79" s="18"/>
      <c r="L79" s="18">
        <f ca="1">(E79-F79)*'GS 1k-4,999 Predicted Monthly'!$T$11</f>
        <v>-345577.61671117553</v>
      </c>
      <c r="M79" s="18"/>
      <c r="N79" s="18"/>
      <c r="O79" s="18"/>
      <c r="P79" s="18">
        <f t="shared" ca="1" si="7"/>
        <v>6901600.4605995491</v>
      </c>
    </row>
    <row r="80" spans="1:16" x14ac:dyDescent="0.25">
      <c r="A80" s="3">
        <f>'Monthly Data'!A80</f>
        <v>44378</v>
      </c>
      <c r="B80" s="1">
        <f t="shared" si="5"/>
        <v>2021</v>
      </c>
      <c r="C80" s="1">
        <f t="shared" si="6"/>
        <v>7</v>
      </c>
      <c r="D80" s="268">
        <f>'Monthly Data'!S80</f>
        <v>7247185.5473630354</v>
      </c>
      <c r="E80" s="268">
        <f t="shared" ca="1" si="8"/>
        <v>174.0219619206118</v>
      </c>
      <c r="F80" s="268">
        <f>'Monthly Data'!BE80</f>
        <v>131.62083333333331</v>
      </c>
      <c r="G80" s="278">
        <f>'Monthly Data'!CG80</f>
        <v>0.5</v>
      </c>
      <c r="H80" s="278">
        <f>'Monthly Data'!AQ80</f>
        <v>205.7</v>
      </c>
      <c r="I80" s="278">
        <f>'Monthly Data'!CD80</f>
        <v>31</v>
      </c>
      <c r="K80" s="18"/>
      <c r="L80" s="18">
        <f ca="1">(E80-F80)*'GS 1k-4,999 Predicted Monthly'!$T$11</f>
        <v>379266.5454638807</v>
      </c>
      <c r="M80" s="18"/>
      <c r="N80" s="18"/>
      <c r="O80" s="18"/>
      <c r="P80" s="18">
        <f t="shared" ca="1" si="7"/>
        <v>7626452.0928269159</v>
      </c>
    </row>
    <row r="81" spans="1:16" x14ac:dyDescent="0.25">
      <c r="A81" s="3">
        <f>'Monthly Data'!A81</f>
        <v>44409</v>
      </c>
      <c r="B81" s="1">
        <f t="shared" si="5"/>
        <v>2021</v>
      </c>
      <c r="C81" s="1">
        <f t="shared" si="6"/>
        <v>8</v>
      </c>
      <c r="D81" s="268">
        <f>'Monthly Data'!S81</f>
        <v>8365993.6754025491</v>
      </c>
      <c r="E81" s="268">
        <f t="shared" ca="1" si="8"/>
        <v>149.7160046113307</v>
      </c>
      <c r="F81" s="268">
        <f>'Monthly Data'!BE81</f>
        <v>204.06249999999994</v>
      </c>
      <c r="G81" s="278">
        <f>'Monthly Data'!CG81</f>
        <v>0.5</v>
      </c>
      <c r="H81" s="278">
        <f>'Monthly Data'!AQ81</f>
        <v>208.6</v>
      </c>
      <c r="I81" s="278">
        <f>'Monthly Data'!CD81</f>
        <v>31</v>
      </c>
      <c r="K81" s="18"/>
      <c r="L81" s="18">
        <f ca="1">(E81-F81)*'GS 1k-4,999 Predicted Monthly'!$T$11</f>
        <v>-486114.59767402074</v>
      </c>
      <c r="M81" s="18"/>
      <c r="N81" s="18"/>
      <c r="O81" s="18"/>
      <c r="P81" s="18">
        <f t="shared" ca="1" si="7"/>
        <v>7879879.0777285285</v>
      </c>
    </row>
    <row r="82" spans="1:16" x14ac:dyDescent="0.25">
      <c r="A82" s="3">
        <f>'Monthly Data'!A82</f>
        <v>44440</v>
      </c>
      <c r="B82" s="1">
        <f t="shared" si="5"/>
        <v>2021</v>
      </c>
      <c r="C82" s="1">
        <f t="shared" si="6"/>
        <v>9</v>
      </c>
      <c r="D82" s="268">
        <f>'Monthly Data'!S82</f>
        <v>6409096.5814957926</v>
      </c>
      <c r="E82" s="268">
        <f t="shared" ca="1" si="8"/>
        <v>62.345178571428576</v>
      </c>
      <c r="F82" s="268">
        <f>'Monthly Data'!BE82</f>
        <v>49.341666666666683</v>
      </c>
      <c r="G82" s="278">
        <f>'Monthly Data'!CG82</f>
        <v>0.5</v>
      </c>
      <c r="H82" s="278">
        <f>'Monthly Data'!AQ82</f>
        <v>212.9</v>
      </c>
      <c r="I82" s="278">
        <f>'Monthly Data'!CD82</f>
        <v>30</v>
      </c>
      <c r="K82" s="18"/>
      <c r="L82" s="18">
        <f ca="1">(E82-F82)*'GS 1k-4,999 Predicted Monthly'!$T$11</f>
        <v>116312.87192900723</v>
      </c>
      <c r="M82" s="18"/>
      <c r="N82" s="18"/>
      <c r="O82" s="18"/>
      <c r="P82" s="18">
        <f t="shared" ca="1" si="7"/>
        <v>6525409.4534248002</v>
      </c>
    </row>
    <row r="83" spans="1:16" x14ac:dyDescent="0.25">
      <c r="A83" s="3">
        <f>'Monthly Data'!A83</f>
        <v>44470</v>
      </c>
      <c r="B83" s="1">
        <f t="shared" si="5"/>
        <v>2021</v>
      </c>
      <c r="C83" s="1">
        <f t="shared" si="6"/>
        <v>10</v>
      </c>
      <c r="D83" s="268">
        <f>'Monthly Data'!S83</f>
        <v>6889103.0725763496</v>
      </c>
      <c r="E83" s="268">
        <f t="shared" ca="1" si="8"/>
        <v>7.1541666666666703</v>
      </c>
      <c r="F83" s="268">
        <f>'Monthly Data'!BE83</f>
        <v>18.245833333333344</v>
      </c>
      <c r="G83" s="278">
        <f>'Monthly Data'!CG83</f>
        <v>0.5</v>
      </c>
      <c r="H83" s="278">
        <f>'Monthly Data'!AQ83</f>
        <v>217.2</v>
      </c>
      <c r="I83" s="278">
        <f>'Monthly Data'!CD83</f>
        <v>31</v>
      </c>
      <c r="K83" s="18"/>
      <c r="L83" s="18">
        <f ca="1">(E83-F83)*'GS 1k-4,999 Predicted Monthly'!$T$11</f>
        <v>-99211.937046545296</v>
      </c>
      <c r="M83" s="18"/>
      <c r="N83" s="18"/>
      <c r="O83" s="18"/>
      <c r="P83" s="18">
        <f t="shared" ca="1" si="7"/>
        <v>6789891.135529804</v>
      </c>
    </row>
    <row r="84" spans="1:16" x14ac:dyDescent="0.25">
      <c r="A84" s="3">
        <f>'Monthly Data'!A84</f>
        <v>44501</v>
      </c>
      <c r="B84" s="1">
        <f t="shared" si="5"/>
        <v>2021</v>
      </c>
      <c r="C84" s="1">
        <f t="shared" si="6"/>
        <v>11</v>
      </c>
      <c r="D84" s="268">
        <f>'Monthly Data'!S84</f>
        <v>6744335.6859382633</v>
      </c>
      <c r="E84" s="268">
        <f t="shared" ca="1" si="8"/>
        <v>0.15041666666666628</v>
      </c>
      <c r="F84" s="268">
        <f>'Monthly Data'!BE84</f>
        <v>0</v>
      </c>
      <c r="G84" s="278">
        <f>'Monthly Data'!CG84</f>
        <v>0.5</v>
      </c>
      <c r="H84" s="278">
        <f>'Monthly Data'!AQ84</f>
        <v>222.6</v>
      </c>
      <c r="I84" s="278">
        <f>'Monthly Data'!CD84</f>
        <v>30</v>
      </c>
      <c r="K84" s="18"/>
      <c r="L84" s="18">
        <f ca="1">(E84-F84)*'GS 1k-4,999 Predicted Monthly'!$T$11</f>
        <v>1345.4361109617857</v>
      </c>
      <c r="M84" s="18"/>
      <c r="N84" s="18"/>
      <c r="O84" s="18"/>
      <c r="P84" s="18">
        <f t="shared" ca="1" si="7"/>
        <v>6745681.1220492255</v>
      </c>
    </row>
    <row r="85" spans="1:16" x14ac:dyDescent="0.25">
      <c r="A85" s="3">
        <f>'Monthly Data'!A85</f>
        <v>44531</v>
      </c>
      <c r="B85" s="1">
        <f t="shared" si="5"/>
        <v>2021</v>
      </c>
      <c r="C85" s="1">
        <f t="shared" si="6"/>
        <v>12</v>
      </c>
      <c r="D85" s="268">
        <f>'Monthly Data'!S85</f>
        <v>6128351.284929418</v>
      </c>
      <c r="E85" s="268">
        <f t="shared" ca="1" si="8"/>
        <v>0</v>
      </c>
      <c r="F85" s="268">
        <f>'Monthly Data'!BE85</f>
        <v>0</v>
      </c>
      <c r="G85" s="278">
        <f>'Monthly Data'!CG85</f>
        <v>0.5</v>
      </c>
      <c r="H85" s="278">
        <f>'Monthly Data'!AQ85</f>
        <v>223.5</v>
      </c>
      <c r="I85" s="278">
        <f>'Monthly Data'!CD85</f>
        <v>31</v>
      </c>
      <c r="K85" s="18"/>
      <c r="L85" s="18">
        <f ca="1">(E85-F85)*'GS 1k-4,999 Predicted Monthly'!$T$11</f>
        <v>0</v>
      </c>
      <c r="M85" s="18"/>
      <c r="N85" s="18"/>
      <c r="O85" s="18"/>
      <c r="P85" s="18">
        <f t="shared" ca="1" si="7"/>
        <v>6128351.284929418</v>
      </c>
    </row>
    <row r="86" spans="1:16" x14ac:dyDescent="0.25">
      <c r="A86" s="3">
        <f>'Monthly Data'!A86</f>
        <v>44562</v>
      </c>
      <c r="B86" s="1">
        <f t="shared" si="5"/>
        <v>2022</v>
      </c>
      <c r="C86" s="1">
        <f t="shared" si="6"/>
        <v>1</v>
      </c>
      <c r="D86" s="268">
        <f>'Monthly Data'!S86</f>
        <v>6906301.0009142747</v>
      </c>
      <c r="E86" s="268">
        <f t="shared" si="8"/>
        <v>0</v>
      </c>
      <c r="F86" s="268">
        <f>'Monthly Data'!BE86</f>
        <v>0</v>
      </c>
      <c r="G86" s="278">
        <f>'Monthly Data'!CG86</f>
        <v>0.25</v>
      </c>
      <c r="H86" s="278">
        <f>'Monthly Data'!AQ86</f>
        <v>221.3</v>
      </c>
      <c r="I86" s="278">
        <f>'Monthly Data'!CD86</f>
        <v>31</v>
      </c>
      <c r="K86" s="18"/>
      <c r="L86" s="18">
        <f>(E86-F86)*'GS 1k-4,999 Predicted Monthly'!$T$11</f>
        <v>0</v>
      </c>
      <c r="M86" s="18"/>
      <c r="N86" s="18"/>
      <c r="O86" s="18"/>
      <c r="P86" s="18">
        <f t="shared" si="7"/>
        <v>6906301.0009142747</v>
      </c>
    </row>
    <row r="87" spans="1:16" x14ac:dyDescent="0.25">
      <c r="A87" s="3">
        <f>'Monthly Data'!A87</f>
        <v>44593</v>
      </c>
      <c r="B87" s="1">
        <f t="shared" si="5"/>
        <v>2022</v>
      </c>
      <c r="C87" s="1">
        <f t="shared" si="6"/>
        <v>2</v>
      </c>
      <c r="D87" s="268">
        <f>'Monthly Data'!S87</f>
        <v>7158851.9016371276</v>
      </c>
      <c r="E87" s="268">
        <f t="shared" ca="1" si="8"/>
        <v>0</v>
      </c>
      <c r="F87" s="268">
        <f>'Monthly Data'!BE87</f>
        <v>0</v>
      </c>
      <c r="G87" s="278">
        <f>'Monthly Data'!CG87</f>
        <v>0.25</v>
      </c>
      <c r="H87" s="278">
        <f>'Monthly Data'!AQ87</f>
        <v>221.3</v>
      </c>
      <c r="I87" s="278">
        <f>'Monthly Data'!CD87</f>
        <v>28</v>
      </c>
      <c r="K87" s="18"/>
      <c r="L87" s="18">
        <f ca="1">(E87-F87)*'GS 1k-4,999 Predicted Monthly'!$T$11</f>
        <v>0</v>
      </c>
      <c r="M87" s="18"/>
      <c r="N87" s="18"/>
      <c r="O87" s="18"/>
      <c r="P87" s="18">
        <f t="shared" ca="1" si="7"/>
        <v>7158851.9016371276</v>
      </c>
    </row>
    <row r="88" spans="1:16" x14ac:dyDescent="0.25">
      <c r="A88" s="3">
        <f>'Monthly Data'!A88</f>
        <v>44621</v>
      </c>
      <c r="B88" s="1">
        <f t="shared" si="5"/>
        <v>2022</v>
      </c>
      <c r="C88" s="1">
        <f t="shared" si="6"/>
        <v>3</v>
      </c>
      <c r="D88" s="268">
        <f>'Monthly Data'!S88</f>
        <v>7057935.0318071265</v>
      </c>
      <c r="E88" s="268">
        <f t="shared" ca="1" si="8"/>
        <v>0</v>
      </c>
      <c r="F88" s="268">
        <f>'Monthly Data'!BE88</f>
        <v>0</v>
      </c>
      <c r="G88" s="278">
        <f>'Monthly Data'!CG88</f>
        <v>0.25</v>
      </c>
      <c r="H88" s="278">
        <f>'Monthly Data'!AQ88</f>
        <v>222.7</v>
      </c>
      <c r="I88" s="278">
        <f>'Monthly Data'!CD88</f>
        <v>31</v>
      </c>
      <c r="K88" s="18"/>
      <c r="L88" s="18">
        <f ca="1">(E88-F88)*'GS 1k-4,999 Predicted Monthly'!$T$11</f>
        <v>0</v>
      </c>
      <c r="M88" s="18"/>
      <c r="N88" s="18"/>
      <c r="O88" s="18"/>
      <c r="P88" s="18">
        <f t="shared" ca="1" si="7"/>
        <v>7057935.0318071265</v>
      </c>
    </row>
    <row r="89" spans="1:16" x14ac:dyDescent="0.25">
      <c r="A89" s="3">
        <f>'Monthly Data'!A89</f>
        <v>44652</v>
      </c>
      <c r="B89" s="1">
        <f t="shared" si="5"/>
        <v>2022</v>
      </c>
      <c r="C89" s="1">
        <f t="shared" si="6"/>
        <v>4</v>
      </c>
      <c r="D89" s="268">
        <f>'Monthly Data'!S89</f>
        <v>6934624.7238631817</v>
      </c>
      <c r="E89" s="268">
        <f t="shared" ca="1" si="8"/>
        <v>0.4316666666666677</v>
      </c>
      <c r="F89" s="268">
        <f>'Monthly Data'!BE89</f>
        <v>0</v>
      </c>
      <c r="G89" s="278">
        <f>'Monthly Data'!CG89</f>
        <v>0.25</v>
      </c>
      <c r="H89" s="278">
        <f>'Monthly Data'!AQ89</f>
        <v>227.3</v>
      </c>
      <c r="I89" s="278">
        <f>'Monthly Data'!CD89</f>
        <v>30</v>
      </c>
      <c r="K89" s="18"/>
      <c r="L89" s="18">
        <f ca="1">(E89-F89)*'GS 1k-4,999 Predicted Monthly'!$T$11</f>
        <v>3861.1407505717921</v>
      </c>
      <c r="M89" s="18"/>
      <c r="N89" s="18"/>
      <c r="O89" s="18"/>
      <c r="P89" s="18">
        <f t="shared" ca="1" si="7"/>
        <v>6938485.8646137537</v>
      </c>
    </row>
    <row r="90" spans="1:16" x14ac:dyDescent="0.25">
      <c r="A90" s="3">
        <f>'Monthly Data'!A90</f>
        <v>44682</v>
      </c>
      <c r="B90" s="1">
        <f t="shared" si="5"/>
        <v>2022</v>
      </c>
      <c r="C90" s="1">
        <f t="shared" si="6"/>
        <v>5</v>
      </c>
      <c r="D90" s="268">
        <f>'Monthly Data'!S90</f>
        <v>7873872.1026663976</v>
      </c>
      <c r="E90" s="268">
        <f t="shared" ca="1" si="8"/>
        <v>29.4520183982684</v>
      </c>
      <c r="F90" s="268">
        <f>'Monthly Data'!BE90</f>
        <v>41.6875</v>
      </c>
      <c r="G90" s="278">
        <f>'Monthly Data'!CG90</f>
        <v>0.25</v>
      </c>
      <c r="H90" s="278">
        <f>'Monthly Data'!AQ90</f>
        <v>229.3</v>
      </c>
      <c r="I90" s="278">
        <f>'Monthly Data'!CD90</f>
        <v>31</v>
      </c>
      <c r="K90" s="18"/>
      <c r="L90" s="18">
        <f ca="1">(E90-F90)*'GS 1k-4,999 Predicted Monthly'!$T$11</f>
        <v>-109443.05007409387</v>
      </c>
      <c r="M90" s="18"/>
      <c r="N90" s="18"/>
      <c r="O90" s="18"/>
      <c r="P90" s="18">
        <f t="shared" ca="1" si="7"/>
        <v>7764429.0525923036</v>
      </c>
    </row>
    <row r="91" spans="1:16" x14ac:dyDescent="0.25">
      <c r="A91" s="3">
        <f>'Monthly Data'!A91</f>
        <v>44713</v>
      </c>
      <c r="B91" s="1">
        <f t="shared" si="5"/>
        <v>2022</v>
      </c>
      <c r="C91" s="1">
        <f t="shared" si="6"/>
        <v>6</v>
      </c>
      <c r="D91" s="268">
        <f>'Monthly Data'!S91</f>
        <v>8319473.4229810853</v>
      </c>
      <c r="E91" s="268">
        <f t="shared" ca="1" si="8"/>
        <v>86.311049595332207</v>
      </c>
      <c r="F91" s="268">
        <f>'Monthly Data'!BE91</f>
        <v>67.11282467532466</v>
      </c>
      <c r="G91" s="278">
        <f>'Monthly Data'!CG91</f>
        <v>0.25</v>
      </c>
      <c r="H91" s="278">
        <f>'Monthly Data'!AQ91</f>
        <v>229.9</v>
      </c>
      <c r="I91" s="278">
        <f>'Monthly Data'!CD91</f>
        <v>30</v>
      </c>
      <c r="K91" s="18"/>
      <c r="L91" s="18">
        <f ca="1">(E91-F91)*'GS 1k-4,999 Predicted Monthly'!$T$11</f>
        <v>171722.89245702821</v>
      </c>
      <c r="M91" s="18"/>
      <c r="N91" s="18"/>
      <c r="O91" s="18"/>
      <c r="P91" s="18">
        <f t="shared" ca="1" si="7"/>
        <v>8491196.3154381141</v>
      </c>
    </row>
    <row r="92" spans="1:16" x14ac:dyDescent="0.25">
      <c r="A92" s="3">
        <f>'Monthly Data'!A92</f>
        <v>44743</v>
      </c>
      <c r="B92" s="1">
        <f t="shared" si="5"/>
        <v>2022</v>
      </c>
      <c r="C92" s="1">
        <f t="shared" si="6"/>
        <v>7</v>
      </c>
      <c r="D92" s="268">
        <f>'Monthly Data'!S92</f>
        <v>8824616.3377139345</v>
      </c>
      <c r="E92" s="268">
        <f t="shared" ca="1" si="8"/>
        <v>174.0219619206118</v>
      </c>
      <c r="F92" s="268">
        <f>'Monthly Data'!BE92</f>
        <v>159.8543382913806</v>
      </c>
      <c r="G92" s="278">
        <f>'Monthly Data'!CG92</f>
        <v>0.25</v>
      </c>
      <c r="H92" s="278">
        <f>'Monthly Data'!AQ92</f>
        <v>228.8</v>
      </c>
      <c r="I92" s="278">
        <f>'Monthly Data'!CD92</f>
        <v>31</v>
      </c>
      <c r="K92" s="18"/>
      <c r="L92" s="18">
        <f ca="1">(E92-F92)*'GS 1k-4,999 Predicted Monthly'!$T$11</f>
        <v>126725.53420908484</v>
      </c>
      <c r="M92" s="18"/>
      <c r="N92" s="18"/>
      <c r="O92" s="18"/>
      <c r="P92" s="18">
        <f t="shared" ca="1" si="7"/>
        <v>8951341.8719230201</v>
      </c>
    </row>
    <row r="93" spans="1:16" x14ac:dyDescent="0.25">
      <c r="A93" s="3">
        <f>'Monthly Data'!A93</f>
        <v>44774</v>
      </c>
      <c r="B93" s="1">
        <f t="shared" si="5"/>
        <v>2022</v>
      </c>
      <c r="C93" s="1">
        <f t="shared" si="6"/>
        <v>8</v>
      </c>
      <c r="D93" s="268">
        <f>'Monthly Data'!S93</f>
        <v>8324973.3981702216</v>
      </c>
      <c r="E93" s="268">
        <f t="shared" ca="1" si="8"/>
        <v>149.7160046113307</v>
      </c>
      <c r="F93" s="268">
        <f>'Monthly Data'!BE93</f>
        <v>166.28333333333327</v>
      </c>
      <c r="G93" s="278">
        <f>'Monthly Data'!CG93</f>
        <v>0.25</v>
      </c>
      <c r="H93" s="278">
        <f>'Monthly Data'!AQ93</f>
        <v>227.3</v>
      </c>
      <c r="I93" s="278">
        <f>'Monthly Data'!CD93</f>
        <v>31</v>
      </c>
      <c r="K93" s="18"/>
      <c r="L93" s="18">
        <f ca="1">(E93-F93)*'GS 1k-4,999 Predicted Monthly'!$T$11</f>
        <v>-148190.24260226055</v>
      </c>
      <c r="M93" s="18"/>
      <c r="N93" s="18"/>
      <c r="O93" s="18"/>
      <c r="P93" s="18">
        <f t="shared" ca="1" si="7"/>
        <v>8176783.1555679608</v>
      </c>
    </row>
    <row r="94" spans="1:16" x14ac:dyDescent="0.25">
      <c r="A94" s="3">
        <f>'Monthly Data'!A94</f>
        <v>44805</v>
      </c>
      <c r="B94" s="1">
        <f t="shared" si="5"/>
        <v>2022</v>
      </c>
      <c r="C94" s="1">
        <f t="shared" si="6"/>
        <v>9</v>
      </c>
      <c r="D94" s="268">
        <f>'Monthly Data'!S94</f>
        <v>8116264.8044103524</v>
      </c>
      <c r="E94" s="268">
        <f t="shared" ca="1" si="8"/>
        <v>62.345178571428576</v>
      </c>
      <c r="F94" s="268">
        <f>'Monthly Data'!BE94</f>
        <v>56.250000000000007</v>
      </c>
      <c r="G94" s="278">
        <f>'Monthly Data'!CG94</f>
        <v>0.25</v>
      </c>
      <c r="H94" s="278">
        <f>'Monthly Data'!AQ94</f>
        <v>226</v>
      </c>
      <c r="I94" s="278">
        <f>'Monthly Data'!CD94</f>
        <v>30</v>
      </c>
      <c r="K94" s="18"/>
      <c r="L94" s="18">
        <f ca="1">(E94-F94)*'GS 1k-4,999 Predicted Monthly'!$T$11</f>
        <v>54519.712040512939</v>
      </c>
      <c r="M94" s="18"/>
      <c r="N94" s="18"/>
      <c r="O94" s="18"/>
      <c r="P94" s="18">
        <f t="shared" ca="1" si="7"/>
        <v>8170784.5164508652</v>
      </c>
    </row>
    <row r="95" spans="1:16" x14ac:dyDescent="0.25">
      <c r="A95" s="3">
        <f>'Monthly Data'!A95</f>
        <v>44835</v>
      </c>
      <c r="B95" s="1">
        <f t="shared" si="5"/>
        <v>2022</v>
      </c>
      <c r="C95" s="1">
        <f t="shared" si="6"/>
        <v>10</v>
      </c>
      <c r="D95" s="268">
        <f>'Monthly Data'!S95</f>
        <v>8408453.1170397643</v>
      </c>
      <c r="E95" s="268">
        <f t="shared" ca="1" si="8"/>
        <v>7.1541666666666703</v>
      </c>
      <c r="F95" s="268">
        <f>'Monthly Data'!BE95</f>
        <v>0</v>
      </c>
      <c r="G95" s="278">
        <f>'Monthly Data'!CG95</f>
        <v>0.25</v>
      </c>
      <c r="H95" s="278">
        <f>'Monthly Data'!AQ95</f>
        <v>226.2</v>
      </c>
      <c r="I95" s="278">
        <f>'Monthly Data'!CD95</f>
        <v>31</v>
      </c>
      <c r="K95" s="18"/>
      <c r="L95" s="18">
        <f ca="1">(E95-F95)*'GS 1k-4,999 Predicted Monthly'!$T$11</f>
        <v>63992.072092005357</v>
      </c>
      <c r="M95" s="18"/>
      <c r="N95" s="18"/>
      <c r="O95" s="18"/>
      <c r="P95" s="18">
        <f t="shared" ca="1" si="7"/>
        <v>8472445.1891317703</v>
      </c>
    </row>
    <row r="96" spans="1:16" x14ac:dyDescent="0.25">
      <c r="A96" s="3">
        <f>'Monthly Data'!A96</f>
        <v>44866</v>
      </c>
      <c r="B96" s="1">
        <f t="shared" si="5"/>
        <v>2022</v>
      </c>
      <c r="C96" s="1">
        <f t="shared" si="6"/>
        <v>11</v>
      </c>
      <c r="D96" s="268">
        <f>'Monthly Data'!S96</f>
        <v>7440054.2619402809</v>
      </c>
      <c r="E96" s="268">
        <f t="shared" ca="1" si="8"/>
        <v>0.15041666666666628</v>
      </c>
      <c r="F96" s="268">
        <f>'Monthly Data'!BE96</f>
        <v>0</v>
      </c>
      <c r="G96" s="278">
        <f>'Monthly Data'!CG96</f>
        <v>0.25</v>
      </c>
      <c r="H96" s="278">
        <f>'Monthly Data'!AQ96</f>
        <v>225.9</v>
      </c>
      <c r="I96" s="278">
        <f>'Monthly Data'!CD96</f>
        <v>30</v>
      </c>
      <c r="K96" s="18"/>
      <c r="L96" s="18">
        <f ca="1">(E96-F96)*'GS 1k-4,999 Predicted Monthly'!$T$11</f>
        <v>1345.4361109617857</v>
      </c>
      <c r="M96" s="18"/>
      <c r="N96" s="18"/>
      <c r="O96" s="18"/>
      <c r="P96" s="18">
        <f t="shared" ca="1" si="7"/>
        <v>7441399.6980512431</v>
      </c>
    </row>
    <row r="97" spans="1:19" x14ac:dyDescent="0.25">
      <c r="A97" s="3">
        <f>'Monthly Data'!A97</f>
        <v>44896</v>
      </c>
      <c r="B97" s="1">
        <f t="shared" si="5"/>
        <v>2022</v>
      </c>
      <c r="C97" s="1">
        <f t="shared" si="6"/>
        <v>12</v>
      </c>
      <c r="D97" s="268">
        <f>'Monthly Data'!S97</f>
        <v>7186855.0292048287</v>
      </c>
      <c r="E97" s="268">
        <f t="shared" ca="1" si="8"/>
        <v>0</v>
      </c>
      <c r="F97" s="268">
        <f>'Monthly Data'!BE97</f>
        <v>0</v>
      </c>
      <c r="G97" s="278">
        <f>'Monthly Data'!CG97</f>
        <v>0.25</v>
      </c>
      <c r="H97" s="278">
        <f>'Monthly Data'!AQ97</f>
        <v>227.6</v>
      </c>
      <c r="I97" s="278">
        <f>'Monthly Data'!CD97</f>
        <v>31</v>
      </c>
      <c r="K97" s="18"/>
      <c r="L97" s="18">
        <f ca="1">(E97-F97)*'GS 1k-4,999 Predicted Monthly'!$T$11</f>
        <v>0</v>
      </c>
      <c r="M97" s="18"/>
      <c r="N97" s="18"/>
      <c r="O97" s="18"/>
      <c r="P97" s="18">
        <f t="shared" ca="1" si="7"/>
        <v>7186855.0292048287</v>
      </c>
    </row>
    <row r="98" spans="1:19" x14ac:dyDescent="0.25">
      <c r="A98" s="3">
        <f>'Monthly Data'!A98</f>
        <v>44927</v>
      </c>
      <c r="B98" s="1">
        <f t="shared" si="5"/>
        <v>2023</v>
      </c>
      <c r="C98" s="1">
        <f t="shared" si="6"/>
        <v>1</v>
      </c>
      <c r="D98" s="268">
        <f>'Monthly Data'!S98</f>
        <v>7297519.824448091</v>
      </c>
      <c r="E98" s="268">
        <f t="shared" si="8"/>
        <v>0</v>
      </c>
      <c r="F98" s="268">
        <f>'Monthly Data'!BE98</f>
        <v>0</v>
      </c>
      <c r="G98" s="278">
        <f>'Monthly Data'!CG98</f>
        <v>0</v>
      </c>
      <c r="H98" s="278">
        <f>'Monthly Data'!AQ98</f>
        <v>228.9</v>
      </c>
      <c r="I98" s="278">
        <f>'Monthly Data'!CD98</f>
        <v>31</v>
      </c>
      <c r="K98" s="18"/>
      <c r="L98" s="18">
        <f>(E98-F98)*'GS 1k-4,999 Predicted Monthly'!$T$11</f>
        <v>0</v>
      </c>
      <c r="M98" s="18"/>
      <c r="N98" s="18"/>
      <c r="O98" s="18"/>
      <c r="P98" s="18">
        <f t="shared" si="7"/>
        <v>7297519.824448091</v>
      </c>
    </row>
    <row r="99" spans="1:19" x14ac:dyDescent="0.25">
      <c r="A99" s="3">
        <f>'Monthly Data'!A99</f>
        <v>44958</v>
      </c>
      <c r="B99" s="1">
        <f t="shared" si="5"/>
        <v>2023</v>
      </c>
      <c r="C99" s="1">
        <f t="shared" si="6"/>
        <v>2</v>
      </c>
      <c r="D99" s="268">
        <f>'Monthly Data'!S99</f>
        <v>7161447.3370062616</v>
      </c>
      <c r="E99" s="268">
        <f t="shared" ca="1" si="8"/>
        <v>0</v>
      </c>
      <c r="F99" s="268">
        <f>'Monthly Data'!BE99</f>
        <v>0</v>
      </c>
      <c r="G99" s="278">
        <f>'Monthly Data'!CG99</f>
        <v>0</v>
      </c>
      <c r="H99" s="278">
        <f>'Monthly Data'!AQ99</f>
        <v>229.5</v>
      </c>
      <c r="I99" s="278">
        <f>'Monthly Data'!CD99</f>
        <v>28</v>
      </c>
      <c r="K99" s="18"/>
      <c r="L99" s="18">
        <f ca="1">(E99-F99)*'GS 1k-4,999 Predicted Monthly'!$T$11</f>
        <v>0</v>
      </c>
      <c r="M99" s="18"/>
      <c r="N99" s="18"/>
      <c r="O99" s="18"/>
      <c r="P99" s="18">
        <f t="shared" ca="1" si="7"/>
        <v>7161447.3370062616</v>
      </c>
    </row>
    <row r="100" spans="1:19" x14ac:dyDescent="0.25">
      <c r="A100" s="3">
        <f>'Monthly Data'!A100</f>
        <v>44986</v>
      </c>
      <c r="B100" s="1">
        <f t="shared" si="5"/>
        <v>2023</v>
      </c>
      <c r="C100" s="1">
        <f t="shared" si="6"/>
        <v>3</v>
      </c>
      <c r="D100" s="268">
        <f>'Monthly Data'!S100</f>
        <v>6776150.5893926928</v>
      </c>
      <c r="E100" s="268">
        <f t="shared" ca="1" si="8"/>
        <v>0</v>
      </c>
      <c r="F100" s="268">
        <f>'Monthly Data'!BE100</f>
        <v>0</v>
      </c>
      <c r="G100" s="278">
        <f>'Monthly Data'!CG100</f>
        <v>0</v>
      </c>
      <c r="H100" s="278">
        <f>'Monthly Data'!AQ100</f>
        <v>226.7</v>
      </c>
      <c r="I100" s="278">
        <f>'Monthly Data'!CD100</f>
        <v>31</v>
      </c>
      <c r="K100" s="18"/>
      <c r="L100" s="18">
        <f ca="1">(E100-F100)*'GS 1k-4,999 Predicted Monthly'!$T$11</f>
        <v>0</v>
      </c>
      <c r="M100" s="18"/>
      <c r="N100" s="18"/>
      <c r="O100" s="18"/>
      <c r="P100" s="18">
        <f t="shared" ca="1" si="7"/>
        <v>6776150.5893926928</v>
      </c>
      <c r="R100" s="18"/>
      <c r="S100" s="285"/>
    </row>
    <row r="101" spans="1:19" x14ac:dyDescent="0.25">
      <c r="A101" s="3">
        <f>'Monthly Data'!A101</f>
        <v>45017</v>
      </c>
      <c r="B101" s="1">
        <f t="shared" si="5"/>
        <v>2023</v>
      </c>
      <c r="C101" s="1">
        <f t="shared" si="6"/>
        <v>4</v>
      </c>
      <c r="D101" s="268">
        <f>'Monthly Data'!S101</f>
        <v>6947073.5590222785</v>
      </c>
      <c r="E101" s="268">
        <f t="shared" ca="1" si="8"/>
        <v>0.4316666666666677</v>
      </c>
      <c r="F101" s="268">
        <f>'Monthly Data'!BE101</f>
        <v>1.75833333333334</v>
      </c>
      <c r="G101" s="278">
        <f>'Monthly Data'!CG101</f>
        <v>0</v>
      </c>
      <c r="H101" s="278">
        <f>'Monthly Data'!AQ101</f>
        <v>223.9</v>
      </c>
      <c r="I101" s="278">
        <f>'Monthly Data'!CD101</f>
        <v>30</v>
      </c>
      <c r="K101" s="18"/>
      <c r="L101" s="18">
        <f ca="1">(E101-F101)*'GS 1k-4,999 Predicted Monthly'!$T$11</f>
        <v>-11866.671959286301</v>
      </c>
      <c r="M101" s="18"/>
      <c r="N101" s="18"/>
      <c r="O101" s="18"/>
      <c r="P101" s="18">
        <f t="shared" ca="1" si="7"/>
        <v>6935206.887062992</v>
      </c>
      <c r="R101" s="18"/>
      <c r="S101" s="285"/>
    </row>
    <row r="102" spans="1:19" x14ac:dyDescent="0.25">
      <c r="A102" s="3">
        <f>'Monthly Data'!A102</f>
        <v>45047</v>
      </c>
      <c r="B102" s="1">
        <f t="shared" si="5"/>
        <v>2023</v>
      </c>
      <c r="C102" s="1">
        <f t="shared" si="6"/>
        <v>5</v>
      </c>
      <c r="D102" s="268">
        <f>'Monthly Data'!S102</f>
        <v>7200001.0531606339</v>
      </c>
      <c r="E102" s="268">
        <f t="shared" ca="1" si="8"/>
        <v>29.4520183982684</v>
      </c>
      <c r="F102" s="268">
        <f>'Monthly Data'!BE102</f>
        <v>19.570833333333329</v>
      </c>
      <c r="G102" s="278">
        <f>'Monthly Data'!CG102</f>
        <v>0</v>
      </c>
      <c r="H102" s="278">
        <f>'Monthly Data'!AQ102</f>
        <v>220</v>
      </c>
      <c r="I102" s="278">
        <f>'Monthly Data'!CD102</f>
        <v>31</v>
      </c>
      <c r="K102" s="18"/>
      <c r="L102" s="18">
        <f ca="1">(E102-F102)*'GS 1k-4,999 Predicted Monthly'!$T$11</f>
        <v>88384.508845163145</v>
      </c>
      <c r="M102" s="18"/>
      <c r="N102" s="18"/>
      <c r="O102" s="18"/>
      <c r="P102" s="18">
        <f t="shared" ca="1" si="7"/>
        <v>7288385.5620057974</v>
      </c>
      <c r="R102" s="18"/>
      <c r="S102" s="285"/>
    </row>
    <row r="103" spans="1:19" x14ac:dyDescent="0.25">
      <c r="A103" s="3">
        <f>'Monthly Data'!A103</f>
        <v>45078</v>
      </c>
      <c r="B103" s="1">
        <f t="shared" si="5"/>
        <v>2023</v>
      </c>
      <c r="C103" s="1">
        <f t="shared" si="6"/>
        <v>6</v>
      </c>
      <c r="D103" s="268">
        <f>'Monthly Data'!S103</f>
        <v>7964036.4040014911</v>
      </c>
      <c r="E103" s="268">
        <f t="shared" ca="1" si="8"/>
        <v>86.311049595332207</v>
      </c>
      <c r="F103" s="268">
        <f>'Monthly Data'!BE103</f>
        <v>89.8125</v>
      </c>
      <c r="G103" s="278">
        <f>'Monthly Data'!CG103</f>
        <v>0</v>
      </c>
      <c r="H103" s="278">
        <f>'Monthly Data'!AQ103</f>
        <v>220.4</v>
      </c>
      <c r="I103" s="278">
        <f>'Monthly Data'!CD103</f>
        <v>30</v>
      </c>
      <c r="K103" s="18"/>
      <c r="L103" s="18">
        <f ca="1">(E103-F103)*'GS 1k-4,999 Predicted Monthly'!$T$11</f>
        <v>-31319.520100931757</v>
      </c>
      <c r="M103" s="18"/>
      <c r="N103" s="18"/>
      <c r="O103" s="18"/>
      <c r="P103" s="18">
        <f t="shared" ca="1" si="7"/>
        <v>7932716.8839005595</v>
      </c>
      <c r="R103" s="18"/>
      <c r="S103" s="285"/>
    </row>
    <row r="104" spans="1:19" x14ac:dyDescent="0.25">
      <c r="A104" s="3">
        <f>'Monthly Data'!A104</f>
        <v>45108</v>
      </c>
      <c r="B104" s="1">
        <f t="shared" si="5"/>
        <v>2023</v>
      </c>
      <c r="C104" s="1">
        <f t="shared" si="6"/>
        <v>7</v>
      </c>
      <c r="D104" s="268">
        <f>'Monthly Data'!S104</f>
        <v>8159842.6990073696</v>
      </c>
      <c r="E104" s="268">
        <f t="shared" ca="1" si="8"/>
        <v>174.0219619206118</v>
      </c>
      <c r="F104" s="268">
        <f>'Monthly Data'!BE104</f>
        <v>161.78333333333336</v>
      </c>
      <c r="G104" s="278">
        <f>'Monthly Data'!CG104</f>
        <v>0</v>
      </c>
      <c r="H104" s="278">
        <f>'Monthly Data'!AQ104</f>
        <v>220.8</v>
      </c>
      <c r="I104" s="278">
        <f>'Monthly Data'!CD104</f>
        <v>31</v>
      </c>
      <c r="K104" s="18"/>
      <c r="L104" s="18">
        <f ca="1">(E104-F104)*'GS 1k-4,999 Predicted Monthly'!$T$11</f>
        <v>109471.19900259512</v>
      </c>
      <c r="M104" s="18"/>
      <c r="N104" s="18"/>
      <c r="O104" s="18"/>
      <c r="P104" s="18">
        <f t="shared" ca="1" si="7"/>
        <v>8269313.8980099643</v>
      </c>
      <c r="R104" s="18"/>
      <c r="S104" s="285"/>
    </row>
    <row r="105" spans="1:19" x14ac:dyDescent="0.25">
      <c r="A105" s="3">
        <f>'Monthly Data'!A105</f>
        <v>45139</v>
      </c>
      <c r="B105" s="1">
        <f t="shared" si="5"/>
        <v>2023</v>
      </c>
      <c r="C105" s="1">
        <f t="shared" si="6"/>
        <v>8</v>
      </c>
      <c r="D105" s="268">
        <f>'Monthly Data'!S105</f>
        <v>8217677.1423773421</v>
      </c>
      <c r="E105" s="268">
        <f t="shared" ca="1" si="8"/>
        <v>149.7160046113307</v>
      </c>
      <c r="F105" s="268">
        <f>'Monthly Data'!BE105</f>
        <v>105.41739130434784</v>
      </c>
      <c r="G105" s="278">
        <f>'Monthly Data'!CG105</f>
        <v>0</v>
      </c>
      <c r="H105" s="278">
        <f>'Monthly Data'!AQ105</f>
        <v>223.5</v>
      </c>
      <c r="I105" s="278">
        <f>'Monthly Data'!CD105</f>
        <v>31</v>
      </c>
      <c r="K105" s="18"/>
      <c r="L105" s="18">
        <f ca="1">(E105-F105)*'GS 1k-4,999 Predicted Monthly'!$T$11</f>
        <v>396239.02942103392</v>
      </c>
      <c r="M105" s="18"/>
      <c r="N105" s="18"/>
      <c r="O105" s="18"/>
      <c r="P105" s="18">
        <f t="shared" ca="1" si="7"/>
        <v>8613916.1717983764</v>
      </c>
      <c r="R105" s="18"/>
      <c r="S105" s="285"/>
    </row>
    <row r="106" spans="1:19" x14ac:dyDescent="0.25">
      <c r="A106" s="3">
        <f>'Monthly Data'!A106</f>
        <v>45170</v>
      </c>
      <c r="B106" s="1">
        <f t="shared" si="5"/>
        <v>2023</v>
      </c>
      <c r="C106" s="1">
        <f t="shared" si="6"/>
        <v>9</v>
      </c>
      <c r="D106" s="268">
        <f>'Monthly Data'!S106</f>
        <v>7999183.9303060388</v>
      </c>
      <c r="E106" s="268">
        <f t="shared" ca="1" si="8"/>
        <v>62.345178571428576</v>
      </c>
      <c r="F106" s="268">
        <f>'Monthly Data'!BE106</f>
        <v>58.208333333333314</v>
      </c>
      <c r="G106" s="278">
        <f>'Monthly Data'!CG106</f>
        <v>0</v>
      </c>
      <c r="H106" s="278">
        <f>'Monthly Data'!AQ106</f>
        <v>223.9</v>
      </c>
      <c r="I106" s="278">
        <f>'Monthly Data'!CD106</f>
        <v>30</v>
      </c>
      <c r="K106" s="18"/>
      <c r="L106" s="18">
        <f ca="1">(E106-F106)*'GS 1k-4,999 Predicted Monthly'!$T$11</f>
        <v>37002.9538091547</v>
      </c>
      <c r="M106" s="18"/>
      <c r="N106" s="18"/>
      <c r="O106" s="18"/>
      <c r="P106" s="18">
        <f t="shared" ca="1" si="7"/>
        <v>8036186.884115194</v>
      </c>
      <c r="R106" s="18"/>
      <c r="S106" s="285"/>
    </row>
    <row r="107" spans="1:19" x14ac:dyDescent="0.25">
      <c r="A107" s="3">
        <f>'Monthly Data'!A107</f>
        <v>45200</v>
      </c>
      <c r="B107" s="1">
        <f t="shared" si="5"/>
        <v>2023</v>
      </c>
      <c r="C107" s="1">
        <f t="shared" si="6"/>
        <v>10</v>
      </c>
      <c r="D107" s="268">
        <f>'Monthly Data'!S107</f>
        <v>6717018.2480125464</v>
      </c>
      <c r="E107" s="268">
        <f t="shared" ca="1" si="8"/>
        <v>7.1541666666666703</v>
      </c>
      <c r="F107" s="268">
        <f>'Monthly Data'!BE107</f>
        <v>19.579166666666676</v>
      </c>
      <c r="G107" s="278">
        <f>'Monthly Data'!CG107</f>
        <v>0</v>
      </c>
      <c r="H107" s="278">
        <f>'Monthly Data'!AQ107</f>
        <v>223.1</v>
      </c>
      <c r="I107" s="278">
        <f>'Monthly Data'!CD107</f>
        <v>31</v>
      </c>
      <c r="K107" s="18"/>
      <c r="L107" s="18">
        <f ca="1">(E107-F107)*'GS 1k-4,999 Predicted Monthly'!$T$11</f>
        <v>-111138.24052321489</v>
      </c>
      <c r="M107" s="18"/>
      <c r="N107" s="18"/>
      <c r="O107" s="18"/>
      <c r="P107" s="18">
        <f t="shared" ca="1" si="7"/>
        <v>6605880.007489332</v>
      </c>
      <c r="R107" s="18"/>
      <c r="S107" s="285"/>
    </row>
    <row r="108" spans="1:19" x14ac:dyDescent="0.25">
      <c r="A108" s="3">
        <f>'Monthly Data'!A108</f>
        <v>45231</v>
      </c>
      <c r="B108" s="1">
        <f t="shared" si="5"/>
        <v>2023</v>
      </c>
      <c r="C108" s="1">
        <f t="shared" si="6"/>
        <v>11</v>
      </c>
      <c r="D108" s="268">
        <f>'Monthly Data'!S108</f>
        <v>7539474.7935202802</v>
      </c>
      <c r="E108" s="268">
        <f t="shared" ca="1" si="8"/>
        <v>0.15041666666666628</v>
      </c>
      <c r="F108" s="268">
        <f>'Monthly Data'!BE108</f>
        <v>0</v>
      </c>
      <c r="G108" s="278">
        <f>'Monthly Data'!CG108</f>
        <v>0</v>
      </c>
      <c r="H108" s="278">
        <f>'Monthly Data'!AQ108</f>
        <v>224.9</v>
      </c>
      <c r="I108" s="278">
        <f>'Monthly Data'!CD108</f>
        <v>30</v>
      </c>
      <c r="K108" s="18"/>
      <c r="L108" s="18">
        <f ca="1">(E108-F108)*'GS 1k-4,999 Predicted Monthly'!$T$11</f>
        <v>1345.4361109617857</v>
      </c>
      <c r="M108" s="18"/>
      <c r="N108" s="18"/>
      <c r="O108" s="18"/>
      <c r="P108" s="18">
        <f t="shared" ca="1" si="7"/>
        <v>7540820.2296312423</v>
      </c>
      <c r="R108" s="18"/>
      <c r="S108" s="285"/>
    </row>
    <row r="109" spans="1:19" x14ac:dyDescent="0.25">
      <c r="A109" s="3">
        <f>'Monthly Data'!A109</f>
        <v>45261</v>
      </c>
      <c r="B109" s="1">
        <f t="shared" si="5"/>
        <v>2023</v>
      </c>
      <c r="C109" s="1">
        <f t="shared" si="6"/>
        <v>12</v>
      </c>
      <c r="D109" s="268">
        <f>'Monthly Data'!S109</f>
        <v>6870511.9660611674</v>
      </c>
      <c r="E109" s="268">
        <f t="shared" ca="1" si="8"/>
        <v>0</v>
      </c>
      <c r="F109" s="268">
        <f>'Monthly Data'!BE109</f>
        <v>0</v>
      </c>
      <c r="G109" s="278">
        <f>'Monthly Data'!CG109</f>
        <v>0</v>
      </c>
      <c r="H109" s="278">
        <f>'Monthly Data'!AQ109</f>
        <v>226.3</v>
      </c>
      <c r="I109" s="278">
        <f>'Monthly Data'!CD109</f>
        <v>31</v>
      </c>
      <c r="K109" s="18"/>
      <c r="L109" s="18">
        <f ca="1">(E109-F109)*'GS 1k-4,999 Predicted Monthly'!$T$11</f>
        <v>0</v>
      </c>
      <c r="M109" s="18"/>
      <c r="N109" s="18"/>
      <c r="O109" s="18"/>
      <c r="P109" s="18">
        <f t="shared" ca="1" si="7"/>
        <v>6870511.9660611674</v>
      </c>
      <c r="Q109" s="268"/>
      <c r="R109" s="18"/>
      <c r="S109" s="285"/>
    </row>
    <row r="110" spans="1:19" x14ac:dyDescent="0.25">
      <c r="A110" s="3">
        <f>'Monthly Data'!A110</f>
        <v>45292</v>
      </c>
      <c r="B110" s="1">
        <f t="shared" si="5"/>
        <v>2024</v>
      </c>
      <c r="C110" s="1">
        <f t="shared" si="6"/>
        <v>1</v>
      </c>
      <c r="D110" s="268">
        <f>'Monthly Data'!S110</f>
        <v>7590328.9312978219</v>
      </c>
      <c r="E110" s="268">
        <f t="shared" si="8"/>
        <v>0</v>
      </c>
      <c r="F110" s="268">
        <f>'Monthly Data'!BE110</f>
        <v>0</v>
      </c>
      <c r="G110" s="278">
        <f>'Monthly Data'!CG110</f>
        <v>0</v>
      </c>
      <c r="H110" s="278">
        <f>'Monthly Data'!AQ110</f>
        <v>228.3</v>
      </c>
      <c r="I110" s="278">
        <f>'Monthly Data'!CD110</f>
        <v>31</v>
      </c>
      <c r="K110" s="18"/>
      <c r="L110" s="18">
        <f>(E110-F110)*'GS 1k-4,999 Predicted Monthly'!$T$11</f>
        <v>0</v>
      </c>
      <c r="M110" s="18"/>
      <c r="N110" s="18"/>
      <c r="O110" s="18"/>
      <c r="P110" s="18">
        <f t="shared" si="7"/>
        <v>7590328.9312978219</v>
      </c>
      <c r="Q110" s="268"/>
      <c r="R110" s="18"/>
      <c r="S110" s="285"/>
    </row>
    <row r="111" spans="1:19" x14ac:dyDescent="0.25">
      <c r="A111" s="3">
        <f>'Monthly Data'!A111</f>
        <v>45323</v>
      </c>
      <c r="B111" s="1">
        <f t="shared" si="5"/>
        <v>2024</v>
      </c>
      <c r="C111" s="1">
        <f t="shared" si="6"/>
        <v>2</v>
      </c>
      <c r="D111" s="268">
        <f>'Monthly Data'!S111</f>
        <v>6811755.0200896021</v>
      </c>
      <c r="E111" s="268">
        <f t="shared" ca="1" si="8"/>
        <v>0</v>
      </c>
      <c r="F111" s="268">
        <f>'Monthly Data'!BE111</f>
        <v>0</v>
      </c>
      <c r="G111" s="278">
        <f>'Monthly Data'!CG111</f>
        <v>0</v>
      </c>
      <c r="H111" s="278">
        <f>'Monthly Data'!AQ111</f>
        <v>229.4</v>
      </c>
      <c r="I111" s="278">
        <f>'Monthly Data'!CD111</f>
        <v>29</v>
      </c>
      <c r="K111" s="18"/>
      <c r="L111" s="18">
        <f ca="1">(E111-F111)*'GS 1k-4,999 Predicted Monthly'!$T$11</f>
        <v>0</v>
      </c>
      <c r="M111" s="18"/>
      <c r="N111" s="18"/>
      <c r="O111" s="18"/>
      <c r="P111" s="18">
        <f t="shared" ca="1" si="7"/>
        <v>6811755.0200896021</v>
      </c>
      <c r="Q111" s="268"/>
      <c r="R111" s="18"/>
      <c r="S111" s="285"/>
    </row>
    <row r="112" spans="1:19" x14ac:dyDescent="0.25">
      <c r="A112" s="3">
        <f>'Monthly Data'!A112</f>
        <v>45352</v>
      </c>
      <c r="B112" s="1">
        <f t="shared" si="5"/>
        <v>2024</v>
      </c>
      <c r="C112" s="1">
        <f t="shared" si="6"/>
        <v>3</v>
      </c>
      <c r="D112" s="268">
        <f>'Monthly Data'!S112</f>
        <v>7114173.1088813813</v>
      </c>
      <c r="E112" s="268">
        <f t="shared" ca="1" si="8"/>
        <v>0</v>
      </c>
      <c r="F112" s="268">
        <f>'Monthly Data'!BE112</f>
        <v>0</v>
      </c>
      <c r="G112" s="278">
        <f>'Monthly Data'!CG112</f>
        <v>0</v>
      </c>
      <c r="H112" s="278">
        <f>'Monthly Data'!AQ112</f>
        <v>230.9</v>
      </c>
      <c r="I112" s="278">
        <f>'Monthly Data'!CD112</f>
        <v>31</v>
      </c>
      <c r="K112" s="18"/>
      <c r="L112" s="18">
        <f ca="1">(E112-F112)*'GS 1k-4,999 Predicted Monthly'!$T$11</f>
        <v>0</v>
      </c>
      <c r="M112" s="18"/>
      <c r="N112" s="18"/>
      <c r="O112" s="18"/>
      <c r="P112" s="18">
        <f t="shared" ca="1" si="7"/>
        <v>7114173.1088813813</v>
      </c>
      <c r="Q112" s="268"/>
    </row>
    <row r="113" spans="1:18" x14ac:dyDescent="0.25">
      <c r="A113" s="3">
        <f>'Monthly Data'!A113</f>
        <v>45383</v>
      </c>
      <c r="B113" s="1">
        <f t="shared" si="5"/>
        <v>2024</v>
      </c>
      <c r="C113" s="1">
        <f t="shared" si="6"/>
        <v>4</v>
      </c>
      <c r="D113" s="268">
        <f>'Monthly Data'!S113</f>
        <v>7473751.1976731606</v>
      </c>
      <c r="E113" s="268">
        <f t="shared" ca="1" si="8"/>
        <v>0.4316666666666677</v>
      </c>
      <c r="F113" s="268">
        <f>'Monthly Data'!BE113</f>
        <v>0</v>
      </c>
      <c r="G113" s="278">
        <f>'Monthly Data'!CG113</f>
        <v>0</v>
      </c>
      <c r="H113" s="278">
        <f>'Monthly Data'!AQ113</f>
        <v>233.1</v>
      </c>
      <c r="I113" s="278">
        <f>'Monthly Data'!CD113</f>
        <v>30</v>
      </c>
      <c r="K113" s="18"/>
      <c r="L113" s="18">
        <f ca="1">(E113-F113)*'GS 1k-4,999 Predicted Monthly'!$T$11</f>
        <v>3861.1407505717921</v>
      </c>
      <c r="M113" s="18"/>
      <c r="N113" s="18"/>
      <c r="O113" s="18"/>
      <c r="P113" s="18">
        <f t="shared" ca="1" si="7"/>
        <v>7477612.3384237327</v>
      </c>
      <c r="Q113" s="268"/>
      <c r="R113" s="18"/>
    </row>
    <row r="114" spans="1:18" x14ac:dyDescent="0.25">
      <c r="A114" s="3">
        <f>'Monthly Data'!A114</f>
        <v>45413</v>
      </c>
      <c r="B114" s="1">
        <f t="shared" si="5"/>
        <v>2024</v>
      </c>
      <c r="C114" s="1">
        <f t="shared" si="6"/>
        <v>5</v>
      </c>
      <c r="D114" s="268">
        <f>'Monthly Data'!S114</f>
        <v>7987544.2864649398</v>
      </c>
      <c r="E114" s="268">
        <f t="shared" ca="1" si="8"/>
        <v>29.4520183982684</v>
      </c>
      <c r="F114" s="268">
        <f>'Monthly Data'!BE114</f>
        <v>27.287500000000005</v>
      </c>
      <c r="G114" s="278">
        <f>'Monthly Data'!CG114</f>
        <v>0</v>
      </c>
      <c r="H114" s="278">
        <f>'Monthly Data'!AQ114</f>
        <v>232.8</v>
      </c>
      <c r="I114" s="278">
        <f>'Monthly Data'!CD114</f>
        <v>31</v>
      </c>
      <c r="K114" s="18"/>
      <c r="L114" s="18">
        <f ca="1">(E114-F114)*'GS 1k-4,999 Predicted Monthly'!$T$11</f>
        <v>19361.027473937756</v>
      </c>
      <c r="M114" s="18"/>
      <c r="N114" s="18"/>
      <c r="O114" s="18"/>
      <c r="P114" s="18">
        <f t="shared" ca="1" si="7"/>
        <v>8006905.3139388775</v>
      </c>
      <c r="Q114" s="268"/>
      <c r="R114" s="18"/>
    </row>
    <row r="115" spans="1:18" x14ac:dyDescent="0.25">
      <c r="A115" s="3">
        <f>'Monthly Data'!A115</f>
        <v>45444</v>
      </c>
      <c r="B115" s="1">
        <f t="shared" si="5"/>
        <v>2024</v>
      </c>
      <c r="C115" s="1">
        <f t="shared" si="6"/>
        <v>6</v>
      </c>
      <c r="D115" s="268">
        <f>'Monthly Data'!S115</f>
        <v>8767993.3752567191</v>
      </c>
      <c r="E115" s="268">
        <f t="shared" ca="1" si="8"/>
        <v>86.311049595332207</v>
      </c>
      <c r="F115" s="268">
        <f>'Monthly Data'!BE115</f>
        <v>94.466666666666669</v>
      </c>
      <c r="G115" s="278">
        <f>'Monthly Data'!CG115</f>
        <v>0</v>
      </c>
      <c r="H115" s="278">
        <f>'Monthly Data'!AQ115</f>
        <v>230.6</v>
      </c>
      <c r="I115" s="278">
        <f>'Monthly Data'!CD115</f>
        <v>30</v>
      </c>
      <c r="K115" s="18"/>
      <c r="L115" s="18">
        <f ca="1">(E115-F115)*'GS 1k-4,999 Predicted Monthly'!$T$11</f>
        <v>-72949.773174181595</v>
      </c>
      <c r="M115" s="18"/>
      <c r="N115" s="18"/>
      <c r="O115" s="18"/>
      <c r="P115" s="18">
        <f t="shared" ca="1" si="7"/>
        <v>8695043.6020825375</v>
      </c>
      <c r="Q115" s="268"/>
      <c r="R115" s="18"/>
    </row>
    <row r="116" spans="1:18" x14ac:dyDescent="0.25">
      <c r="A116" s="3">
        <v>45474</v>
      </c>
      <c r="B116" s="1">
        <f t="shared" si="5"/>
        <v>2024</v>
      </c>
      <c r="C116" s="1">
        <f t="shared" si="6"/>
        <v>7</v>
      </c>
      <c r="D116" s="268">
        <f>'Monthly Data'!S116</f>
        <v>9613834.4640484992</v>
      </c>
      <c r="E116" s="268">
        <f t="shared" ca="1" si="8"/>
        <v>174.0219619206118</v>
      </c>
      <c r="F116" s="268">
        <f>'Monthly Data'!BE116</f>
        <v>179.14166666666668</v>
      </c>
      <c r="G116" s="278">
        <f>'Monthly Data'!CG116</f>
        <v>0</v>
      </c>
      <c r="H116" s="278">
        <f>'Monthly Data'!AQ116</f>
        <v>227.5</v>
      </c>
      <c r="I116" s="278">
        <f>'Monthly Data'!CD116</f>
        <v>31</v>
      </c>
      <c r="K116" s="18"/>
      <c r="L116" s="18">
        <f ca="1">(E116-F116)*'GS 1k-4,999 Predicted Monthly'!$T$11</f>
        <v>-45794.364384297114</v>
      </c>
      <c r="M116" s="18"/>
      <c r="N116" s="18"/>
      <c r="O116" s="18"/>
      <c r="P116" s="18">
        <f t="shared" ca="1" si="7"/>
        <v>9568040.099664202</v>
      </c>
      <c r="Q116" s="268"/>
      <c r="R116" s="18"/>
    </row>
    <row r="117" spans="1:18" x14ac:dyDescent="0.25">
      <c r="A117" s="3">
        <v>45505</v>
      </c>
      <c r="B117" s="1">
        <f t="shared" si="5"/>
        <v>2024</v>
      </c>
      <c r="C117" s="1">
        <f t="shared" si="6"/>
        <v>8</v>
      </c>
      <c r="D117" s="268">
        <f>'Monthly Data'!S117</f>
        <v>9361267.5528402776</v>
      </c>
      <c r="E117" s="268">
        <f t="shared" ca="1" si="8"/>
        <v>149.7160046113307</v>
      </c>
      <c r="F117" s="268">
        <f>'Monthly Data'!BE117</f>
        <v>140.625</v>
      </c>
      <c r="G117" s="278">
        <f>'Monthly Data'!CG117</f>
        <v>0</v>
      </c>
      <c r="H117" s="278">
        <f>'Monthly Data'!AQ117</f>
        <v>225.1</v>
      </c>
      <c r="I117" s="278">
        <f>'Monthly Data'!CD117</f>
        <v>31</v>
      </c>
      <c r="K117" s="18"/>
      <c r="L117" s="18">
        <f ca="1">(E117-F117)*'GS 1k-4,999 Predicted Monthly'!$T$11</f>
        <v>81316.559926899543</v>
      </c>
      <c r="M117" s="18"/>
      <c r="N117" s="18"/>
      <c r="O117" s="18"/>
      <c r="P117" s="18">
        <f t="shared" ca="1" si="7"/>
        <v>9442584.1127671767</v>
      </c>
      <c r="R117" s="18"/>
    </row>
    <row r="118" spans="1:18" x14ac:dyDescent="0.25">
      <c r="A118" s="3">
        <v>45536</v>
      </c>
      <c r="B118" s="1">
        <f t="shared" si="5"/>
        <v>2024</v>
      </c>
      <c r="C118" s="1">
        <f t="shared" si="6"/>
        <v>9</v>
      </c>
      <c r="D118" s="268">
        <f>'Monthly Data'!S118</f>
        <v>8188581.6416320577</v>
      </c>
      <c r="E118" s="268">
        <f t="shared" ca="1" si="8"/>
        <v>62.345178571428576</v>
      </c>
      <c r="F118" s="268">
        <f>'Monthly Data'!BE118</f>
        <v>62.220833333333331</v>
      </c>
      <c r="G118" s="278">
        <f>'Monthly Data'!CG118</f>
        <v>0</v>
      </c>
      <c r="H118" s="278">
        <f>'Monthly Data'!AQ118</f>
        <v>226.9</v>
      </c>
      <c r="I118" s="278">
        <f>'Monthly Data'!CD118</f>
        <v>30</v>
      </c>
      <c r="K118" s="18"/>
      <c r="L118" s="18">
        <f ca="1">(E118-F118)*'GS 1k-4,999 Predicted Monthly'!$T$11</f>
        <v>1112.2342840519702</v>
      </c>
      <c r="M118" s="18"/>
      <c r="N118" s="18"/>
      <c r="O118" s="18"/>
      <c r="P118" s="18">
        <f t="shared" ca="1" si="7"/>
        <v>8189693.8759161094</v>
      </c>
      <c r="R118" s="18"/>
    </row>
    <row r="119" spans="1:18" x14ac:dyDescent="0.25">
      <c r="A119" s="3">
        <v>45566</v>
      </c>
      <c r="B119" s="1">
        <f t="shared" si="5"/>
        <v>2024</v>
      </c>
      <c r="C119" s="1">
        <f t="shared" si="6"/>
        <v>10</v>
      </c>
      <c r="D119" s="268">
        <f>'Monthly Data'!S119</f>
        <v>7540474.730423837</v>
      </c>
      <c r="E119" s="268">
        <f t="shared" ca="1" si="8"/>
        <v>7.1541666666666703</v>
      </c>
      <c r="F119" s="268">
        <f>'Monthly Data'!BE119</f>
        <v>3.0458333333333378</v>
      </c>
      <c r="G119" s="278">
        <f>'Monthly Data'!CG119</f>
        <v>0</v>
      </c>
      <c r="H119" s="278">
        <f>'Monthly Data'!AQ119</f>
        <v>228.7</v>
      </c>
      <c r="I119" s="278">
        <f>'Monthly Data'!CD119</f>
        <v>31</v>
      </c>
      <c r="K119" s="18"/>
      <c r="L119" s="18">
        <f ca="1">(E119-F119)*'GS 1k-4,999 Predicted Monthly'!$T$11</f>
        <v>36747.922587488196</v>
      </c>
      <c r="M119" s="18"/>
      <c r="N119" s="18"/>
      <c r="O119" s="18"/>
      <c r="P119" s="18">
        <f t="shared" ca="1" si="7"/>
        <v>7577222.6530113248</v>
      </c>
      <c r="R119" s="18"/>
    </row>
    <row r="120" spans="1:18" x14ac:dyDescent="0.25">
      <c r="A120" s="3">
        <v>45597</v>
      </c>
      <c r="B120" s="1">
        <f t="shared" si="5"/>
        <v>2024</v>
      </c>
      <c r="C120" s="1">
        <f t="shared" si="6"/>
        <v>11</v>
      </c>
      <c r="D120" s="268">
        <f>'Monthly Data'!S120</f>
        <v>7124288.8192156162</v>
      </c>
      <c r="E120" s="268">
        <f t="shared" ca="1" si="8"/>
        <v>0.15041666666666628</v>
      </c>
      <c r="F120" s="268">
        <f>'Monthly Data'!BE120</f>
        <v>1.5041666666666629</v>
      </c>
      <c r="G120" s="278">
        <f>'Monthly Data'!CG120</f>
        <v>0</v>
      </c>
      <c r="H120" s="278">
        <f>'Monthly Data'!AQ120</f>
        <v>228.7</v>
      </c>
      <c r="I120" s="278">
        <f>'Monthly Data'!CD120</f>
        <v>30</v>
      </c>
      <c r="K120" s="18"/>
      <c r="L120" s="18">
        <f ca="1">(E120-F120)*'GS 1k-4,999 Predicted Monthly'!$T$11</f>
        <v>-12108.924998656074</v>
      </c>
      <c r="M120" s="18"/>
      <c r="N120" s="18"/>
      <c r="O120" s="18"/>
      <c r="P120" s="18">
        <f t="shared" ca="1" si="7"/>
        <v>7112179.8942169603</v>
      </c>
      <c r="R120" s="18"/>
    </row>
    <row r="121" spans="1:18" x14ac:dyDescent="0.25">
      <c r="A121" s="3">
        <v>45627</v>
      </c>
      <c r="B121" s="1">
        <f t="shared" si="5"/>
        <v>2024</v>
      </c>
      <c r="C121" s="1">
        <f t="shared" si="6"/>
        <v>12</v>
      </c>
      <c r="D121" s="268">
        <f>'Monthly Data'!S121</f>
        <v>7546802.9080073964</v>
      </c>
      <c r="E121" s="268">
        <f t="shared" ca="1" si="8"/>
        <v>0</v>
      </c>
      <c r="F121" s="268">
        <f>'Monthly Data'!BE121</f>
        <v>0</v>
      </c>
      <c r="G121" s="278">
        <f>'Monthly Data'!CG121</f>
        <v>0</v>
      </c>
      <c r="H121" s="278">
        <f>'Monthly Data'!AQ121</f>
        <v>227</v>
      </c>
      <c r="I121" s="278">
        <f>'Monthly Data'!CD121</f>
        <v>31</v>
      </c>
      <c r="K121" s="18"/>
      <c r="L121" s="18">
        <f ca="1">(E121-F121)*'GS 1k-4,999 Predicted Monthly'!$T$11</f>
        <v>0</v>
      </c>
      <c r="M121" s="18"/>
      <c r="N121" s="18"/>
      <c r="O121" s="18"/>
      <c r="P121" s="18">
        <f t="shared" ca="1" si="7"/>
        <v>7546802.9080073964</v>
      </c>
      <c r="R121" s="18"/>
    </row>
    <row r="122" spans="1:18" x14ac:dyDescent="0.25">
      <c r="A122" s="3">
        <v>45658</v>
      </c>
      <c r="B122" s="1">
        <f t="shared" si="5"/>
        <v>2025</v>
      </c>
      <c r="C122" s="1">
        <f t="shared" si="6"/>
        <v>1</v>
      </c>
      <c r="D122" s="268"/>
      <c r="E122" s="268">
        <f>E110</f>
        <v>0</v>
      </c>
      <c r="F122" s="268"/>
      <c r="G122" s="278">
        <f>G110</f>
        <v>0</v>
      </c>
      <c r="H122" s="278">
        <f>Economic!F124</f>
        <v>232.12402500000002</v>
      </c>
      <c r="I122" s="278">
        <f>I74</f>
        <v>31</v>
      </c>
      <c r="K122" s="18">
        <f>'GS 1k-4,999 Predicted Monthly'!$T$10</f>
        <v>1142088.9328922699</v>
      </c>
      <c r="L122" s="18">
        <f>E122*'GS 1k-4,999 Predicted Monthly'!$T$11</f>
        <v>0</v>
      </c>
      <c r="M122" s="18">
        <f>G122*'GS 1k-4,999 Predicted Monthly'!$T$12</f>
        <v>0</v>
      </c>
      <c r="N122" s="18">
        <f>H122*'GS 1k-4,999 Predicted Monthly'!$T$13</f>
        <v>2800807.7777210735</v>
      </c>
      <c r="O122" s="18">
        <f>I122*'GS 1k-4,999 Predicted Monthly'!$T$14</f>
        <v>3521036.9894481138</v>
      </c>
      <c r="P122" s="18">
        <f t="shared" ref="P122:P130" si="9">SUM(K122:O122)</f>
        <v>7463933.7000614572</v>
      </c>
      <c r="R122" s="18"/>
    </row>
    <row r="123" spans="1:18" x14ac:dyDescent="0.25">
      <c r="A123" s="3">
        <v>45689</v>
      </c>
      <c r="B123" s="1">
        <f t="shared" si="5"/>
        <v>2025</v>
      </c>
      <c r="C123" s="1">
        <f t="shared" si="6"/>
        <v>2</v>
      </c>
      <c r="D123" s="268"/>
      <c r="E123" s="268">
        <f t="shared" ref="E123:E145" ca="1" si="10">E111</f>
        <v>0</v>
      </c>
      <c r="F123" s="268"/>
      <c r="G123" s="278">
        <f t="shared" ref="G123:G138" si="11">G111</f>
        <v>0</v>
      </c>
      <c r="H123" s="278">
        <f>Economic!F125</f>
        <v>233.24245000000002</v>
      </c>
      <c r="I123" s="278">
        <f t="shared" ref="I123:I145" si="12">I75</f>
        <v>28</v>
      </c>
      <c r="K123" s="18">
        <f>'GS 1k-4,999 Predicted Monthly'!$T$10</f>
        <v>1142088.9328922699</v>
      </c>
      <c r="L123" s="18">
        <f ca="1">E123*'GS 1k-4,999 Predicted Monthly'!$T$11</f>
        <v>0</v>
      </c>
      <c r="M123" s="18">
        <f>G123*'GS 1k-4,999 Predicted Monthly'!$T$12</f>
        <v>0</v>
      </c>
      <c r="N123" s="18">
        <f>H123*'GS 1k-4,999 Predicted Monthly'!$T$13</f>
        <v>2814302.6903601154</v>
      </c>
      <c r="O123" s="18">
        <f>I123*'GS 1k-4,999 Predicted Monthly'!$T$14</f>
        <v>3180291.4743402321</v>
      </c>
      <c r="P123" s="18">
        <f t="shared" ca="1" si="9"/>
        <v>7136683.0975926174</v>
      </c>
      <c r="R123" s="18"/>
    </row>
    <row r="124" spans="1:18" x14ac:dyDescent="0.25">
      <c r="A124" s="3">
        <v>45717</v>
      </c>
      <c r="B124" s="1">
        <f t="shared" si="5"/>
        <v>2025</v>
      </c>
      <c r="C124" s="1">
        <f t="shared" si="6"/>
        <v>3</v>
      </c>
      <c r="D124" s="268"/>
      <c r="E124" s="268">
        <f t="shared" ca="1" si="10"/>
        <v>0</v>
      </c>
      <c r="F124" s="268"/>
      <c r="G124" s="278">
        <f t="shared" si="11"/>
        <v>0</v>
      </c>
      <c r="H124" s="278">
        <f>Economic!F126</f>
        <v>234.76757500000002</v>
      </c>
      <c r="I124" s="278">
        <f t="shared" si="12"/>
        <v>31</v>
      </c>
      <c r="K124" s="18">
        <f>'GS 1k-4,999 Predicted Monthly'!$T$10</f>
        <v>1142088.9328922699</v>
      </c>
      <c r="L124" s="18">
        <f ca="1">E124*'GS 1k-4,999 Predicted Monthly'!$T$11</f>
        <v>0</v>
      </c>
      <c r="M124" s="18">
        <f>G124*'GS 1k-4,999 Predicted Monthly'!$T$12</f>
        <v>0</v>
      </c>
      <c r="N124" s="18">
        <f>H124*'GS 1k-4,999 Predicted Monthly'!$T$13</f>
        <v>2832704.8439588081</v>
      </c>
      <c r="O124" s="18">
        <f>I124*'GS 1k-4,999 Predicted Monthly'!$T$14</f>
        <v>3521036.9894481138</v>
      </c>
      <c r="P124" s="18">
        <f t="shared" ca="1" si="9"/>
        <v>7495830.7662991919</v>
      </c>
      <c r="R124" s="18"/>
    </row>
    <row r="125" spans="1:18" x14ac:dyDescent="0.25">
      <c r="A125" s="3">
        <v>45748</v>
      </c>
      <c r="B125" s="1">
        <f t="shared" si="5"/>
        <v>2025</v>
      </c>
      <c r="C125" s="1">
        <f t="shared" si="6"/>
        <v>4</v>
      </c>
      <c r="D125" s="268"/>
      <c r="E125" s="268">
        <f t="shared" ca="1" si="10"/>
        <v>0.4316666666666677</v>
      </c>
      <c r="F125" s="268"/>
      <c r="G125" s="278">
        <f t="shared" si="11"/>
        <v>0</v>
      </c>
      <c r="H125" s="278">
        <f>Economic!F127</f>
        <v>237.004425</v>
      </c>
      <c r="I125" s="278">
        <f t="shared" si="12"/>
        <v>30</v>
      </c>
      <c r="K125" s="18">
        <f>'GS 1k-4,999 Predicted Monthly'!$T$10</f>
        <v>1142088.9328922699</v>
      </c>
      <c r="L125" s="18">
        <f ca="1">E125*'GS 1k-4,999 Predicted Monthly'!$T$11</f>
        <v>3861.1407505717921</v>
      </c>
      <c r="M125" s="18">
        <f>G125*'GS 1k-4,999 Predicted Monthly'!$T$12</f>
        <v>0</v>
      </c>
      <c r="N125" s="18">
        <f>H125*'GS 1k-4,999 Predicted Monthly'!$T$13</f>
        <v>2859694.669236891</v>
      </c>
      <c r="O125" s="18">
        <f>I125*'GS 1k-4,999 Predicted Monthly'!$T$14</f>
        <v>3407455.1510788198</v>
      </c>
      <c r="P125" s="18">
        <f t="shared" ca="1" si="9"/>
        <v>7413099.8939585518</v>
      </c>
    </row>
    <row r="126" spans="1:18" x14ac:dyDescent="0.25">
      <c r="A126" s="3">
        <v>45778</v>
      </c>
      <c r="B126" s="1">
        <f t="shared" si="5"/>
        <v>2025</v>
      </c>
      <c r="C126" s="1">
        <f t="shared" si="6"/>
        <v>5</v>
      </c>
      <c r="D126" s="268"/>
      <c r="E126" s="268">
        <f t="shared" ca="1" si="10"/>
        <v>29.4520183982684</v>
      </c>
      <c r="F126" s="268"/>
      <c r="G126" s="278">
        <f t="shared" si="11"/>
        <v>0</v>
      </c>
      <c r="H126" s="278">
        <f>Economic!F128</f>
        <v>236.69940000000003</v>
      </c>
      <c r="I126" s="278">
        <f t="shared" si="12"/>
        <v>31</v>
      </c>
      <c r="K126" s="18">
        <f>'GS 1k-4,999 Predicted Monthly'!$T$10</f>
        <v>1142088.9328922699</v>
      </c>
      <c r="L126" s="18">
        <f ca="1">E126*'GS 1k-4,999 Predicted Monthly'!$T$11</f>
        <v>263440.2820636541</v>
      </c>
      <c r="M126" s="18">
        <f>G126*'GS 1k-4,999 Predicted Monthly'!$T$12</f>
        <v>0</v>
      </c>
      <c r="N126" s="18">
        <f>H126*'GS 1k-4,999 Predicted Monthly'!$T$13</f>
        <v>2856014.2385171526</v>
      </c>
      <c r="O126" s="18">
        <f>I126*'GS 1k-4,999 Predicted Monthly'!$T$14</f>
        <v>3521036.9894481138</v>
      </c>
      <c r="P126" s="18">
        <f t="shared" ca="1" si="9"/>
        <v>7782580.4429211896</v>
      </c>
    </row>
    <row r="127" spans="1:18" x14ac:dyDescent="0.25">
      <c r="A127" s="3">
        <v>45809</v>
      </c>
      <c r="B127" s="1">
        <f t="shared" si="5"/>
        <v>2025</v>
      </c>
      <c r="C127" s="1">
        <f t="shared" si="6"/>
        <v>6</v>
      </c>
      <c r="D127" s="268"/>
      <c r="E127" s="268">
        <f t="shared" ca="1" si="10"/>
        <v>86.311049595332207</v>
      </c>
      <c r="F127" s="268"/>
      <c r="G127" s="278">
        <f t="shared" si="11"/>
        <v>0</v>
      </c>
      <c r="H127" s="278">
        <f>Economic!F129</f>
        <v>234.46254999999999</v>
      </c>
      <c r="I127" s="278">
        <f t="shared" si="12"/>
        <v>30</v>
      </c>
      <c r="K127" s="18">
        <f>'GS 1k-4,999 Predicted Monthly'!$T$10</f>
        <v>1142088.9328922699</v>
      </c>
      <c r="L127" s="18">
        <f ca="1">E127*'GS 1k-4,999 Predicted Monthly'!$T$11</f>
        <v>772028.82814785955</v>
      </c>
      <c r="M127" s="18">
        <f>G127*'GS 1k-4,999 Predicted Monthly'!$T$12</f>
        <v>0</v>
      </c>
      <c r="N127" s="18">
        <f>H127*'GS 1k-4,999 Predicted Monthly'!$T$13</f>
        <v>2829024.4132390693</v>
      </c>
      <c r="O127" s="18">
        <f>I127*'GS 1k-4,999 Predicted Monthly'!$T$14</f>
        <v>3407455.1510788198</v>
      </c>
      <c r="P127" s="18">
        <f t="shared" ca="1" si="9"/>
        <v>8150597.3253580183</v>
      </c>
    </row>
    <row r="128" spans="1:18" x14ac:dyDescent="0.25">
      <c r="A128" s="3">
        <v>45839</v>
      </c>
      <c r="B128" s="1">
        <f t="shared" si="5"/>
        <v>2025</v>
      </c>
      <c r="C128" s="1">
        <f t="shared" si="6"/>
        <v>7</v>
      </c>
      <c r="D128" s="268"/>
      <c r="E128" s="268">
        <f t="shared" ca="1" si="10"/>
        <v>174.0219619206118</v>
      </c>
      <c r="F128" s="268"/>
      <c r="G128" s="278">
        <f t="shared" si="11"/>
        <v>0</v>
      </c>
      <c r="H128" s="278">
        <f>Economic!F130</f>
        <v>231.31062500000002</v>
      </c>
      <c r="I128" s="278">
        <f t="shared" si="12"/>
        <v>31</v>
      </c>
      <c r="K128" s="18">
        <f>'GS 1k-4,999 Predicted Monthly'!$T$10</f>
        <v>1142088.9328922699</v>
      </c>
      <c r="L128" s="18">
        <f ca="1">E128*'GS 1k-4,999 Predicted Monthly'!$T$11</f>
        <v>1556579.0471029929</v>
      </c>
      <c r="M128" s="18">
        <f>G128*'GS 1k-4,999 Predicted Monthly'!$T$12</f>
        <v>0</v>
      </c>
      <c r="N128" s="18">
        <f>H128*'GS 1k-4,999 Predicted Monthly'!$T$13</f>
        <v>2790993.2958017709</v>
      </c>
      <c r="O128" s="18">
        <f>I128*'GS 1k-4,999 Predicted Monthly'!$T$14</f>
        <v>3521036.9894481138</v>
      </c>
      <c r="P128" s="18">
        <f t="shared" ca="1" si="9"/>
        <v>9010698.265245147</v>
      </c>
    </row>
    <row r="129" spans="1:16" x14ac:dyDescent="0.25">
      <c r="A129" s="3">
        <v>45870</v>
      </c>
      <c r="B129" s="1">
        <f t="shared" si="5"/>
        <v>2025</v>
      </c>
      <c r="C129" s="1">
        <f t="shared" si="6"/>
        <v>8</v>
      </c>
      <c r="D129" s="268"/>
      <c r="E129" s="268">
        <f t="shared" ca="1" si="10"/>
        <v>149.7160046113307</v>
      </c>
      <c r="F129" s="268"/>
      <c r="G129" s="278">
        <f t="shared" si="11"/>
        <v>0</v>
      </c>
      <c r="H129" s="278">
        <f>Economic!F131</f>
        <v>228.87042500000001</v>
      </c>
      <c r="I129" s="278">
        <f t="shared" si="12"/>
        <v>31</v>
      </c>
      <c r="K129" s="18">
        <f>'GS 1k-4,999 Predicted Monthly'!$T$10</f>
        <v>1142088.9328922699</v>
      </c>
      <c r="L129" s="18">
        <f ca="1">E129*'GS 1k-4,999 Predicted Monthly'!$T$11</f>
        <v>1339168.8797318963</v>
      </c>
      <c r="M129" s="18">
        <f>G129*'GS 1k-4,999 Predicted Monthly'!$T$12</f>
        <v>0</v>
      </c>
      <c r="N129" s="18">
        <f>H129*'GS 1k-4,999 Predicted Monthly'!$T$13</f>
        <v>2761549.8500438617</v>
      </c>
      <c r="O129" s="18">
        <f>I129*'GS 1k-4,999 Predicted Monthly'!$T$14</f>
        <v>3521036.9894481138</v>
      </c>
      <c r="P129" s="18">
        <f t="shared" ca="1" si="9"/>
        <v>8763844.6521161422</v>
      </c>
    </row>
    <row r="130" spans="1:16" x14ac:dyDescent="0.25">
      <c r="A130" s="3">
        <v>45901</v>
      </c>
      <c r="B130" s="1">
        <f t="shared" ref="B130:B145" si="13">YEAR(A130)</f>
        <v>2025</v>
      </c>
      <c r="C130" s="1">
        <f t="shared" ref="C130:C145" si="14">MONTH(A130)</f>
        <v>9</v>
      </c>
      <c r="D130" s="268"/>
      <c r="E130" s="268">
        <f t="shared" ca="1" si="10"/>
        <v>62.345178571428576</v>
      </c>
      <c r="F130" s="268"/>
      <c r="G130" s="278">
        <f t="shared" si="11"/>
        <v>0</v>
      </c>
      <c r="H130" s="278">
        <f>Economic!F132</f>
        <v>230.70057500000001</v>
      </c>
      <c r="I130" s="278">
        <f t="shared" si="12"/>
        <v>30</v>
      </c>
      <c r="K130" s="18">
        <f>'GS 1k-4,999 Predicted Monthly'!$T$10</f>
        <v>1142088.9328922699</v>
      </c>
      <c r="L130" s="18">
        <f ca="1">E130*'GS 1k-4,999 Predicted Monthly'!$T$11</f>
        <v>557660.63996251172</v>
      </c>
      <c r="M130" s="18">
        <f>G130*'GS 1k-4,999 Predicted Monthly'!$T$12</f>
        <v>0</v>
      </c>
      <c r="N130" s="18">
        <f>H130*'GS 1k-4,999 Predicted Monthly'!$T$13</f>
        <v>2783632.4343622937</v>
      </c>
      <c r="O130" s="18">
        <f>I130*'GS 1k-4,999 Predicted Monthly'!$T$14</f>
        <v>3407455.1510788198</v>
      </c>
      <c r="P130" s="18">
        <f t="shared" ca="1" si="9"/>
        <v>7890837.1582958959</v>
      </c>
    </row>
    <row r="131" spans="1:16" x14ac:dyDescent="0.25">
      <c r="A131" s="3">
        <v>45931</v>
      </c>
      <c r="B131" s="1">
        <f t="shared" si="13"/>
        <v>2025</v>
      </c>
      <c r="C131" s="1">
        <f t="shared" si="14"/>
        <v>10</v>
      </c>
      <c r="D131" s="268"/>
      <c r="E131" s="268">
        <f t="shared" ca="1" si="10"/>
        <v>7.1541666666666703</v>
      </c>
      <c r="F131" s="268"/>
      <c r="G131" s="278">
        <f t="shared" si="11"/>
        <v>0</v>
      </c>
      <c r="H131" s="278">
        <f>Economic!F133</f>
        <v>232.53072499999999</v>
      </c>
      <c r="I131" s="278">
        <f t="shared" si="12"/>
        <v>31</v>
      </c>
      <c r="K131" s="18">
        <f>'GS 1k-4,999 Predicted Monthly'!$T$10</f>
        <v>1142088.9328922699</v>
      </c>
      <c r="L131" s="18">
        <f ca="1">E131*'GS 1k-4,999 Predicted Monthly'!$T$11</f>
        <v>63992.072092005357</v>
      </c>
      <c r="M131" s="18">
        <f>G131*'GS 1k-4,999 Predicted Monthly'!$T$12</f>
        <v>0</v>
      </c>
      <c r="N131" s="18">
        <f>H131*'GS 1k-4,999 Predicted Monthly'!$T$13</f>
        <v>2805715.0186807248</v>
      </c>
      <c r="O131" s="18">
        <f>I131*'GS 1k-4,999 Predicted Monthly'!$T$14</f>
        <v>3521036.9894481138</v>
      </c>
      <c r="P131" s="18">
        <f t="shared" ref="P131:P145" ca="1" si="15">SUM(K131:O131)</f>
        <v>7532833.0131131131</v>
      </c>
    </row>
    <row r="132" spans="1:16" x14ac:dyDescent="0.25">
      <c r="A132" s="3">
        <v>45962</v>
      </c>
      <c r="B132" s="1">
        <f t="shared" si="13"/>
        <v>2025</v>
      </c>
      <c r="C132" s="1">
        <f t="shared" si="14"/>
        <v>11</v>
      </c>
      <c r="D132" s="268"/>
      <c r="E132" s="268">
        <f t="shared" ca="1" si="10"/>
        <v>0.15041666666666628</v>
      </c>
      <c r="F132" s="268"/>
      <c r="G132" s="278">
        <f t="shared" si="11"/>
        <v>0</v>
      </c>
      <c r="H132" s="278">
        <f>Economic!F134</f>
        <v>232.53072499999999</v>
      </c>
      <c r="I132" s="278">
        <f t="shared" si="12"/>
        <v>30</v>
      </c>
      <c r="K132" s="18">
        <f>'GS 1k-4,999 Predicted Monthly'!$T$10</f>
        <v>1142088.9328922699</v>
      </c>
      <c r="L132" s="18">
        <f ca="1">E132*'GS 1k-4,999 Predicted Monthly'!$T$11</f>
        <v>1345.4361109617857</v>
      </c>
      <c r="M132" s="18">
        <f>G132*'GS 1k-4,999 Predicted Monthly'!$T$12</f>
        <v>0</v>
      </c>
      <c r="N132" s="18">
        <f>H132*'GS 1k-4,999 Predicted Monthly'!$T$13</f>
        <v>2805715.0186807248</v>
      </c>
      <c r="O132" s="18">
        <f>I132*'GS 1k-4,999 Predicted Monthly'!$T$14</f>
        <v>3407455.1510788198</v>
      </c>
      <c r="P132" s="18">
        <f t="shared" ca="1" si="15"/>
        <v>7356604.5387627762</v>
      </c>
    </row>
    <row r="133" spans="1:16" x14ac:dyDescent="0.25">
      <c r="A133" s="3">
        <v>45992</v>
      </c>
      <c r="B133" s="1">
        <f t="shared" si="13"/>
        <v>2025</v>
      </c>
      <c r="C133" s="1">
        <f t="shared" si="14"/>
        <v>12</v>
      </c>
      <c r="D133" s="268"/>
      <c r="E133" s="268">
        <f t="shared" ca="1" si="10"/>
        <v>0</v>
      </c>
      <c r="F133" s="268"/>
      <c r="G133" s="278">
        <f t="shared" si="11"/>
        <v>0</v>
      </c>
      <c r="H133" s="278">
        <f>Economic!F135</f>
        <v>230.80225000000002</v>
      </c>
      <c r="I133" s="278">
        <f t="shared" si="12"/>
        <v>31</v>
      </c>
      <c r="K133" s="18">
        <f>'GS 1k-4,999 Predicted Monthly'!$T$10</f>
        <v>1142088.9328922699</v>
      </c>
      <c r="L133" s="18">
        <f ca="1">E133*'GS 1k-4,999 Predicted Monthly'!$T$11</f>
        <v>0</v>
      </c>
      <c r="M133" s="18">
        <f>G133*'GS 1k-4,999 Predicted Monthly'!$T$12</f>
        <v>0</v>
      </c>
      <c r="N133" s="18">
        <f>H133*'GS 1k-4,999 Predicted Monthly'!$T$13</f>
        <v>2784859.2446022062</v>
      </c>
      <c r="O133" s="18">
        <f>I133*'GS 1k-4,999 Predicted Monthly'!$T$14</f>
        <v>3521036.9894481138</v>
      </c>
      <c r="P133" s="18">
        <f t="shared" ca="1" si="15"/>
        <v>7447985.1669425899</v>
      </c>
    </row>
    <row r="134" spans="1:16" x14ac:dyDescent="0.25">
      <c r="A134" s="3">
        <v>46023</v>
      </c>
      <c r="B134" s="1">
        <f t="shared" si="13"/>
        <v>2026</v>
      </c>
      <c r="C134" s="1">
        <f t="shared" si="14"/>
        <v>1</v>
      </c>
      <c r="D134" s="268"/>
      <c r="E134" s="268">
        <f t="shared" si="10"/>
        <v>0</v>
      </c>
      <c r="F134" s="268"/>
      <c r="G134" s="278">
        <f t="shared" si="11"/>
        <v>0</v>
      </c>
      <c r="H134" s="278">
        <f>Economic!F136</f>
        <v>234.85148229375</v>
      </c>
      <c r="I134" s="278">
        <f t="shared" si="12"/>
        <v>31</v>
      </c>
      <c r="K134" s="18">
        <f>'GS 1k-4,999 Predicted Monthly'!$T$10</f>
        <v>1142088.9328922699</v>
      </c>
      <c r="L134" s="18">
        <f>E134*'GS 1k-4,999 Predicted Monthly'!$T$11</f>
        <v>0</v>
      </c>
      <c r="M134" s="18">
        <f>G134*'GS 1k-4,999 Predicted Monthly'!$T$12</f>
        <v>0</v>
      </c>
      <c r="N134" s="18">
        <f>H134*'GS 1k-4,999 Predicted Monthly'!$T$13</f>
        <v>2833717.2691092961</v>
      </c>
      <c r="O134" s="18">
        <f>I134*'GS 1k-4,999 Predicted Monthly'!$T$14</f>
        <v>3521036.9894481138</v>
      </c>
      <c r="P134" s="18">
        <f t="shared" si="15"/>
        <v>7496843.1914496794</v>
      </c>
    </row>
    <row r="135" spans="1:16" x14ac:dyDescent="0.25">
      <c r="A135" s="3">
        <v>46054</v>
      </c>
      <c r="B135" s="1">
        <f t="shared" si="13"/>
        <v>2026</v>
      </c>
      <c r="C135" s="1">
        <f t="shared" si="14"/>
        <v>2</v>
      </c>
      <c r="D135" s="268"/>
      <c r="E135" s="268">
        <f t="shared" ca="1" si="10"/>
        <v>0</v>
      </c>
      <c r="F135" s="268"/>
      <c r="G135" s="278">
        <f t="shared" si="11"/>
        <v>0</v>
      </c>
      <c r="H135" s="278">
        <f>Economic!F137</f>
        <v>235.9830487875</v>
      </c>
      <c r="I135" s="278">
        <f t="shared" si="12"/>
        <v>28</v>
      </c>
      <c r="K135" s="18">
        <f>'GS 1k-4,999 Predicted Monthly'!$T$10</f>
        <v>1142088.9328922699</v>
      </c>
      <c r="L135" s="18">
        <f ca="1">E135*'GS 1k-4,999 Predicted Monthly'!$T$11</f>
        <v>0</v>
      </c>
      <c r="M135" s="18">
        <f>G135*'GS 1k-4,999 Predicted Monthly'!$T$12</f>
        <v>0</v>
      </c>
      <c r="N135" s="18">
        <f>H135*'GS 1k-4,999 Predicted Monthly'!$T$13</f>
        <v>2847370.7469718461</v>
      </c>
      <c r="O135" s="18">
        <f>I135*'GS 1k-4,999 Predicted Monthly'!$T$14</f>
        <v>3180291.4743402321</v>
      </c>
      <c r="P135" s="18">
        <f t="shared" ca="1" si="15"/>
        <v>7169751.1542043481</v>
      </c>
    </row>
    <row r="136" spans="1:16" x14ac:dyDescent="0.25">
      <c r="A136" s="3">
        <v>46082</v>
      </c>
      <c r="B136" s="1">
        <f t="shared" si="13"/>
        <v>2026</v>
      </c>
      <c r="C136" s="1">
        <f t="shared" si="14"/>
        <v>3</v>
      </c>
      <c r="D136" s="268"/>
      <c r="E136" s="268">
        <f t="shared" ca="1" si="10"/>
        <v>0</v>
      </c>
      <c r="F136" s="268"/>
      <c r="G136" s="278">
        <f t="shared" si="11"/>
        <v>0</v>
      </c>
      <c r="H136" s="278">
        <f>Economic!F138</f>
        <v>237.52609400624999</v>
      </c>
      <c r="I136" s="278">
        <f t="shared" si="12"/>
        <v>31</v>
      </c>
      <c r="K136" s="18">
        <f>'GS 1k-4,999 Predicted Monthly'!$T$10</f>
        <v>1142088.9328922699</v>
      </c>
      <c r="L136" s="18">
        <f ca="1">E136*'GS 1k-4,999 Predicted Monthly'!$T$11</f>
        <v>0</v>
      </c>
      <c r="M136" s="18">
        <f>G136*'GS 1k-4,999 Predicted Monthly'!$T$12</f>
        <v>0</v>
      </c>
      <c r="N136" s="18">
        <f>H136*'GS 1k-4,999 Predicted Monthly'!$T$13</f>
        <v>2865989.125875324</v>
      </c>
      <c r="O136" s="18">
        <f>I136*'GS 1k-4,999 Predicted Monthly'!$T$14</f>
        <v>3521036.9894481138</v>
      </c>
      <c r="P136" s="18">
        <f t="shared" ca="1" si="15"/>
        <v>7529115.0482157078</v>
      </c>
    </row>
    <row r="137" spans="1:16" x14ac:dyDescent="0.25">
      <c r="A137" s="3">
        <v>46113</v>
      </c>
      <c r="B137" s="1">
        <f t="shared" si="13"/>
        <v>2026</v>
      </c>
      <c r="C137" s="1">
        <f t="shared" si="14"/>
        <v>4</v>
      </c>
      <c r="D137" s="268"/>
      <c r="E137" s="268">
        <f t="shared" ca="1" si="10"/>
        <v>0.4316666666666677</v>
      </c>
      <c r="F137" s="268"/>
      <c r="G137" s="278">
        <f t="shared" si="11"/>
        <v>0</v>
      </c>
      <c r="H137" s="278">
        <f>Economic!F139</f>
        <v>239.78922699374999</v>
      </c>
      <c r="I137" s="278">
        <f t="shared" si="12"/>
        <v>30</v>
      </c>
      <c r="K137" s="18">
        <f>'GS 1k-4,999 Predicted Monthly'!$T$10</f>
        <v>1142088.9328922699</v>
      </c>
      <c r="L137" s="18">
        <f ca="1">E137*'GS 1k-4,999 Predicted Monthly'!$T$11</f>
        <v>3861.1407505717921</v>
      </c>
      <c r="M137" s="18">
        <f>G137*'GS 1k-4,999 Predicted Monthly'!$T$12</f>
        <v>0</v>
      </c>
      <c r="N137" s="18">
        <f>H137*'GS 1k-4,999 Predicted Monthly'!$T$13</f>
        <v>2893296.0816004244</v>
      </c>
      <c r="O137" s="18">
        <f>I137*'GS 1k-4,999 Predicted Monthly'!$T$14</f>
        <v>3407455.1510788198</v>
      </c>
      <c r="P137" s="18">
        <f t="shared" ca="1" si="15"/>
        <v>7446701.3063220866</v>
      </c>
    </row>
    <row r="138" spans="1:16" x14ac:dyDescent="0.25">
      <c r="A138" s="3">
        <v>46143</v>
      </c>
      <c r="B138" s="1">
        <f t="shared" si="13"/>
        <v>2026</v>
      </c>
      <c r="C138" s="1">
        <f t="shared" si="14"/>
        <v>5</v>
      </c>
      <c r="D138" s="268"/>
      <c r="E138" s="268">
        <f t="shared" ca="1" si="10"/>
        <v>29.4520183982684</v>
      </c>
      <c r="F138" s="268"/>
      <c r="G138" s="278">
        <f t="shared" si="11"/>
        <v>0</v>
      </c>
      <c r="H138" s="278">
        <f>Economic!F140</f>
        <v>239.48061795000001</v>
      </c>
      <c r="I138" s="278">
        <f t="shared" si="12"/>
        <v>31</v>
      </c>
      <c r="K138" s="18">
        <f>'GS 1k-4,999 Predicted Monthly'!$T$10</f>
        <v>1142088.9328922699</v>
      </c>
      <c r="L138" s="18">
        <f ca="1">E138*'GS 1k-4,999 Predicted Monthly'!$T$11</f>
        <v>263440.2820636541</v>
      </c>
      <c r="M138" s="18">
        <f>G138*'GS 1k-4,999 Predicted Monthly'!$T$12</f>
        <v>0</v>
      </c>
      <c r="N138" s="18">
        <f>H138*'GS 1k-4,999 Predicted Monthly'!$T$13</f>
        <v>2889572.405819729</v>
      </c>
      <c r="O138" s="18">
        <f>I138*'GS 1k-4,999 Predicted Monthly'!$T$14</f>
        <v>3521036.9894481138</v>
      </c>
      <c r="P138" s="18">
        <f t="shared" ca="1" si="15"/>
        <v>7816138.6102237664</v>
      </c>
    </row>
    <row r="139" spans="1:16" x14ac:dyDescent="0.25">
      <c r="A139" s="3">
        <v>46174</v>
      </c>
      <c r="B139" s="1">
        <f t="shared" si="13"/>
        <v>2026</v>
      </c>
      <c r="C139" s="1">
        <f t="shared" si="14"/>
        <v>6</v>
      </c>
      <c r="D139" s="268"/>
      <c r="E139" s="268">
        <f t="shared" ca="1" si="10"/>
        <v>86.311049595332207</v>
      </c>
      <c r="F139" s="268"/>
      <c r="G139" s="278">
        <f t="shared" ref="G139:G145" si="16">G127</f>
        <v>0</v>
      </c>
      <c r="H139" s="278">
        <f>Economic!F141</f>
        <v>237.21748496249998</v>
      </c>
      <c r="I139" s="278">
        <f t="shared" si="12"/>
        <v>30</v>
      </c>
      <c r="K139" s="18">
        <f>'GS 1k-4,999 Predicted Monthly'!$T$10</f>
        <v>1142088.9328922699</v>
      </c>
      <c r="L139" s="18">
        <f ca="1">E139*'GS 1k-4,999 Predicted Monthly'!$T$11</f>
        <v>772028.82814785955</v>
      </c>
      <c r="M139" s="18">
        <f>G139*'GS 1k-4,999 Predicted Monthly'!$T$12</f>
        <v>0</v>
      </c>
      <c r="N139" s="18">
        <f>H139*'GS 1k-4,999 Predicted Monthly'!$T$13</f>
        <v>2862265.4500946281</v>
      </c>
      <c r="O139" s="18">
        <f>I139*'GS 1k-4,999 Predicted Monthly'!$T$14</f>
        <v>3407455.1510788198</v>
      </c>
      <c r="P139" s="18">
        <f t="shared" ca="1" si="15"/>
        <v>8183838.3622135781</v>
      </c>
    </row>
    <row r="140" spans="1:16" x14ac:dyDescent="0.25">
      <c r="A140" s="3">
        <v>46204</v>
      </c>
      <c r="B140" s="1">
        <f t="shared" si="13"/>
        <v>2026</v>
      </c>
      <c r="C140" s="1">
        <f t="shared" si="14"/>
        <v>7</v>
      </c>
      <c r="D140" s="268"/>
      <c r="E140" s="268">
        <f t="shared" ca="1" si="10"/>
        <v>174.0219619206118</v>
      </c>
      <c r="F140" s="268"/>
      <c r="G140" s="278">
        <f t="shared" si="16"/>
        <v>0</v>
      </c>
      <c r="H140" s="278">
        <f>Economic!F142</f>
        <v>234.02852484375001</v>
      </c>
      <c r="I140" s="278">
        <f t="shared" si="12"/>
        <v>31</v>
      </c>
      <c r="K140" s="18">
        <f>'GS 1k-4,999 Predicted Monthly'!$T$10</f>
        <v>1142088.9328922699</v>
      </c>
      <c r="L140" s="18">
        <f ca="1">E140*'GS 1k-4,999 Predicted Monthly'!$T$11</f>
        <v>1556579.0471029929</v>
      </c>
      <c r="M140" s="18">
        <f>G140*'GS 1k-4,999 Predicted Monthly'!$T$12</f>
        <v>0</v>
      </c>
      <c r="N140" s="18">
        <f>H140*'GS 1k-4,999 Predicted Monthly'!$T$13</f>
        <v>2823787.4670274416</v>
      </c>
      <c r="O140" s="18">
        <f>I140*'GS 1k-4,999 Predicted Monthly'!$T$14</f>
        <v>3521036.9894481138</v>
      </c>
      <c r="P140" s="18">
        <f t="shared" ca="1" si="15"/>
        <v>9043492.4364708178</v>
      </c>
    </row>
    <row r="141" spans="1:16" x14ac:dyDescent="0.25">
      <c r="A141" s="3">
        <v>46235</v>
      </c>
      <c r="B141" s="1">
        <f t="shared" si="13"/>
        <v>2026</v>
      </c>
      <c r="C141" s="1">
        <f t="shared" si="14"/>
        <v>8</v>
      </c>
      <c r="D141" s="268"/>
      <c r="E141" s="268">
        <f t="shared" ca="1" si="10"/>
        <v>149.7160046113307</v>
      </c>
      <c r="F141" s="268"/>
      <c r="G141" s="278">
        <f t="shared" si="16"/>
        <v>0</v>
      </c>
      <c r="H141" s="278">
        <f>Economic!F143</f>
        <v>231.55965249375001</v>
      </c>
      <c r="I141" s="278">
        <f t="shared" si="12"/>
        <v>31</v>
      </c>
      <c r="K141" s="18">
        <f>'GS 1k-4,999 Predicted Monthly'!$T$10</f>
        <v>1142088.9328922699</v>
      </c>
      <c r="L141" s="18">
        <f ca="1">E141*'GS 1k-4,999 Predicted Monthly'!$T$11</f>
        <v>1339168.8797318963</v>
      </c>
      <c r="M141" s="18">
        <f>G141*'GS 1k-4,999 Predicted Monthly'!$T$12</f>
        <v>0</v>
      </c>
      <c r="N141" s="18">
        <f>H141*'GS 1k-4,999 Predicted Monthly'!$T$13</f>
        <v>2793998.060781877</v>
      </c>
      <c r="O141" s="18">
        <f>I141*'GS 1k-4,999 Predicted Monthly'!$T$14</f>
        <v>3521036.9894481138</v>
      </c>
      <c r="P141" s="18">
        <f t="shared" ca="1" si="15"/>
        <v>8796292.8628541566</v>
      </c>
    </row>
    <row r="142" spans="1:16" x14ac:dyDescent="0.25">
      <c r="A142" s="3">
        <v>46266</v>
      </c>
      <c r="B142" s="1">
        <f t="shared" si="13"/>
        <v>2026</v>
      </c>
      <c r="C142" s="1">
        <f t="shared" si="14"/>
        <v>9</v>
      </c>
      <c r="D142" s="268"/>
      <c r="E142" s="268">
        <f t="shared" ca="1" si="10"/>
        <v>62.345178571428576</v>
      </c>
      <c r="F142" s="268"/>
      <c r="G142" s="278">
        <f t="shared" si="16"/>
        <v>0</v>
      </c>
      <c r="H142" s="278">
        <f>Economic!F144</f>
        <v>233.41130675624999</v>
      </c>
      <c r="I142" s="278">
        <f t="shared" si="12"/>
        <v>30</v>
      </c>
      <c r="K142" s="18">
        <f>'GS 1k-4,999 Predicted Monthly'!$T$10</f>
        <v>1142088.9328922699</v>
      </c>
      <c r="L142" s="18">
        <f ca="1">E142*'GS 1k-4,999 Predicted Monthly'!$T$11</f>
        <v>557660.63996251172</v>
      </c>
      <c r="M142" s="18">
        <f>G142*'GS 1k-4,999 Predicted Monthly'!$T$12</f>
        <v>0</v>
      </c>
      <c r="N142" s="18">
        <f>H142*'GS 1k-4,999 Predicted Monthly'!$T$13</f>
        <v>2816340.1154660499</v>
      </c>
      <c r="O142" s="18">
        <f>I142*'GS 1k-4,999 Predicted Monthly'!$T$14</f>
        <v>3407455.1510788198</v>
      </c>
      <c r="P142" s="18">
        <f t="shared" ca="1" si="15"/>
        <v>7923544.8393996507</v>
      </c>
    </row>
    <row r="143" spans="1:16" x14ac:dyDescent="0.25">
      <c r="A143" s="3">
        <v>46296</v>
      </c>
      <c r="B143" s="1">
        <f t="shared" si="13"/>
        <v>2026</v>
      </c>
      <c r="C143" s="1">
        <f t="shared" si="14"/>
        <v>10</v>
      </c>
      <c r="D143" s="268"/>
      <c r="E143" s="268">
        <f t="shared" ca="1" si="10"/>
        <v>7.1541666666666703</v>
      </c>
      <c r="F143" s="268"/>
      <c r="G143" s="278">
        <f t="shared" si="16"/>
        <v>0</v>
      </c>
      <c r="H143" s="278">
        <f>Economic!F145</f>
        <v>235.26296101874996</v>
      </c>
      <c r="I143" s="278">
        <f t="shared" si="12"/>
        <v>31</v>
      </c>
      <c r="K143" s="18">
        <f>'GS 1k-4,999 Predicted Monthly'!$T$10</f>
        <v>1142088.9328922699</v>
      </c>
      <c r="L143" s="18">
        <f ca="1">E143*'GS 1k-4,999 Predicted Monthly'!$T$11</f>
        <v>63992.072092005357</v>
      </c>
      <c r="M143" s="18">
        <f>G143*'GS 1k-4,999 Predicted Monthly'!$T$12</f>
        <v>0</v>
      </c>
      <c r="N143" s="18">
        <f>H143*'GS 1k-4,999 Predicted Monthly'!$T$13</f>
        <v>2838682.1701502232</v>
      </c>
      <c r="O143" s="18">
        <f>I143*'GS 1k-4,999 Predicted Monthly'!$T$14</f>
        <v>3521036.9894481138</v>
      </c>
      <c r="P143" s="18">
        <f t="shared" ca="1" si="15"/>
        <v>7565800.164582612</v>
      </c>
    </row>
    <row r="144" spans="1:16" x14ac:dyDescent="0.25">
      <c r="A144" s="3">
        <v>46327</v>
      </c>
      <c r="B144" s="1">
        <f t="shared" si="13"/>
        <v>2026</v>
      </c>
      <c r="C144" s="1">
        <f t="shared" si="14"/>
        <v>11</v>
      </c>
      <c r="D144" s="268"/>
      <c r="E144" s="268">
        <f t="shared" ca="1" si="10"/>
        <v>0.15041666666666628</v>
      </c>
      <c r="F144" s="268"/>
      <c r="G144" s="278">
        <f t="shared" si="16"/>
        <v>0</v>
      </c>
      <c r="H144" s="278">
        <f>Economic!F146</f>
        <v>235.26296101874996</v>
      </c>
      <c r="I144" s="278">
        <f t="shared" si="12"/>
        <v>30</v>
      </c>
      <c r="K144" s="18">
        <f>'GS 1k-4,999 Predicted Monthly'!$T$10</f>
        <v>1142088.9328922699</v>
      </c>
      <c r="L144" s="18">
        <f ca="1">E144*'GS 1k-4,999 Predicted Monthly'!$T$11</f>
        <v>1345.4361109617857</v>
      </c>
      <c r="M144" s="18">
        <f>G144*'GS 1k-4,999 Predicted Monthly'!$T$12</f>
        <v>0</v>
      </c>
      <c r="N144" s="18">
        <f>H144*'GS 1k-4,999 Predicted Monthly'!$T$13</f>
        <v>2838682.1701502232</v>
      </c>
      <c r="O144" s="18">
        <f>I144*'GS 1k-4,999 Predicted Monthly'!$T$14</f>
        <v>3407455.1510788198</v>
      </c>
      <c r="P144" s="18">
        <f t="shared" ca="1" si="15"/>
        <v>7389571.6902322751</v>
      </c>
    </row>
    <row r="145" spans="1:16" x14ac:dyDescent="0.25">
      <c r="A145" s="3">
        <v>46357</v>
      </c>
      <c r="B145" s="1">
        <f t="shared" si="13"/>
        <v>2026</v>
      </c>
      <c r="C145" s="1">
        <f t="shared" si="14"/>
        <v>12</v>
      </c>
      <c r="D145" s="268"/>
      <c r="E145" s="268">
        <f t="shared" ca="1" si="10"/>
        <v>0</v>
      </c>
      <c r="F145" s="268"/>
      <c r="G145" s="278">
        <f t="shared" si="16"/>
        <v>0</v>
      </c>
      <c r="H145" s="278">
        <f>Economic!F147</f>
        <v>233.5141764375</v>
      </c>
      <c r="I145" s="278">
        <f t="shared" si="12"/>
        <v>31</v>
      </c>
      <c r="K145" s="18">
        <f>'GS 1k-4,999 Predicted Monthly'!$T$10</f>
        <v>1142088.9328922699</v>
      </c>
      <c r="L145" s="18">
        <f ca="1">E145*'GS 1k-4,999 Predicted Monthly'!$T$11</f>
        <v>0</v>
      </c>
      <c r="M145" s="18">
        <f>G145*'GS 1k-4,999 Predicted Monthly'!$T$12</f>
        <v>0</v>
      </c>
      <c r="N145" s="18">
        <f>H145*'GS 1k-4,999 Predicted Monthly'!$T$13</f>
        <v>2817581.340726282</v>
      </c>
      <c r="O145" s="18">
        <f>I145*'GS 1k-4,999 Predicted Monthly'!$T$14</f>
        <v>3521036.9894481138</v>
      </c>
      <c r="P145" s="18">
        <f t="shared" ca="1" si="15"/>
        <v>7480707.2630666662</v>
      </c>
    </row>
    <row r="195" spans="8:19" x14ac:dyDescent="0.25">
      <c r="H195" s="18"/>
      <c r="I195" s="18"/>
      <c r="L195" s="18"/>
      <c r="M195" s="18"/>
      <c r="N195" s="18"/>
      <c r="O195" s="18"/>
      <c r="P195" s="18"/>
      <c r="Q195" s="18"/>
      <c r="R195" s="18"/>
      <c r="S195" s="18"/>
    </row>
    <row r="196" spans="8:19" x14ac:dyDescent="0.25">
      <c r="H196" s="18"/>
      <c r="I196" s="18"/>
      <c r="L196" s="18"/>
      <c r="M196" s="18"/>
      <c r="N196" s="18"/>
      <c r="O196" s="18"/>
      <c r="P196" s="18"/>
      <c r="Q196" s="18"/>
      <c r="R196" s="18"/>
      <c r="S196" s="18"/>
    </row>
    <row r="197" spans="8:19" x14ac:dyDescent="0.25">
      <c r="H197" s="18"/>
      <c r="I197" s="18"/>
      <c r="L197" s="18"/>
      <c r="M197" s="18"/>
      <c r="N197" s="18"/>
      <c r="O197" s="18"/>
      <c r="P197" s="18"/>
      <c r="Q197" s="18"/>
      <c r="R197" s="18"/>
      <c r="S197" s="18"/>
    </row>
    <row r="198" spans="8:19" x14ac:dyDescent="0.25">
      <c r="H198" s="18"/>
      <c r="I198" s="18"/>
      <c r="L198" s="18"/>
      <c r="M198" s="18"/>
      <c r="N198" s="18"/>
      <c r="O198" s="18"/>
      <c r="P198" s="18"/>
      <c r="Q198" s="18"/>
      <c r="R198" s="18"/>
      <c r="S198" s="18"/>
    </row>
    <row r="199" spans="8:19" x14ac:dyDescent="0.25">
      <c r="H199" s="18"/>
      <c r="I199" s="18"/>
      <c r="L199" s="18"/>
      <c r="M199" s="18"/>
      <c r="N199" s="18"/>
      <c r="O199" s="18"/>
      <c r="P199" s="18"/>
      <c r="Q199" s="18"/>
      <c r="R199" s="18"/>
      <c r="S199" s="18"/>
    </row>
    <row r="200" spans="8:19" x14ac:dyDescent="0.25">
      <c r="H200" s="18"/>
      <c r="I200" s="18"/>
      <c r="L200" s="18"/>
      <c r="M200" s="18"/>
      <c r="N200" s="18"/>
      <c r="O200" s="18"/>
      <c r="P200" s="18"/>
      <c r="Q200" s="18"/>
      <c r="R200" s="18"/>
      <c r="S200" s="18"/>
    </row>
    <row r="201" spans="8:19" x14ac:dyDescent="0.25">
      <c r="H201" s="18"/>
      <c r="I201" s="18"/>
      <c r="L201" s="18"/>
      <c r="M201" s="18"/>
      <c r="N201" s="18"/>
      <c r="O201" s="18"/>
      <c r="P201" s="18"/>
      <c r="Q201" s="18"/>
      <c r="R201" s="18"/>
      <c r="S201" s="18"/>
    </row>
    <row r="202" spans="8:19" x14ac:dyDescent="0.25">
      <c r="H202" s="18"/>
      <c r="I202" s="18"/>
      <c r="L202" s="18"/>
      <c r="M202" s="18"/>
      <c r="N202" s="18"/>
      <c r="O202" s="18"/>
      <c r="P202" s="18"/>
      <c r="Q202" s="18"/>
      <c r="R202" s="18"/>
      <c r="S202" s="18"/>
    </row>
    <row r="204" spans="8:19" x14ac:dyDescent="0.25">
      <c r="K204" s="24"/>
      <c r="L204" s="24"/>
      <c r="M204" s="24"/>
      <c r="N204" s="24"/>
      <c r="O204" s="24"/>
      <c r="P204" s="24"/>
      <c r="Q204" s="24"/>
      <c r="R204" s="24"/>
      <c r="S204" s="24"/>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tabColor theme="4" tint="0.79998168889431442"/>
  </sheetPr>
  <dimension ref="A1:Z204"/>
  <sheetViews>
    <sheetView topLeftCell="P127"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0.88671875" style="1" bestFit="1" customWidth="1"/>
    <col min="6" max="6" width="11.88671875" style="1" bestFit="1" customWidth="1"/>
    <col min="7" max="13" width="9.44140625" style="1" bestFit="1" customWidth="1"/>
    <col min="14" max="14" width="9.33203125" style="1"/>
    <col min="15" max="15" width="14.77734375" style="1" bestFit="1" customWidth="1"/>
    <col min="16" max="16" width="12.88671875" style="1" bestFit="1" customWidth="1"/>
    <col min="17" max="17" width="13.88671875" style="1" bestFit="1" customWidth="1"/>
    <col min="18" max="22" width="13.77734375" style="1" customWidth="1"/>
    <col min="23" max="23" width="19.6640625" style="1" customWidth="1"/>
    <col min="24" max="24" width="13.77734375" style="1" bestFit="1" customWidth="1"/>
    <col min="25" max="25" width="12.44140625" style="1" bestFit="1" customWidth="1"/>
    <col min="26" max="16384" width="9.33203125" style="1"/>
  </cols>
  <sheetData>
    <row r="1" spans="1:23" x14ac:dyDescent="0.25">
      <c r="A1" s="273" t="str">
        <f>'Monthly Data'!A1</f>
        <v>Date</v>
      </c>
      <c r="B1" s="274" t="s">
        <v>1</v>
      </c>
      <c r="C1" s="274" t="s">
        <v>2</v>
      </c>
      <c r="D1" s="275" t="str">
        <f>'Monthly Data'!X1</f>
        <v>GS_LU_NoCDM</v>
      </c>
      <c r="E1" s="276" t="str">
        <f>G1&amp;"Norm"</f>
        <v>HDD8Norm</v>
      </c>
      <c r="F1" s="276" t="str">
        <f>H1&amp;"Norm"</f>
        <v>CDD14Norm</v>
      </c>
      <c r="G1" s="276" t="str">
        <f>'Monthly Data'!BL1</f>
        <v>HDD8</v>
      </c>
      <c r="H1" s="276" t="str">
        <f>'Monthly Data'!BG1</f>
        <v>CDD14</v>
      </c>
      <c r="I1" s="276" t="str">
        <f>'Monthly Data'!CC1</f>
        <v>Trend</v>
      </c>
      <c r="J1" s="276" t="str">
        <f>'Monthly Data'!CD1</f>
        <v>Month Days</v>
      </c>
      <c r="K1" s="276" t="str">
        <f>'Monthly Data'!CG1</f>
        <v>COVID_AM</v>
      </c>
      <c r="L1" s="276" t="str">
        <f>'Monthly Data'!CB1</f>
        <v>Shoulder</v>
      </c>
      <c r="M1" s="276" t="str">
        <f>'Monthly Data'!AX1</f>
        <v>OEA_GDPChange</v>
      </c>
      <c r="O1" s="274" t="s">
        <v>152</v>
      </c>
      <c r="P1" s="276" t="str">
        <f t="shared" ref="P1:V1" si="0">G1</f>
        <v>HDD8</v>
      </c>
      <c r="Q1" s="276" t="str">
        <f t="shared" si="0"/>
        <v>CDD14</v>
      </c>
      <c r="R1" s="276" t="str">
        <f t="shared" si="0"/>
        <v>Trend</v>
      </c>
      <c r="S1" s="276" t="str">
        <f t="shared" si="0"/>
        <v>Month Days</v>
      </c>
      <c r="T1" s="276" t="str">
        <f t="shared" si="0"/>
        <v>COVID_AM</v>
      </c>
      <c r="U1" s="276" t="str">
        <f t="shared" si="0"/>
        <v>Shoulder</v>
      </c>
      <c r="V1" s="276" t="str">
        <f t="shared" si="0"/>
        <v>OEA_GDPChange</v>
      </c>
      <c r="W1" s="274" t="s">
        <v>414</v>
      </c>
    </row>
    <row r="2" spans="1:23"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Data'!BL2</f>
        <v>487.89184782608703</v>
      </c>
      <c r="H2" s="278">
        <f>'Monthly Data'!BG2</f>
        <v>0</v>
      </c>
      <c r="I2" s="278">
        <f>'Monthly Data'!CC2</f>
        <v>1</v>
      </c>
      <c r="J2" s="278">
        <f>'Monthly Data'!CD2</f>
        <v>31</v>
      </c>
      <c r="K2" s="278">
        <f>'Monthly Data'!CG2</f>
        <v>0</v>
      </c>
      <c r="L2" s="278">
        <f>'Monthly Data'!CB2</f>
        <v>0</v>
      </c>
      <c r="M2" s="278">
        <f>'Monthly Data'!AX2</f>
        <v>0</v>
      </c>
      <c r="O2" s="18"/>
      <c r="P2" s="18">
        <f ca="1">(E2-G2)*'Large Use Predicted Monthly'!$Z$11</f>
        <v>-42585.022914957597</v>
      </c>
      <c r="Q2" s="18">
        <f ca="1">(F2-H2)*'Large Use Predicted Monthly'!$Z$12</f>
        <v>0</v>
      </c>
      <c r="R2" s="18"/>
      <c r="S2" s="18"/>
      <c r="T2" s="18"/>
      <c r="U2" s="18"/>
      <c r="V2" s="18"/>
      <c r="W2" s="18">
        <f ca="1">SUM(D2,O2:V2)</f>
        <v>3267602.6918136864</v>
      </c>
    </row>
    <row r="3" spans="1:23" x14ac:dyDescent="0.25">
      <c r="A3" s="3">
        <f>'Monthly Data'!A3</f>
        <v>42036</v>
      </c>
      <c r="B3" s="1">
        <f t="shared" si="1"/>
        <v>2015</v>
      </c>
      <c r="C3" s="1">
        <f t="shared" si="2"/>
        <v>2</v>
      </c>
      <c r="D3" s="268">
        <f>'Monthly Data'!X3</f>
        <v>3180175.3551415652</v>
      </c>
      <c r="E3" s="278">
        <f ca="1">Weather!DH35</f>
        <v>341.39751811594203</v>
      </c>
      <c r="F3" s="278">
        <f ca="1">Weather!BS35</f>
        <v>0</v>
      </c>
      <c r="G3" s="278">
        <f>'Monthly Data'!BL3</f>
        <v>585.85434782608695</v>
      </c>
      <c r="H3" s="278">
        <f>'Monthly Data'!BG3</f>
        <v>0</v>
      </c>
      <c r="I3" s="278">
        <f>'Monthly Data'!CC3</f>
        <v>2</v>
      </c>
      <c r="J3" s="278">
        <f>'Monthly Data'!CD3</f>
        <v>28</v>
      </c>
      <c r="K3" s="278">
        <f>'Monthly Data'!CG3</f>
        <v>0</v>
      </c>
      <c r="L3" s="278">
        <f>'Monthly Data'!CB3</f>
        <v>0</v>
      </c>
      <c r="M3" s="278">
        <f>'Monthly Data'!AX3</f>
        <v>0</v>
      </c>
      <c r="O3" s="18"/>
      <c r="P3" s="18">
        <f ca="1">(E3-G3)*'Large Use Predicted Monthly'!$Z$11</f>
        <v>-103524.67807871909</v>
      </c>
      <c r="Q3" s="18">
        <f ca="1">(F3-H3)*'Large Use Predicted Monthly'!$Z$12</f>
        <v>0</v>
      </c>
      <c r="R3" s="18"/>
      <c r="S3" s="18"/>
      <c r="T3" s="18"/>
      <c r="U3" s="18"/>
      <c r="V3" s="18"/>
      <c r="W3" s="18">
        <f t="shared" ref="W3:W14" ca="1" si="3">SUM(D3,O3:V3)</f>
        <v>3076650.6770628463</v>
      </c>
    </row>
    <row r="4" spans="1:23" x14ac:dyDescent="0.25">
      <c r="A4" s="3">
        <f>'Monthly Data'!A4</f>
        <v>42064</v>
      </c>
      <c r="B4" s="1">
        <f t="shared" si="1"/>
        <v>2015</v>
      </c>
      <c r="C4" s="1">
        <f t="shared" si="2"/>
        <v>3</v>
      </c>
      <c r="D4" s="268">
        <f>'Monthly Data'!X4</f>
        <v>3522503.9865684011</v>
      </c>
      <c r="E4" s="278">
        <f ca="1">Weather!DH36</f>
        <v>238.57840579710145</v>
      </c>
      <c r="F4" s="278">
        <f ca="1">Weather!BS36</f>
        <v>0</v>
      </c>
      <c r="G4" s="278">
        <f>'Monthly Data'!BL4</f>
        <v>327.79999999999995</v>
      </c>
      <c r="H4" s="278">
        <f>'Monthly Data'!BG4</f>
        <v>0</v>
      </c>
      <c r="I4" s="278">
        <f>'Monthly Data'!CC4</f>
        <v>3</v>
      </c>
      <c r="J4" s="278">
        <f>'Monthly Data'!CD4</f>
        <v>31</v>
      </c>
      <c r="K4" s="278">
        <f>'Monthly Data'!CG4</f>
        <v>0</v>
      </c>
      <c r="L4" s="278">
        <f>'Monthly Data'!CB4</f>
        <v>1</v>
      </c>
      <c r="M4" s="278">
        <f>'Monthly Data'!AX4</f>
        <v>0</v>
      </c>
      <c r="O4" s="18"/>
      <c r="P4" s="18">
        <f ca="1">(E4-G4)*'Large Use Predicted Monthly'!$Z$11</f>
        <v>-37784.327107887133</v>
      </c>
      <c r="Q4" s="18">
        <f ca="1">(F4-H4)*'Large Use Predicted Monthly'!$Z$12</f>
        <v>0</v>
      </c>
      <c r="R4" s="18"/>
      <c r="S4" s="18"/>
      <c r="T4" s="18"/>
      <c r="U4" s="18"/>
      <c r="V4" s="18"/>
      <c r="W4" s="18">
        <f t="shared" ca="1" si="3"/>
        <v>3484719.6594605139</v>
      </c>
    </row>
    <row r="5" spans="1:23"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Data'!BL5</f>
        <v>72.862878787878799</v>
      </c>
      <c r="H5" s="278">
        <f>'Monthly Data'!BG5</f>
        <v>0</v>
      </c>
      <c r="I5" s="278">
        <f>'Monthly Data'!CC5</f>
        <v>4</v>
      </c>
      <c r="J5" s="278">
        <f>'Monthly Data'!CD5</f>
        <v>30</v>
      </c>
      <c r="K5" s="278">
        <f>'Monthly Data'!CG5</f>
        <v>0</v>
      </c>
      <c r="L5" s="278">
        <f>'Monthly Data'!CB5</f>
        <v>1</v>
      </c>
      <c r="M5" s="278">
        <f>'Monthly Data'!AX5</f>
        <v>5139</v>
      </c>
      <c r="O5" s="18"/>
      <c r="P5" s="18">
        <f ca="1">(E5-G5)*'Large Use Predicted Monthly'!$Z$11</f>
        <v>3015.8884293073611</v>
      </c>
      <c r="Q5" s="18">
        <f ca="1">(F5-H5)*'Large Use Predicted Monthly'!$Z$12</f>
        <v>3957.1480571265488</v>
      </c>
      <c r="R5" s="18"/>
      <c r="S5" s="18"/>
      <c r="T5" s="18"/>
      <c r="U5" s="18"/>
      <c r="V5" s="18"/>
      <c r="W5" s="18">
        <f t="shared" ca="1" si="3"/>
        <v>3282729.061265674</v>
      </c>
    </row>
    <row r="6" spans="1:23"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Data'!BL6</f>
        <v>0</v>
      </c>
      <c r="H6" s="278">
        <f>'Monthly Data'!BG6</f>
        <v>62.881547619047637</v>
      </c>
      <c r="I6" s="278">
        <f>'Monthly Data'!CC6</f>
        <v>5</v>
      </c>
      <c r="J6" s="278">
        <f>'Monthly Data'!CD6</f>
        <v>31</v>
      </c>
      <c r="K6" s="278">
        <f>'Monthly Data'!CG6</f>
        <v>0</v>
      </c>
      <c r="L6" s="278">
        <f>'Monthly Data'!CB6</f>
        <v>1</v>
      </c>
      <c r="M6" s="278">
        <f>'Monthly Data'!AX6</f>
        <v>5139</v>
      </c>
      <c r="O6" s="18"/>
      <c r="P6" s="18">
        <f ca="1">(E6-G6)*'Large Use Predicted Monthly'!$Z$11</f>
        <v>3049.8942422428909</v>
      </c>
      <c r="Q6" s="18">
        <f ca="1">(F6-H6)*'Large Use Predicted Monthly'!$Z$12</f>
        <v>-18774.153959251984</v>
      </c>
      <c r="R6" s="18"/>
      <c r="S6" s="18"/>
      <c r="T6" s="18"/>
      <c r="U6" s="18"/>
      <c r="V6" s="18"/>
      <c r="W6" s="18">
        <f t="shared" ca="1" si="3"/>
        <v>3613563.003810985</v>
      </c>
    </row>
    <row r="7" spans="1:23" x14ac:dyDescent="0.25">
      <c r="A7" s="3">
        <f>'Monthly Data'!A7</f>
        <v>42156</v>
      </c>
      <c r="B7" s="1">
        <f t="shared" si="1"/>
        <v>2015</v>
      </c>
      <c r="C7" s="1">
        <f t="shared" si="2"/>
        <v>6</v>
      </c>
      <c r="D7" s="268">
        <f>'Monthly Data'!X7</f>
        <v>3515408.7356304238</v>
      </c>
      <c r="E7" s="278">
        <f ca="1">Weather!DH39</f>
        <v>0</v>
      </c>
      <c r="F7" s="278">
        <f ca="1">Weather!BS39</f>
        <v>137.65451754405018</v>
      </c>
      <c r="G7" s="278">
        <f>'Monthly Data'!BL7</f>
        <v>0</v>
      </c>
      <c r="H7" s="278">
        <f>'Monthly Data'!BG7</f>
        <v>95.599999999999966</v>
      </c>
      <c r="I7" s="278">
        <f>'Monthly Data'!CC7</f>
        <v>6</v>
      </c>
      <c r="J7" s="278">
        <f>'Monthly Data'!CD7</f>
        <v>30</v>
      </c>
      <c r="K7" s="278">
        <f>'Monthly Data'!CG7</f>
        <v>0</v>
      </c>
      <c r="L7" s="278">
        <f>'Monthly Data'!CB7</f>
        <v>0</v>
      </c>
      <c r="M7" s="278">
        <f>'Monthly Data'!AX7</f>
        <v>5139</v>
      </c>
      <c r="O7" s="18"/>
      <c r="P7" s="18">
        <f ca="1">(E7-G7)*'Large Use Predicted Monthly'!$Z$11</f>
        <v>0</v>
      </c>
      <c r="Q7" s="18">
        <f ca="1">(F7-H7)*'Large Use Predicted Monthly'!$Z$12</f>
        <v>75960.115204031594</v>
      </c>
      <c r="R7" s="18"/>
      <c r="S7" s="18"/>
      <c r="T7" s="18"/>
      <c r="U7" s="18"/>
      <c r="V7" s="18"/>
      <c r="W7" s="18">
        <f t="shared" ca="1" si="3"/>
        <v>3591368.8508344553</v>
      </c>
    </row>
    <row r="8" spans="1:23" x14ac:dyDescent="0.25">
      <c r="A8" s="3">
        <f>'Monthly Data'!A8</f>
        <v>42186</v>
      </c>
      <c r="B8" s="1">
        <f t="shared" si="1"/>
        <v>2015</v>
      </c>
      <c r="C8" s="1">
        <f t="shared" si="2"/>
        <v>7</v>
      </c>
      <c r="D8" s="268">
        <f>'Monthly Data'!X8</f>
        <v>3903331.7192142233</v>
      </c>
      <c r="E8" s="278">
        <f ca="1">Weather!DH40</f>
        <v>0</v>
      </c>
      <c r="F8" s="278">
        <f ca="1">Weather!BS40</f>
        <v>235.94737858727848</v>
      </c>
      <c r="G8" s="278">
        <f>'Monthly Data'!BL8</f>
        <v>0</v>
      </c>
      <c r="H8" s="278">
        <f>'Monthly Data'!BG8</f>
        <v>205.53749999999997</v>
      </c>
      <c r="I8" s="278">
        <f>'Monthly Data'!CC8</f>
        <v>7</v>
      </c>
      <c r="J8" s="278">
        <f>'Monthly Data'!CD8</f>
        <v>31</v>
      </c>
      <c r="K8" s="278">
        <f>'Monthly Data'!CG8</f>
        <v>0</v>
      </c>
      <c r="L8" s="278">
        <f>'Monthly Data'!CB8</f>
        <v>0</v>
      </c>
      <c r="M8" s="278">
        <f>'Monthly Data'!AX8</f>
        <v>6615</v>
      </c>
      <c r="O8" s="18"/>
      <c r="P8" s="18">
        <f ca="1">(E8-G8)*'Large Use Predicted Monthly'!$Z$11</f>
        <v>0</v>
      </c>
      <c r="Q8" s="18">
        <f ca="1">(F8-H8)*'Large Use Predicted Monthly'!$Z$12</f>
        <v>54927.223416859641</v>
      </c>
      <c r="R8" s="18"/>
      <c r="S8" s="18"/>
      <c r="T8" s="18"/>
      <c r="U8" s="18"/>
      <c r="V8" s="18"/>
      <c r="W8" s="18">
        <f t="shared" ca="1" si="3"/>
        <v>3958258.9426310831</v>
      </c>
    </row>
    <row r="9" spans="1:23" x14ac:dyDescent="0.25">
      <c r="A9" s="3">
        <f>'Monthly Data'!A9</f>
        <v>42217</v>
      </c>
      <c r="B9" s="1">
        <f t="shared" si="1"/>
        <v>2015</v>
      </c>
      <c r="C9" s="1">
        <f t="shared" si="2"/>
        <v>8</v>
      </c>
      <c r="D9" s="268">
        <f>'Monthly Data'!X9</f>
        <v>3934483.9152747728</v>
      </c>
      <c r="E9" s="278">
        <f ca="1">Weather!DH41</f>
        <v>0</v>
      </c>
      <c r="F9" s="278">
        <f ca="1">Weather!BS41</f>
        <v>210.96558794466404</v>
      </c>
      <c r="G9" s="278">
        <f>'Monthly Data'!BL9</f>
        <v>0</v>
      </c>
      <c r="H9" s="278">
        <f>'Monthly Data'!BG9</f>
        <v>167.94166666666666</v>
      </c>
      <c r="I9" s="278">
        <f>'Monthly Data'!CC9</f>
        <v>8</v>
      </c>
      <c r="J9" s="278">
        <f>'Monthly Data'!CD9</f>
        <v>31</v>
      </c>
      <c r="K9" s="278">
        <f>'Monthly Data'!CG9</f>
        <v>0</v>
      </c>
      <c r="L9" s="278">
        <f>'Monthly Data'!CB9</f>
        <v>0</v>
      </c>
      <c r="M9" s="278">
        <f>'Monthly Data'!AX9</f>
        <v>6615</v>
      </c>
      <c r="O9" s="18"/>
      <c r="P9" s="18">
        <f ca="1">(E9-G9)*'Large Use Predicted Monthly'!$Z$11</f>
        <v>0</v>
      </c>
      <c r="Q9" s="18">
        <f ca="1">(F9-H9)*'Large Use Predicted Monthly'!$Z$12</f>
        <v>77711.080941130218</v>
      </c>
      <c r="R9" s="18"/>
      <c r="S9" s="18"/>
      <c r="T9" s="18"/>
      <c r="U9" s="18"/>
      <c r="V9" s="18"/>
      <c r="W9" s="18">
        <f t="shared" ca="1" si="3"/>
        <v>4012194.9962159032</v>
      </c>
    </row>
    <row r="10" spans="1:23"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Data'!BL10</f>
        <v>0</v>
      </c>
      <c r="H10" s="278">
        <f>'Monthly Data'!BG10</f>
        <v>134.9267857142857</v>
      </c>
      <c r="I10" s="278">
        <f>'Monthly Data'!CC10</f>
        <v>9</v>
      </c>
      <c r="J10" s="278">
        <f>'Monthly Data'!CD10</f>
        <v>30</v>
      </c>
      <c r="K10" s="278">
        <f>'Monthly Data'!CG10</f>
        <v>0</v>
      </c>
      <c r="L10" s="278">
        <f>'Monthly Data'!CB10</f>
        <v>1</v>
      </c>
      <c r="M10" s="278">
        <f>'Monthly Data'!AX10</f>
        <v>6615</v>
      </c>
      <c r="O10" s="18"/>
      <c r="P10" s="18">
        <f ca="1">(E10-G10)*'Large Use Predicted Monthly'!$Z$11</f>
        <v>0</v>
      </c>
      <c r="Q10" s="18">
        <f ca="1">(F10-H10)*'Large Use Predicted Monthly'!$Z$12</f>
        <v>-51497.004117549572</v>
      </c>
      <c r="R10" s="18"/>
      <c r="S10" s="18"/>
      <c r="T10" s="18"/>
      <c r="U10" s="18"/>
      <c r="V10" s="18"/>
      <c r="W10" s="18">
        <f t="shared" ca="1" si="3"/>
        <v>3781993.6785239344</v>
      </c>
    </row>
    <row r="11" spans="1:23"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Data'!BL11</f>
        <v>33.92916666666666</v>
      </c>
      <c r="H11" s="278">
        <f>'Monthly Data'!BG11</f>
        <v>4.3583333333333325</v>
      </c>
      <c r="I11" s="278">
        <f>'Monthly Data'!CC11</f>
        <v>10</v>
      </c>
      <c r="J11" s="278">
        <f>'Monthly Data'!CD11</f>
        <v>31</v>
      </c>
      <c r="K11" s="278">
        <f>'Monthly Data'!CG11</f>
        <v>0</v>
      </c>
      <c r="L11" s="278">
        <f>'Monthly Data'!CB11</f>
        <v>1</v>
      </c>
      <c r="M11" s="278">
        <f>'Monthly Data'!AX11</f>
        <v>7443</v>
      </c>
      <c r="O11" s="18"/>
      <c r="P11" s="18">
        <f ca="1">(E11-G11)*'Large Use Predicted Monthly'!$Z$11</f>
        <v>-3882.4467253297994</v>
      </c>
      <c r="Q11" s="18">
        <f ca="1">(F11-H11)*'Large Use Predicted Monthly'!$Z$12</f>
        <v>24616.65192098749</v>
      </c>
      <c r="R11" s="18"/>
      <c r="S11" s="18"/>
      <c r="T11" s="18"/>
      <c r="U11" s="18"/>
      <c r="V11" s="18"/>
      <c r="W11" s="18">
        <f t="shared" ca="1" si="3"/>
        <v>3450540.5607552282</v>
      </c>
    </row>
    <row r="12" spans="1:23"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Data'!BL12</f>
        <v>99.970833333333317</v>
      </c>
      <c r="H12" s="278">
        <f>'Monthly Data'!BG12</f>
        <v>0.27083333333333393</v>
      </c>
      <c r="I12" s="278">
        <f>'Monthly Data'!CC12</f>
        <v>11</v>
      </c>
      <c r="J12" s="278">
        <f>'Monthly Data'!CD12</f>
        <v>30</v>
      </c>
      <c r="K12" s="278">
        <f>'Monthly Data'!CG12</f>
        <v>0</v>
      </c>
      <c r="L12" s="278">
        <f>'Monthly Data'!CB12</f>
        <v>1</v>
      </c>
      <c r="M12" s="278">
        <f>'Monthly Data'!AX12</f>
        <v>7443</v>
      </c>
      <c r="O12" s="18"/>
      <c r="P12" s="18">
        <f ca="1">(E12-G12)*'Large Use Predicted Monthly'!$Z$11</f>
        <v>16961.916729772904</v>
      </c>
      <c r="Q12" s="18">
        <f ca="1">(F12-H12)*'Large Use Predicted Monthly'!$Z$12</f>
        <v>970.84842025356318</v>
      </c>
      <c r="R12" s="18"/>
      <c r="S12" s="18"/>
      <c r="T12" s="18"/>
      <c r="U12" s="18"/>
      <c r="V12" s="18"/>
      <c r="W12" s="18">
        <f t="shared" ca="1" si="3"/>
        <v>3438315.0696045035</v>
      </c>
    </row>
    <row r="13" spans="1:23"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Data'!BL13</f>
        <v>134.45072463768119</v>
      </c>
      <c r="H13" s="278">
        <f>'Monthly Data'!BG13</f>
        <v>0</v>
      </c>
      <c r="I13" s="278">
        <f>'Monthly Data'!CC13</f>
        <v>12</v>
      </c>
      <c r="J13" s="278">
        <f>'Monthly Data'!CD13</f>
        <v>31</v>
      </c>
      <c r="K13" s="278">
        <f>'Monthly Data'!CG13</f>
        <v>0</v>
      </c>
      <c r="L13" s="278">
        <f>'Monthly Data'!CB13</f>
        <v>0</v>
      </c>
      <c r="M13" s="278">
        <f>'Monthly Data'!AX13</f>
        <v>7443</v>
      </c>
      <c r="O13" s="18"/>
      <c r="P13" s="18">
        <f ca="1">(E13-G13)*'Large Use Predicted Monthly'!$Z$11</f>
        <v>56946.410934559251</v>
      </c>
      <c r="Q13" s="18">
        <f ca="1">(F13-H13)*'Large Use Predicted Monthly'!$Z$12</f>
        <v>0</v>
      </c>
      <c r="R13" s="18"/>
      <c r="S13" s="18"/>
      <c r="T13" s="18"/>
      <c r="U13" s="18"/>
      <c r="V13" s="18"/>
      <c r="W13" s="18">
        <f t="shared" ca="1" si="3"/>
        <v>3051108.3534137611</v>
      </c>
    </row>
    <row r="14" spans="1:23" x14ac:dyDescent="0.25">
      <c r="A14" s="3">
        <f>'Monthly Data'!A14</f>
        <v>42370</v>
      </c>
      <c r="B14" s="1">
        <f t="shared" si="1"/>
        <v>2016</v>
      </c>
      <c r="C14" s="1">
        <f t="shared" si="2"/>
        <v>1</v>
      </c>
      <c r="D14" s="268">
        <f>'Monthly Data'!X14</f>
        <v>3215727.4106118553</v>
      </c>
      <c r="E14" s="278">
        <f t="shared" ref="E14:F33" ca="1" si="4">E2</f>
        <v>387.33418478260865</v>
      </c>
      <c r="F14" s="278">
        <f t="shared" ca="1" si="4"/>
        <v>0</v>
      </c>
      <c r="G14" s="278">
        <f>'Monthly Data'!BL14</f>
        <v>365.87916666666672</v>
      </c>
      <c r="H14" s="278">
        <f>'Monthly Data'!BG14</f>
        <v>0</v>
      </c>
      <c r="I14" s="278">
        <f>'Monthly Data'!CC14</f>
        <v>13</v>
      </c>
      <c r="J14" s="278">
        <f>'Monthly Data'!CD14</f>
        <v>31</v>
      </c>
      <c r="K14" s="278">
        <f>'Monthly Data'!CG14</f>
        <v>0</v>
      </c>
      <c r="L14" s="278">
        <f>'Monthly Data'!CB14</f>
        <v>0</v>
      </c>
      <c r="M14" s="278">
        <f>'Monthly Data'!AX14</f>
        <v>5503</v>
      </c>
      <c r="O14" s="18"/>
      <c r="P14" s="18">
        <f ca="1">(E14-G14)*'Large Use Predicted Monthly'!$Z$11</f>
        <v>9085.9553658598306</v>
      </c>
      <c r="Q14" s="18">
        <f ca="1">(F14-H14)*'Large Use Predicted Monthly'!$Z$12</f>
        <v>0</v>
      </c>
      <c r="R14" s="18"/>
      <c r="S14" s="18"/>
      <c r="T14" s="18"/>
      <c r="U14" s="18"/>
      <c r="V14" s="18"/>
      <c r="W14" s="18">
        <f t="shared" ca="1" si="3"/>
        <v>3224813.3659777152</v>
      </c>
    </row>
    <row r="15" spans="1:23" x14ac:dyDescent="0.25">
      <c r="A15" s="3">
        <f>'Monthly Data'!A15</f>
        <v>42401</v>
      </c>
      <c r="B15" s="1">
        <f t="shared" si="1"/>
        <v>2016</v>
      </c>
      <c r="C15" s="1">
        <f t="shared" si="2"/>
        <v>2</v>
      </c>
      <c r="D15" s="268">
        <f>'Monthly Data'!X15</f>
        <v>3430298.1465842407</v>
      </c>
      <c r="E15" s="278">
        <f t="shared" ca="1" si="4"/>
        <v>341.39751811594203</v>
      </c>
      <c r="F15" s="278">
        <f t="shared" ca="1" si="4"/>
        <v>0</v>
      </c>
      <c r="G15" s="278">
        <f>'Monthly Data'!BL15</f>
        <v>313.70833333333326</v>
      </c>
      <c r="H15" s="278">
        <f>'Monthly Data'!BG15</f>
        <v>0</v>
      </c>
      <c r="I15" s="278">
        <f>'Monthly Data'!CC15</f>
        <v>14</v>
      </c>
      <c r="J15" s="278">
        <f>'Monthly Data'!CD15</f>
        <v>29</v>
      </c>
      <c r="K15" s="278">
        <f>'Monthly Data'!CG15</f>
        <v>0</v>
      </c>
      <c r="L15" s="278">
        <f>'Monthly Data'!CB15</f>
        <v>0</v>
      </c>
      <c r="M15" s="278">
        <f>'Monthly Data'!AX15</f>
        <v>5503</v>
      </c>
      <c r="O15" s="18"/>
      <c r="P15" s="18">
        <f ca="1">(E15-G15)*'Large Use Predicted Monthly'!$Z$11</f>
        <v>11726.05381604841</v>
      </c>
      <c r="Q15" s="18">
        <f ca="1">(F15-H15)*'Large Use Predicted Monthly'!$Z$12</f>
        <v>0</v>
      </c>
      <c r="R15" s="18"/>
      <c r="S15" s="18"/>
      <c r="T15" s="18"/>
      <c r="U15" s="18"/>
      <c r="V15" s="18"/>
      <c r="W15" s="18">
        <f t="shared" ref="W15:W47" ca="1" si="5">SUM(D15,O15:V15)</f>
        <v>3442024.2004002891</v>
      </c>
    </row>
    <row r="16" spans="1:23"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Data'!BL16</f>
        <v>207.6751811594203</v>
      </c>
      <c r="H16" s="278">
        <f>'Monthly Data'!BG16</f>
        <v>0</v>
      </c>
      <c r="I16" s="278">
        <f>'Monthly Data'!CC16</f>
        <v>15</v>
      </c>
      <c r="J16" s="278">
        <f>'Monthly Data'!CD16</f>
        <v>31</v>
      </c>
      <c r="K16" s="278">
        <f>'Monthly Data'!CG16</f>
        <v>0</v>
      </c>
      <c r="L16" s="278">
        <f>'Monthly Data'!CB16</f>
        <v>1</v>
      </c>
      <c r="M16" s="278">
        <f>'Monthly Data'!AX16</f>
        <v>5503</v>
      </c>
      <c r="O16" s="18"/>
      <c r="P16" s="18">
        <f ca="1">(E16-G16)*'Large Use Predicted Monthly'!$Z$11</f>
        <v>13087.163021804963</v>
      </c>
      <c r="Q16" s="18">
        <f ca="1">(F16-H16)*'Large Use Predicted Monthly'!$Z$12</f>
        <v>0</v>
      </c>
      <c r="R16" s="18"/>
      <c r="S16" s="18"/>
      <c r="T16" s="18"/>
      <c r="U16" s="18"/>
      <c r="V16" s="18"/>
      <c r="W16" s="18">
        <f t="shared" ca="1" si="5"/>
        <v>3635407.8700104062</v>
      </c>
    </row>
    <row r="17" spans="1:24"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Data'!BL17</f>
        <v>127.94999999999997</v>
      </c>
      <c r="H17" s="278">
        <f>'Monthly Data'!BG17</f>
        <v>0.83333333333333393</v>
      </c>
      <c r="I17" s="278">
        <f>'Monthly Data'!CC17</f>
        <v>16</v>
      </c>
      <c r="J17" s="278">
        <f>'Monthly Data'!CD17</f>
        <v>30</v>
      </c>
      <c r="K17" s="278">
        <f>'Monthly Data'!CG17</f>
        <v>0</v>
      </c>
      <c r="L17" s="278">
        <f>'Monthly Data'!CB17</f>
        <v>1</v>
      </c>
      <c r="M17" s="278">
        <f>'Monthly Data'!AX17</f>
        <v>-2655</v>
      </c>
      <c r="O17" s="18"/>
      <c r="P17" s="18">
        <f ca="1">(E17-G17)*'Large Use Predicted Monthly'!$Z$11</f>
        <v>-20312.878848457734</v>
      </c>
      <c r="Q17" s="18">
        <f ca="1">(F17-H17)*'Large Use Predicted Monthly'!$Z$12</f>
        <v>2451.9567078962145</v>
      </c>
      <c r="R17" s="18"/>
      <c r="S17" s="18"/>
      <c r="T17" s="18"/>
      <c r="U17" s="18"/>
      <c r="V17" s="18"/>
      <c r="W17" s="18">
        <f t="shared" ca="1" si="5"/>
        <v>3435381.9282819377</v>
      </c>
    </row>
    <row r="18" spans="1:24"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Data'!BL18</f>
        <v>4.2083333333333348</v>
      </c>
      <c r="H18" s="278">
        <f>'Monthly Data'!BG18</f>
        <v>66.604166666666671</v>
      </c>
      <c r="I18" s="278">
        <f>'Monthly Data'!CC18</f>
        <v>17</v>
      </c>
      <c r="J18" s="278">
        <f>'Monthly Data'!CD18</f>
        <v>31</v>
      </c>
      <c r="K18" s="278">
        <f>'Monthly Data'!CG18</f>
        <v>0</v>
      </c>
      <c r="L18" s="278">
        <f>'Monthly Data'!CB18</f>
        <v>1</v>
      </c>
      <c r="M18" s="278">
        <f>'Monthly Data'!AX18</f>
        <v>-2655</v>
      </c>
      <c r="O18" s="18"/>
      <c r="P18" s="18">
        <f ca="1">(E18-G18)*'Large Use Predicted Monthly'!$Z$11</f>
        <v>1267.7130935392499</v>
      </c>
      <c r="Q18" s="18">
        <f ca="1">(F18-H18)*'Large Use Predicted Monthly'!$Z$12</f>
        <v>-25498.05874359946</v>
      </c>
      <c r="R18" s="18"/>
      <c r="S18" s="18"/>
      <c r="T18" s="18"/>
      <c r="U18" s="18"/>
      <c r="V18" s="18"/>
      <c r="W18" s="18">
        <f t="shared" ca="1" si="5"/>
        <v>3373387.6788340602</v>
      </c>
    </row>
    <row r="19" spans="1:24"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Data'!BL19</f>
        <v>0</v>
      </c>
      <c r="H19" s="278">
        <f>'Monthly Data'!BG19</f>
        <v>147.17916666666667</v>
      </c>
      <c r="I19" s="278">
        <f>'Monthly Data'!CC19</f>
        <v>18</v>
      </c>
      <c r="J19" s="278">
        <f>'Monthly Data'!CD19</f>
        <v>30</v>
      </c>
      <c r="K19" s="278">
        <f>'Monthly Data'!CG19</f>
        <v>0</v>
      </c>
      <c r="L19" s="278">
        <f>'Monthly Data'!CB19</f>
        <v>0</v>
      </c>
      <c r="M19" s="278">
        <f>'Monthly Data'!AX19</f>
        <v>-2655</v>
      </c>
      <c r="O19" s="18"/>
      <c r="P19" s="18">
        <f ca="1">(E19-G19)*'Large Use Predicted Monthly'!$Z$11</f>
        <v>0</v>
      </c>
      <c r="Q19" s="18">
        <f ca="1">(F19-H19)*'Large Use Predicted Monthly'!$Z$12</f>
        <v>-17203.703356579957</v>
      </c>
      <c r="R19" s="18"/>
      <c r="S19" s="18"/>
      <c r="T19" s="18"/>
      <c r="U19" s="18"/>
      <c r="V19" s="18"/>
      <c r="W19" s="18">
        <f t="shared" ca="1" si="5"/>
        <v>3355397.0828793752</v>
      </c>
      <c r="X19" s="288"/>
    </row>
    <row r="20" spans="1:24"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Data'!BL20</f>
        <v>0</v>
      </c>
      <c r="H20" s="278">
        <f>'Monthly Data'!BG20</f>
        <v>251.2291666666666</v>
      </c>
      <c r="I20" s="278">
        <f>'Monthly Data'!CC20</f>
        <v>19</v>
      </c>
      <c r="J20" s="278">
        <f>'Monthly Data'!CD20</f>
        <v>31</v>
      </c>
      <c r="K20" s="278">
        <f>'Monthly Data'!CG20</f>
        <v>0</v>
      </c>
      <c r="L20" s="278">
        <f>'Monthly Data'!CB20</f>
        <v>0</v>
      </c>
      <c r="M20" s="278">
        <f>'Monthly Data'!AX20</f>
        <v>5974</v>
      </c>
      <c r="O20" s="18"/>
      <c r="P20" s="18">
        <f ca="1">(E20-G20)*'Large Use Predicted Monthly'!$Z$11</f>
        <v>0</v>
      </c>
      <c r="Q20" s="18">
        <f ca="1">(F20-H20)*'Large Use Predicted Monthly'!$Z$12</f>
        <v>-27602.418261439478</v>
      </c>
      <c r="R20" s="18"/>
      <c r="S20" s="18"/>
      <c r="T20" s="18"/>
      <c r="U20" s="18"/>
      <c r="V20" s="18"/>
      <c r="W20" s="18">
        <f t="shared" ca="1" si="5"/>
        <v>3693708.5250149071</v>
      </c>
    </row>
    <row r="21" spans="1:24"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Data'!BL21</f>
        <v>0</v>
      </c>
      <c r="H21" s="278">
        <f>'Monthly Data'!BG21</f>
        <v>266.02500000000003</v>
      </c>
      <c r="I21" s="278">
        <f>'Monthly Data'!CC21</f>
        <v>20</v>
      </c>
      <c r="J21" s="278">
        <f>'Monthly Data'!CD21</f>
        <v>31</v>
      </c>
      <c r="K21" s="278">
        <f>'Monthly Data'!CG21</f>
        <v>0</v>
      </c>
      <c r="L21" s="278">
        <f>'Monthly Data'!CB21</f>
        <v>0</v>
      </c>
      <c r="M21" s="278">
        <f>'Monthly Data'!AX21</f>
        <v>5974</v>
      </c>
      <c r="O21" s="18"/>
      <c r="P21" s="18">
        <f ca="1">(E21-G21)*'Large Use Predicted Monthly'!$Z$11</f>
        <v>0</v>
      </c>
      <c r="Q21" s="18">
        <f ca="1">(F21-H21)*'Large Use Predicted Monthly'!$Z$12</f>
        <v>-99449.940863280091</v>
      </c>
      <c r="R21" s="18"/>
      <c r="S21" s="18"/>
      <c r="T21" s="18"/>
      <c r="U21" s="18"/>
      <c r="V21" s="18"/>
      <c r="W21" s="18">
        <f t="shared" ca="1" si="5"/>
        <v>3556920.2591536259</v>
      </c>
    </row>
    <row r="22" spans="1:24"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Data'!BL22</f>
        <v>0</v>
      </c>
      <c r="H22" s="278">
        <f>'Monthly Data'!BG22</f>
        <v>120.65416666666664</v>
      </c>
      <c r="I22" s="278">
        <f>'Monthly Data'!CC22</f>
        <v>21</v>
      </c>
      <c r="J22" s="278">
        <f>'Monthly Data'!CD22</f>
        <v>30</v>
      </c>
      <c r="K22" s="278">
        <f>'Monthly Data'!CG22</f>
        <v>0</v>
      </c>
      <c r="L22" s="278">
        <f>'Monthly Data'!CB22</f>
        <v>1</v>
      </c>
      <c r="M22" s="278">
        <f>'Monthly Data'!AX22</f>
        <v>5974</v>
      </c>
      <c r="O22" s="18"/>
      <c r="P22" s="18">
        <f ca="1">(E22-G22)*'Large Use Predicted Monthly'!$Z$11</f>
        <v>0</v>
      </c>
      <c r="Q22" s="18">
        <f ca="1">(F22-H22)*'Large Use Predicted Monthly'!$Z$12</f>
        <v>-25717.376851946025</v>
      </c>
      <c r="R22" s="18"/>
      <c r="S22" s="18"/>
      <c r="T22" s="18"/>
      <c r="U22" s="18"/>
      <c r="V22" s="18"/>
      <c r="W22" s="18">
        <f t="shared" ca="1" si="5"/>
        <v>3749596.3220583508</v>
      </c>
    </row>
    <row r="23" spans="1:24"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Data'!BL23</f>
        <v>33.25</v>
      </c>
      <c r="H23" s="278">
        <f>'Monthly Data'!BG23</f>
        <v>24.770833333333336</v>
      </c>
      <c r="I23" s="278">
        <f>'Monthly Data'!CC23</f>
        <v>22</v>
      </c>
      <c r="J23" s="278">
        <f>'Monthly Data'!CD23</f>
        <v>31</v>
      </c>
      <c r="K23" s="278">
        <f>'Monthly Data'!CG23</f>
        <v>0</v>
      </c>
      <c r="L23" s="278">
        <f>'Monthly Data'!CB23</f>
        <v>1</v>
      </c>
      <c r="M23" s="278">
        <f>'Monthly Data'!AX23</f>
        <v>-1226</v>
      </c>
      <c r="O23" s="18"/>
      <c r="P23" s="18">
        <f ca="1">(E23-G23)*'Large Use Predicted Monthly'!$Z$11</f>
        <v>-3594.8273914301058</v>
      </c>
      <c r="Q23" s="18">
        <f ca="1">(F23-H23)*'Large Use Predicted Monthly'!$Z$12</f>
        <v>-12253.010178409531</v>
      </c>
      <c r="R23" s="18"/>
      <c r="S23" s="18"/>
      <c r="T23" s="18"/>
      <c r="U23" s="18"/>
      <c r="V23" s="18"/>
      <c r="W23" s="18">
        <f t="shared" ca="1" si="5"/>
        <v>3469003.409930211</v>
      </c>
    </row>
    <row r="24" spans="1:24"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Data'!BL24</f>
        <v>89.230952380952388</v>
      </c>
      <c r="H24" s="278">
        <f>'Monthly Data'!BG24</f>
        <v>0</v>
      </c>
      <c r="I24" s="278">
        <f>'Monthly Data'!CC24</f>
        <v>23</v>
      </c>
      <c r="J24" s="278">
        <f>'Monthly Data'!CD24</f>
        <v>30</v>
      </c>
      <c r="K24" s="278">
        <f>'Monthly Data'!CG24</f>
        <v>0</v>
      </c>
      <c r="L24" s="278">
        <f>'Monthly Data'!CB24</f>
        <v>1</v>
      </c>
      <c r="M24" s="278">
        <f>'Monthly Data'!AX24</f>
        <v>-1226</v>
      </c>
      <c r="O24" s="18"/>
      <c r="P24" s="18">
        <f ca="1">(E24-G24)*'Large Use Predicted Monthly'!$Z$11</f>
        <v>21510.133768819538</v>
      </c>
      <c r="Q24" s="18">
        <f ca="1">(F24-H24)*'Large Use Predicted Monthly'!$Z$12</f>
        <v>1460.0356087534226</v>
      </c>
      <c r="R24" s="18"/>
      <c r="S24" s="18"/>
      <c r="T24" s="18"/>
      <c r="U24" s="18"/>
      <c r="V24" s="18"/>
      <c r="W24" s="18">
        <f t="shared" ca="1" si="5"/>
        <v>3287610.3908749996</v>
      </c>
    </row>
    <row r="25" spans="1:24"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Data'!BL25</f>
        <v>306.67083333333341</v>
      </c>
      <c r="H25" s="278">
        <f>'Monthly Data'!BG25</f>
        <v>0</v>
      </c>
      <c r="I25" s="278">
        <f>'Monthly Data'!CC25</f>
        <v>24</v>
      </c>
      <c r="J25" s="278">
        <f>'Monthly Data'!CD25</f>
        <v>31</v>
      </c>
      <c r="K25" s="278">
        <f>'Monthly Data'!CG25</f>
        <v>0</v>
      </c>
      <c r="L25" s="278">
        <f>'Monthly Data'!CB25</f>
        <v>0</v>
      </c>
      <c r="M25" s="278">
        <f>'Monthly Data'!AX25</f>
        <v>-1226</v>
      </c>
      <c r="O25" s="18"/>
      <c r="P25" s="18">
        <f ca="1">(E25-G25)*'Large Use Predicted Monthly'!$Z$11</f>
        <v>-15986.840030609041</v>
      </c>
      <c r="Q25" s="18">
        <f ca="1">(F25-H25)*'Large Use Predicted Monthly'!$Z$12</f>
        <v>0</v>
      </c>
      <c r="R25" s="18"/>
      <c r="S25" s="18"/>
      <c r="T25" s="18"/>
      <c r="U25" s="18"/>
      <c r="V25" s="18"/>
      <c r="W25" s="18">
        <f t="shared" ca="1" si="5"/>
        <v>3027964.9234410911</v>
      </c>
    </row>
    <row r="26" spans="1:24"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Data'!BL26</f>
        <v>310.2166666666667</v>
      </c>
      <c r="H26" s="278">
        <f>'Monthly Data'!BG26</f>
        <v>0</v>
      </c>
      <c r="I26" s="278">
        <f>'Monthly Data'!CC26</f>
        <v>25</v>
      </c>
      <c r="J26" s="278">
        <f>'Monthly Data'!CD26</f>
        <v>31</v>
      </c>
      <c r="K26" s="278">
        <f>'Monthly Data'!CG26</f>
        <v>0</v>
      </c>
      <c r="L26" s="278">
        <f>'Monthly Data'!CB26</f>
        <v>0</v>
      </c>
      <c r="M26" s="278">
        <f>'Monthly Data'!AX26</f>
        <v>11322</v>
      </c>
      <c r="O26" s="18"/>
      <c r="P26" s="18">
        <f ca="1">(E26-G26)*'Large Use Predicted Monthly'!$Z$11</f>
        <v>32658.388995099376</v>
      </c>
      <c r="Q26" s="18">
        <f ca="1">(F26-H26)*'Large Use Predicted Monthly'!$Z$12</f>
        <v>0</v>
      </c>
      <c r="R26" s="18"/>
      <c r="S26" s="18"/>
      <c r="T26" s="18"/>
      <c r="U26" s="18"/>
      <c r="V26" s="18"/>
      <c r="W26" s="18">
        <f t="shared" ca="1" si="5"/>
        <v>3174289.4353096089</v>
      </c>
    </row>
    <row r="27" spans="1:24"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Data'!BL27</f>
        <v>251.42499999999998</v>
      </c>
      <c r="H27" s="278">
        <f>'Monthly Data'!BG27</f>
        <v>0</v>
      </c>
      <c r="I27" s="278">
        <f>'Monthly Data'!CC27</f>
        <v>26</v>
      </c>
      <c r="J27" s="278">
        <f>'Monthly Data'!CD27</f>
        <v>28</v>
      </c>
      <c r="K27" s="278">
        <f>'Monthly Data'!CG27</f>
        <v>0</v>
      </c>
      <c r="L27" s="278">
        <f>'Monthly Data'!CB27</f>
        <v>0</v>
      </c>
      <c r="M27" s="278">
        <f>'Monthly Data'!AX27</f>
        <v>11322</v>
      </c>
      <c r="O27" s="18"/>
      <c r="P27" s="18">
        <f ca="1">(E27-G27)*'Large Use Predicted Monthly'!$Z$11</f>
        <v>38102.334816862262</v>
      </c>
      <c r="Q27" s="18">
        <f ca="1">(F27-H27)*'Large Use Predicted Monthly'!$Z$12</f>
        <v>0</v>
      </c>
      <c r="R27" s="18"/>
      <c r="S27" s="18"/>
      <c r="T27" s="18"/>
      <c r="U27" s="18"/>
      <c r="V27" s="18"/>
      <c r="W27" s="18">
        <f t="shared" ca="1" si="5"/>
        <v>2718319.9960920052</v>
      </c>
    </row>
    <row r="28" spans="1:24"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Data'!BL28</f>
        <v>290.67916666666662</v>
      </c>
      <c r="H28" s="278">
        <f>'Monthly Data'!BG28</f>
        <v>0</v>
      </c>
      <c r="I28" s="278">
        <f>'Monthly Data'!CC28</f>
        <v>27</v>
      </c>
      <c r="J28" s="278">
        <f>'Monthly Data'!CD28</f>
        <v>31</v>
      </c>
      <c r="K28" s="278">
        <f>'Monthly Data'!CG28</f>
        <v>0</v>
      </c>
      <c r="L28" s="278">
        <f>'Monthly Data'!CB28</f>
        <v>1</v>
      </c>
      <c r="M28" s="278">
        <f>'Monthly Data'!AX28</f>
        <v>11322</v>
      </c>
      <c r="O28" s="18"/>
      <c r="P28" s="18">
        <f ca="1">(E28-G28)*'Large Use Predicted Monthly'!$Z$11</f>
        <v>-22064.077747688392</v>
      </c>
      <c r="Q28" s="18">
        <f ca="1">(F28-H28)*'Large Use Predicted Monthly'!$Z$12</f>
        <v>0</v>
      </c>
      <c r="R28" s="18"/>
      <c r="S28" s="18"/>
      <c r="T28" s="18"/>
      <c r="U28" s="18"/>
      <c r="V28" s="18"/>
      <c r="W28" s="18">
        <f t="shared" ca="1" si="5"/>
        <v>3154053.6526230108</v>
      </c>
    </row>
    <row r="29" spans="1:24"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Data'!BL29</f>
        <v>34.695833333333326</v>
      </c>
      <c r="H29" s="278">
        <f>'Monthly Data'!BG29</f>
        <v>5.6500000000000057</v>
      </c>
      <c r="I29" s="278">
        <f>'Monthly Data'!CC29</f>
        <v>28</v>
      </c>
      <c r="J29" s="278">
        <f>'Monthly Data'!CD29</f>
        <v>30</v>
      </c>
      <c r="K29" s="278">
        <f>'Monthly Data'!CG29</f>
        <v>0</v>
      </c>
      <c r="L29" s="278">
        <f>'Monthly Data'!CB29</f>
        <v>1</v>
      </c>
      <c r="M29" s="278">
        <f>'Monthly Data'!AX29</f>
        <v>7942</v>
      </c>
      <c r="O29" s="18"/>
      <c r="P29" s="18">
        <f ca="1">(E29-G29)*'Large Use Predicted Monthly'!$Z$11</f>
        <v>19179.196685340445</v>
      </c>
      <c r="Q29" s="18">
        <f ca="1">(F29-H29)*'Large Use Predicted Monthly'!$Z$12</f>
        <v>-6248.0492906551217</v>
      </c>
      <c r="R29" s="18"/>
      <c r="S29" s="18"/>
      <c r="T29" s="18"/>
      <c r="U29" s="18"/>
      <c r="V29" s="18"/>
      <c r="W29" s="18">
        <f t="shared" ca="1" si="5"/>
        <v>2873950.3245224557</v>
      </c>
    </row>
    <row r="30" spans="1:24"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Data'!BL30</f>
        <v>10.045833333333327</v>
      </c>
      <c r="H30" s="278">
        <f>'Monthly Data'!BG30</f>
        <v>28.370833333333344</v>
      </c>
      <c r="I30" s="278">
        <f>'Monthly Data'!CC30</f>
        <v>29</v>
      </c>
      <c r="J30" s="278">
        <f>'Monthly Data'!CD30</f>
        <v>31</v>
      </c>
      <c r="K30" s="278">
        <f>'Monthly Data'!CG30</f>
        <v>0</v>
      </c>
      <c r="L30" s="278">
        <f>'Monthly Data'!CB30</f>
        <v>1</v>
      </c>
      <c r="M30" s="278">
        <f>'Monthly Data'!AX30</f>
        <v>7942</v>
      </c>
      <c r="O30" s="18"/>
      <c r="P30" s="18">
        <f ca="1">(E30-G30)*'Large Use Predicted Monthly'!$Z$11</f>
        <v>-1204.401549365499</v>
      </c>
      <c r="Q30" s="18">
        <f ca="1">(F30-H30)*'Large Use Predicted Monthly'!$Z$12</f>
        <v>43560.120359088221</v>
      </c>
      <c r="R30" s="18"/>
      <c r="S30" s="18"/>
      <c r="T30" s="18"/>
      <c r="U30" s="18"/>
      <c r="V30" s="18"/>
      <c r="W30" s="18">
        <f t="shared" ca="1" si="5"/>
        <v>3156647.9040080472</v>
      </c>
    </row>
    <row r="31" spans="1:24" x14ac:dyDescent="0.25">
      <c r="A31" s="3">
        <f>'Monthly Data'!A31</f>
        <v>42887</v>
      </c>
      <c r="B31" s="1">
        <f t="shared" si="1"/>
        <v>2017</v>
      </c>
      <c r="C31" s="1">
        <f t="shared" si="2"/>
        <v>6</v>
      </c>
      <c r="D31" s="268">
        <f>'Monthly Data'!X31</f>
        <v>3175507.694888188</v>
      </c>
      <c r="E31" s="278">
        <f t="shared" ca="1" si="4"/>
        <v>0</v>
      </c>
      <c r="F31" s="278">
        <f t="shared" ca="1" si="4"/>
        <v>137.65451754405018</v>
      </c>
      <c r="G31" s="278">
        <f>'Monthly Data'!BL31</f>
        <v>0</v>
      </c>
      <c r="H31" s="278">
        <f>'Monthly Data'!BG31</f>
        <v>112.71333333333334</v>
      </c>
      <c r="I31" s="278">
        <f>'Monthly Data'!CC31</f>
        <v>30</v>
      </c>
      <c r="J31" s="278">
        <f>'Monthly Data'!CD31</f>
        <v>30</v>
      </c>
      <c r="K31" s="278">
        <f>'Monthly Data'!CG31</f>
        <v>0</v>
      </c>
      <c r="L31" s="278">
        <f>'Monthly Data'!CB31</f>
        <v>0</v>
      </c>
      <c r="M31" s="278">
        <f>'Monthly Data'!AX31</f>
        <v>7942</v>
      </c>
      <c r="O31" s="18"/>
      <c r="P31" s="18">
        <f ca="1">(E31-G31)*'Large Use Predicted Monthly'!$Z$11</f>
        <v>0</v>
      </c>
      <c r="Q31" s="18">
        <f ca="1">(F31-H31)*'Large Use Predicted Monthly'!$Z$12</f>
        <v>45049.505656237401</v>
      </c>
      <c r="R31" s="18"/>
      <c r="S31" s="18"/>
      <c r="T31" s="18"/>
      <c r="U31" s="18"/>
      <c r="V31" s="18"/>
      <c r="W31" s="18">
        <f t="shared" ca="1" si="5"/>
        <v>3220557.2005444253</v>
      </c>
    </row>
    <row r="32" spans="1:24" x14ac:dyDescent="0.25">
      <c r="A32" s="3">
        <f>'Monthly Data'!A32</f>
        <v>42917</v>
      </c>
      <c r="B32" s="1">
        <f t="shared" si="1"/>
        <v>2017</v>
      </c>
      <c r="C32" s="1">
        <f t="shared" si="2"/>
        <v>7</v>
      </c>
      <c r="D32" s="268">
        <f>'Monthly Data'!X32</f>
        <v>3342901.2671752255</v>
      </c>
      <c r="E32" s="278">
        <f t="shared" ca="1" si="4"/>
        <v>0</v>
      </c>
      <c r="F32" s="278">
        <f t="shared" ca="1" si="4"/>
        <v>235.94737858727848</v>
      </c>
      <c r="G32" s="278">
        <f>'Monthly Data'!BL32</f>
        <v>0</v>
      </c>
      <c r="H32" s="278">
        <f>'Monthly Data'!BG32</f>
        <v>198.16666666666666</v>
      </c>
      <c r="I32" s="278">
        <f>'Monthly Data'!CC32</f>
        <v>31</v>
      </c>
      <c r="J32" s="278">
        <f>'Monthly Data'!CD32</f>
        <v>31</v>
      </c>
      <c r="K32" s="278">
        <f>'Monthly Data'!CG32</f>
        <v>0</v>
      </c>
      <c r="L32" s="278">
        <f>'Monthly Data'!CB32</f>
        <v>0</v>
      </c>
      <c r="M32" s="278">
        <f>'Monthly Data'!AX32</f>
        <v>416</v>
      </c>
      <c r="O32" s="18"/>
      <c r="P32" s="18">
        <f ca="1">(E32-G32)*'Large Use Predicted Monthly'!$Z$11</f>
        <v>0</v>
      </c>
      <c r="Q32" s="18">
        <f ca="1">(F32-H32)*'Large Use Predicted Monthly'!$Z$12</f>
        <v>68240.640900801896</v>
      </c>
      <c r="R32" s="18"/>
      <c r="S32" s="18"/>
      <c r="T32" s="18"/>
      <c r="U32" s="18"/>
      <c r="V32" s="18"/>
      <c r="W32" s="18">
        <f t="shared" ca="1" si="5"/>
        <v>3411141.9080760274</v>
      </c>
    </row>
    <row r="33" spans="1:23" x14ac:dyDescent="0.25">
      <c r="A33" s="3">
        <f>'Monthly Data'!A33</f>
        <v>42948</v>
      </c>
      <c r="B33" s="1">
        <f t="shared" si="1"/>
        <v>2017</v>
      </c>
      <c r="C33" s="1">
        <f t="shared" si="2"/>
        <v>8</v>
      </c>
      <c r="D33" s="268">
        <f>'Monthly Data'!X33</f>
        <v>3439029.868955615</v>
      </c>
      <c r="E33" s="278">
        <f t="shared" ca="1" si="4"/>
        <v>0</v>
      </c>
      <c r="F33" s="278">
        <f t="shared" ca="1" si="4"/>
        <v>210.96558794466404</v>
      </c>
      <c r="G33" s="278">
        <f>'Monthly Data'!BL33</f>
        <v>0</v>
      </c>
      <c r="H33" s="278">
        <f>'Monthly Data'!BG33</f>
        <v>155.42409420289857</v>
      </c>
      <c r="I33" s="278">
        <f>'Monthly Data'!CC33</f>
        <v>32</v>
      </c>
      <c r="J33" s="278">
        <f>'Monthly Data'!CD33</f>
        <v>31</v>
      </c>
      <c r="K33" s="278">
        <f>'Monthly Data'!CG33</f>
        <v>0</v>
      </c>
      <c r="L33" s="278">
        <f>'Monthly Data'!CB33</f>
        <v>0</v>
      </c>
      <c r="M33" s="278">
        <f>'Monthly Data'!AX33</f>
        <v>416</v>
      </c>
      <c r="O33" s="18"/>
      <c r="P33" s="18">
        <f ca="1">(E33-G33)*'Large Use Predicted Monthly'!$Z$11</f>
        <v>0</v>
      </c>
      <c r="Q33" s="18">
        <f ca="1">(F33-H33)*'Large Use Predicted Monthly'!$Z$12</f>
        <v>100320.69108412329</v>
      </c>
      <c r="R33" s="18"/>
      <c r="S33" s="18"/>
      <c r="T33" s="18"/>
      <c r="U33" s="18"/>
      <c r="V33" s="18"/>
      <c r="W33" s="18">
        <f t="shared" ca="1" si="5"/>
        <v>3539350.5600397382</v>
      </c>
    </row>
    <row r="34" spans="1:23" x14ac:dyDescent="0.25">
      <c r="A34" s="3">
        <f>'Monthly Data'!A34</f>
        <v>42979</v>
      </c>
      <c r="B34" s="1">
        <f t="shared" si="1"/>
        <v>2017</v>
      </c>
      <c r="C34" s="1">
        <f t="shared" si="2"/>
        <v>9</v>
      </c>
      <c r="D34" s="268">
        <f>'Monthly Data'!X34</f>
        <v>3377365.2000244949</v>
      </c>
      <c r="E34" s="278">
        <f t="shared" ref="E34:F53" ca="1" si="6">E22</f>
        <v>0</v>
      </c>
      <c r="F34" s="278">
        <f t="shared" ca="1" si="6"/>
        <v>106.4160119047619</v>
      </c>
      <c r="G34" s="278">
        <f>'Monthly Data'!BL34</f>
        <v>0</v>
      </c>
      <c r="H34" s="278">
        <f>'Monthly Data'!BG34</f>
        <v>112.67916666666666</v>
      </c>
      <c r="I34" s="278">
        <f>'Monthly Data'!CC34</f>
        <v>33</v>
      </c>
      <c r="J34" s="278">
        <f>'Monthly Data'!CD34</f>
        <v>30</v>
      </c>
      <c r="K34" s="278">
        <f>'Monthly Data'!CG34</f>
        <v>0</v>
      </c>
      <c r="L34" s="278">
        <f>'Monthly Data'!CB34</f>
        <v>1</v>
      </c>
      <c r="M34" s="278">
        <f>'Monthly Data'!AX34</f>
        <v>416</v>
      </c>
      <c r="O34" s="18"/>
      <c r="P34" s="18">
        <f ca="1">(E34-G34)*'Large Use Predicted Monthly'!$Z$11</f>
        <v>0</v>
      </c>
      <c r="Q34" s="18">
        <f ca="1">(F34-H34)*'Large Use Predicted Monthly'!$Z$12</f>
        <v>-11312.695639811773</v>
      </c>
      <c r="R34" s="18"/>
      <c r="S34" s="18"/>
      <c r="T34" s="18"/>
      <c r="U34" s="18"/>
      <c r="V34" s="18"/>
      <c r="W34" s="18">
        <f t="shared" ca="1" si="5"/>
        <v>3366052.504384683</v>
      </c>
    </row>
    <row r="35" spans="1:23" x14ac:dyDescent="0.25">
      <c r="A35" s="3">
        <f>'Monthly Data'!A35</f>
        <v>43009</v>
      </c>
      <c r="B35" s="1">
        <f t="shared" si="1"/>
        <v>2017</v>
      </c>
      <c r="C35" s="1">
        <f t="shared" si="2"/>
        <v>10</v>
      </c>
      <c r="D35" s="268">
        <f>'Monthly Data'!X35</f>
        <v>3378259.0697360332</v>
      </c>
      <c r="E35" s="278">
        <f t="shared" ca="1" si="6"/>
        <v>24.76139492753623</v>
      </c>
      <c r="F35" s="278">
        <f t="shared" ca="1" si="6"/>
        <v>17.987083333333334</v>
      </c>
      <c r="G35" s="278">
        <f>'Monthly Data'!BL35</f>
        <v>11.620833333333334</v>
      </c>
      <c r="H35" s="278">
        <f>'Monthly Data'!BG35</f>
        <v>29.654166666666669</v>
      </c>
      <c r="I35" s="278">
        <f>'Monthly Data'!CC35</f>
        <v>34</v>
      </c>
      <c r="J35" s="278">
        <f>'Monthly Data'!CD35</f>
        <v>31</v>
      </c>
      <c r="K35" s="278">
        <f>'Monthly Data'!CG35</f>
        <v>0</v>
      </c>
      <c r="L35" s="278">
        <f>'Monthly Data'!CB35</f>
        <v>1</v>
      </c>
      <c r="M35" s="278">
        <f>'Monthly Data'!AX35</f>
        <v>6393</v>
      </c>
      <c r="O35" s="18"/>
      <c r="P35" s="18">
        <f ca="1">(E35-G35)*'Large Use Predicted Monthly'!$Z$11</f>
        <v>5564.8778985902863</v>
      </c>
      <c r="Q35" s="18">
        <f ca="1">(F35-H35)*'Large Use Predicted Monthly'!$Z$12</f>
        <v>-21073.431484899284</v>
      </c>
      <c r="R35" s="18"/>
      <c r="S35" s="18"/>
      <c r="T35" s="18"/>
      <c r="U35" s="18"/>
      <c r="V35" s="18"/>
      <c r="W35" s="18">
        <f t="shared" ca="1" si="5"/>
        <v>3362750.5161497239</v>
      </c>
    </row>
    <row r="36" spans="1:23" x14ac:dyDescent="0.25">
      <c r="A36" s="3">
        <f>'Monthly Data'!A36</f>
        <v>43040</v>
      </c>
      <c r="B36" s="1">
        <f t="shared" si="1"/>
        <v>2017</v>
      </c>
      <c r="C36" s="1">
        <f t="shared" si="2"/>
        <v>11</v>
      </c>
      <c r="D36" s="268">
        <f>'Monthly Data'!X36</f>
        <v>2933829.9156862791</v>
      </c>
      <c r="E36" s="278">
        <f t="shared" ca="1" si="6"/>
        <v>140.02366389045739</v>
      </c>
      <c r="F36" s="278">
        <f t="shared" ca="1" si="6"/>
        <v>0.8083333333333329</v>
      </c>
      <c r="G36" s="278">
        <f>'Monthly Data'!BL36</f>
        <v>148.02424242424243</v>
      </c>
      <c r="H36" s="278">
        <f>'Monthly Data'!BG36</f>
        <v>0</v>
      </c>
      <c r="I36" s="278">
        <f>'Monthly Data'!CC36</f>
        <v>35</v>
      </c>
      <c r="J36" s="278">
        <f>'Monthly Data'!CD36</f>
        <v>30</v>
      </c>
      <c r="K36" s="278">
        <f>'Monthly Data'!CG36</f>
        <v>0</v>
      </c>
      <c r="L36" s="278">
        <f>'Monthly Data'!CB36</f>
        <v>1</v>
      </c>
      <c r="M36" s="278">
        <f>'Monthly Data'!AX36</f>
        <v>6393</v>
      </c>
      <c r="O36" s="18"/>
      <c r="P36" s="18">
        <f ca="1">(E36-G36)*'Large Use Predicted Monthly'!$Z$11</f>
        <v>-3388.1537207844872</v>
      </c>
      <c r="Q36" s="18">
        <f ca="1">(F36-H36)*'Large Use Predicted Monthly'!$Z$12</f>
        <v>1460.0356087534226</v>
      </c>
      <c r="R36" s="18"/>
      <c r="S36" s="18"/>
      <c r="T36" s="18"/>
      <c r="U36" s="18"/>
      <c r="V36" s="18"/>
      <c r="W36" s="18">
        <f t="shared" ca="1" si="5"/>
        <v>2931901.7975742482</v>
      </c>
    </row>
    <row r="37" spans="1:23" x14ac:dyDescent="0.25">
      <c r="A37" s="3">
        <f>'Monthly Data'!A37</f>
        <v>43070</v>
      </c>
      <c r="B37" s="1">
        <f t="shared" si="1"/>
        <v>2017</v>
      </c>
      <c r="C37" s="1">
        <f t="shared" si="2"/>
        <v>12</v>
      </c>
      <c r="D37" s="268">
        <f>'Monthly Data'!X37</f>
        <v>3055515.8582477211</v>
      </c>
      <c r="E37" s="278">
        <f t="shared" ca="1" si="6"/>
        <v>268.92048913043476</v>
      </c>
      <c r="F37" s="278">
        <f t="shared" ca="1" si="6"/>
        <v>0</v>
      </c>
      <c r="G37" s="278">
        <f>'Monthly Data'!BL37</f>
        <v>426.3125</v>
      </c>
      <c r="H37" s="278">
        <f>'Monthly Data'!BG37</f>
        <v>0</v>
      </c>
      <c r="I37" s="278">
        <f>'Monthly Data'!CC37</f>
        <v>36</v>
      </c>
      <c r="J37" s="278">
        <f>'Monthly Data'!CD37</f>
        <v>31</v>
      </c>
      <c r="K37" s="278">
        <f>'Monthly Data'!CG37</f>
        <v>0</v>
      </c>
      <c r="L37" s="278">
        <f>'Monthly Data'!CB37</f>
        <v>0</v>
      </c>
      <c r="M37" s="278">
        <f>'Monthly Data'!AX37</f>
        <v>6393</v>
      </c>
      <c r="O37" s="18"/>
      <c r="P37" s="18">
        <f ca="1">(E37-G37)*'Large Use Predicted Monthly'!$Z$11</f>
        <v>-66653.720727516265</v>
      </c>
      <c r="Q37" s="18">
        <f ca="1">(F37-H37)*'Large Use Predicted Monthly'!$Z$12</f>
        <v>0</v>
      </c>
      <c r="R37" s="18"/>
      <c r="S37" s="18"/>
      <c r="T37" s="18"/>
      <c r="U37" s="18"/>
      <c r="V37" s="18"/>
      <c r="W37" s="18">
        <f t="shared" ca="1" si="5"/>
        <v>2988862.1375202048</v>
      </c>
    </row>
    <row r="38" spans="1:23" x14ac:dyDescent="0.25">
      <c r="A38" s="3">
        <f>'Monthly Data'!A38</f>
        <v>43101</v>
      </c>
      <c r="B38" s="1">
        <f t="shared" si="1"/>
        <v>2018</v>
      </c>
      <c r="C38" s="1">
        <f t="shared" si="2"/>
        <v>1</v>
      </c>
      <c r="D38" s="268">
        <f>'Monthly Data'!X38</f>
        <v>3620160.6120360349</v>
      </c>
      <c r="E38" s="278">
        <f t="shared" ca="1" si="6"/>
        <v>387.33418478260865</v>
      </c>
      <c r="F38" s="278">
        <f t="shared" ca="1" si="6"/>
        <v>0</v>
      </c>
      <c r="G38" s="278">
        <f>'Monthly Data'!BL38</f>
        <v>440.53750000000002</v>
      </c>
      <c r="H38" s="278">
        <f>'Monthly Data'!BG38</f>
        <v>0</v>
      </c>
      <c r="I38" s="278">
        <f>'Monthly Data'!CC38</f>
        <v>37</v>
      </c>
      <c r="J38" s="278">
        <f>'Monthly Data'!CD38</f>
        <v>31</v>
      </c>
      <c r="K38" s="278">
        <f>'Monthly Data'!CG38</f>
        <v>0</v>
      </c>
      <c r="L38" s="278">
        <f>'Monthly Data'!CB38</f>
        <v>0</v>
      </c>
      <c r="M38" s="278">
        <f>'Monthly Data'!AX38</f>
        <v>8006</v>
      </c>
      <c r="O38" s="18"/>
      <c r="P38" s="18">
        <f ca="1">(E38-G38)*'Large Use Predicted Monthly'!$Z$11</f>
        <v>-22530.996933617211</v>
      </c>
      <c r="Q38" s="18">
        <f ca="1">(F38-H38)*'Large Use Predicted Monthly'!$Z$12</f>
        <v>0</v>
      </c>
      <c r="R38" s="18"/>
      <c r="S38" s="18"/>
      <c r="T38" s="18"/>
      <c r="U38" s="18"/>
      <c r="V38" s="18"/>
      <c r="W38" s="18">
        <f t="shared" ca="1" si="5"/>
        <v>3597629.6151024178</v>
      </c>
    </row>
    <row r="39" spans="1:23" x14ac:dyDescent="0.25">
      <c r="A39" s="3">
        <f>'Monthly Data'!A39</f>
        <v>43132</v>
      </c>
      <c r="B39" s="1">
        <f t="shared" si="1"/>
        <v>2018</v>
      </c>
      <c r="C39" s="1">
        <f t="shared" si="2"/>
        <v>2</v>
      </c>
      <c r="D39" s="268">
        <f>'Monthly Data'!X39</f>
        <v>3387300.9512546035</v>
      </c>
      <c r="E39" s="278">
        <f t="shared" ca="1" si="6"/>
        <v>341.39751811594203</v>
      </c>
      <c r="F39" s="278">
        <f t="shared" ca="1" si="6"/>
        <v>0</v>
      </c>
      <c r="G39" s="278">
        <f>'Monthly Data'!BL39</f>
        <v>296.49583333333334</v>
      </c>
      <c r="H39" s="278">
        <f>'Monthly Data'!BG39</f>
        <v>0</v>
      </c>
      <c r="I39" s="278">
        <f>'Monthly Data'!CC39</f>
        <v>38</v>
      </c>
      <c r="J39" s="278">
        <f>'Monthly Data'!CD39</f>
        <v>28</v>
      </c>
      <c r="K39" s="278">
        <f>'Monthly Data'!CG39</f>
        <v>0</v>
      </c>
      <c r="L39" s="278">
        <f>'Monthly Data'!CB39</f>
        <v>0</v>
      </c>
      <c r="M39" s="278">
        <f>'Monthly Data'!AX39</f>
        <v>8006</v>
      </c>
      <c r="O39" s="18"/>
      <c r="P39" s="18">
        <f ca="1">(E39-G39)*'Large Use Predicted Monthly'!$Z$11</f>
        <v>19015.351167825345</v>
      </c>
      <c r="Q39" s="18">
        <f ca="1">(F39-H39)*'Large Use Predicted Monthly'!$Z$12</f>
        <v>0</v>
      </c>
      <c r="R39" s="18"/>
      <c r="S39" s="18"/>
      <c r="T39" s="18"/>
      <c r="U39" s="18"/>
      <c r="V39" s="18"/>
      <c r="W39" s="18">
        <f t="shared" ca="1" si="5"/>
        <v>3406316.302422429</v>
      </c>
    </row>
    <row r="40" spans="1:23" x14ac:dyDescent="0.25">
      <c r="A40" s="3">
        <f>'Monthly Data'!A40</f>
        <v>43160</v>
      </c>
      <c r="B40" s="1">
        <f t="shared" si="1"/>
        <v>2018</v>
      </c>
      <c r="C40" s="1">
        <f t="shared" si="2"/>
        <v>3</v>
      </c>
      <c r="D40" s="268">
        <f>'Monthly Data'!X40</f>
        <v>3736997.0486223674</v>
      </c>
      <c r="E40" s="278">
        <f t="shared" ca="1" si="6"/>
        <v>238.57840579710145</v>
      </c>
      <c r="F40" s="278">
        <f t="shared" ca="1" si="6"/>
        <v>0</v>
      </c>
      <c r="G40" s="278">
        <f>'Monthly Data'!BL40</f>
        <v>257.2791666666667</v>
      </c>
      <c r="H40" s="278">
        <f>'Monthly Data'!BG40</f>
        <v>0</v>
      </c>
      <c r="I40" s="278">
        <f>'Monthly Data'!CC40</f>
        <v>39</v>
      </c>
      <c r="J40" s="278">
        <f>'Monthly Data'!CD40</f>
        <v>31</v>
      </c>
      <c r="K40" s="278">
        <f>'Monthly Data'!CG40</f>
        <v>0</v>
      </c>
      <c r="L40" s="278">
        <f>'Monthly Data'!CB40</f>
        <v>1</v>
      </c>
      <c r="M40" s="278">
        <f>'Monthly Data'!AX40</f>
        <v>8006</v>
      </c>
      <c r="O40" s="18"/>
      <c r="P40" s="18">
        <f ca="1">(E40-G40)*'Large Use Predicted Monthly'!$Z$11</f>
        <v>-7919.5588486702263</v>
      </c>
      <c r="Q40" s="18">
        <f ca="1">(F40-H40)*'Large Use Predicted Monthly'!$Z$12</f>
        <v>0</v>
      </c>
      <c r="R40" s="18"/>
      <c r="S40" s="18"/>
      <c r="T40" s="18"/>
      <c r="U40" s="18"/>
      <c r="V40" s="18"/>
      <c r="W40" s="18">
        <f t="shared" ca="1" si="5"/>
        <v>3729077.4897736972</v>
      </c>
    </row>
    <row r="41" spans="1:23" x14ac:dyDescent="0.25">
      <c r="A41" s="3">
        <f>'Monthly Data'!A41</f>
        <v>43191</v>
      </c>
      <c r="B41" s="1">
        <f t="shared" si="1"/>
        <v>2018</v>
      </c>
      <c r="C41" s="1">
        <f t="shared" si="2"/>
        <v>4</v>
      </c>
      <c r="D41" s="268">
        <f>'Monthly Data'!X41</f>
        <v>3419037.4477658686</v>
      </c>
      <c r="E41" s="278">
        <f t="shared" ca="1" si="6"/>
        <v>79.984412878787879</v>
      </c>
      <c r="F41" s="278">
        <f t="shared" ca="1" si="6"/>
        <v>2.1908333333333347</v>
      </c>
      <c r="G41" s="278">
        <f>'Monthly Data'!BL41</f>
        <v>158.6666666666666</v>
      </c>
      <c r="H41" s="278">
        <f>'Monthly Data'!BG41</f>
        <v>0</v>
      </c>
      <c r="I41" s="278">
        <f>'Monthly Data'!CC41</f>
        <v>40</v>
      </c>
      <c r="J41" s="278">
        <f>'Monthly Data'!CD41</f>
        <v>30</v>
      </c>
      <c r="K41" s="278">
        <f>'Monthly Data'!CG41</f>
        <v>0</v>
      </c>
      <c r="L41" s="278">
        <f>'Monthly Data'!CB41</f>
        <v>1</v>
      </c>
      <c r="M41" s="278">
        <f>'Monthly Data'!AX41</f>
        <v>5437</v>
      </c>
      <c r="O41" s="18"/>
      <c r="P41" s="18">
        <f ca="1">(E41-G41)*'Large Use Predicted Monthly'!$Z$11</f>
        <v>-33321.036698203498</v>
      </c>
      <c r="Q41" s="18">
        <f ca="1">(F41-H41)*'Large Use Predicted Monthly'!$Z$12</f>
        <v>3957.1480571265488</v>
      </c>
      <c r="R41" s="18"/>
      <c r="S41" s="18"/>
      <c r="T41" s="18"/>
      <c r="U41" s="18"/>
      <c r="V41" s="18"/>
      <c r="W41" s="18">
        <f t="shared" ca="1" si="5"/>
        <v>3389673.5591247915</v>
      </c>
    </row>
    <row r="42" spans="1:23" x14ac:dyDescent="0.25">
      <c r="A42" s="3">
        <f>'Monthly Data'!A42</f>
        <v>43221</v>
      </c>
      <c r="B42" s="1">
        <f t="shared" si="1"/>
        <v>2018</v>
      </c>
      <c r="C42" s="1">
        <f t="shared" si="2"/>
        <v>5</v>
      </c>
      <c r="D42" s="268">
        <f>'Monthly Data'!X42</f>
        <v>3787056.8058039271</v>
      </c>
      <c r="E42" s="278">
        <f t="shared" ca="1" si="6"/>
        <v>7.2018333333333331</v>
      </c>
      <c r="F42" s="278">
        <f t="shared" ca="1" si="6"/>
        <v>52.487435064935063</v>
      </c>
      <c r="G42" s="278">
        <f>'Monthly Data'!BL42</f>
        <v>0.50416666666666554</v>
      </c>
      <c r="H42" s="278">
        <f>'Monthly Data'!BG42</f>
        <v>80.600541125541127</v>
      </c>
      <c r="I42" s="278">
        <f>'Monthly Data'!CC42</f>
        <v>41</v>
      </c>
      <c r="J42" s="278">
        <f>'Monthly Data'!CD42</f>
        <v>31</v>
      </c>
      <c r="K42" s="278">
        <f>'Monthly Data'!CG42</f>
        <v>0</v>
      </c>
      <c r="L42" s="278">
        <f>'Monthly Data'!CB42</f>
        <v>1</v>
      </c>
      <c r="M42" s="278">
        <f>'Monthly Data'!AX42</f>
        <v>5437</v>
      </c>
      <c r="O42" s="18"/>
      <c r="P42" s="18">
        <f ca="1">(E42-G42)*'Large Use Predicted Monthly'!$Z$11</f>
        <v>2836.3854115566137</v>
      </c>
      <c r="Q42" s="18">
        <f ca="1">(F42-H42)*'Large Use Predicted Monthly'!$Z$12</f>
        <v>-50778.724850902923</v>
      </c>
      <c r="R42" s="18"/>
      <c r="S42" s="18"/>
      <c r="T42" s="18"/>
      <c r="U42" s="18"/>
      <c r="V42" s="18"/>
      <c r="W42" s="18">
        <f t="shared" ca="1" si="5"/>
        <v>3739114.4663645811</v>
      </c>
    </row>
    <row r="43" spans="1:23" x14ac:dyDescent="0.25">
      <c r="A43" s="3">
        <f>'Monthly Data'!A43</f>
        <v>43252</v>
      </c>
      <c r="B43" s="1">
        <f t="shared" si="1"/>
        <v>2018</v>
      </c>
      <c r="C43" s="1">
        <f t="shared" si="2"/>
        <v>6</v>
      </c>
      <c r="D43" s="268">
        <f>'Monthly Data'!X43</f>
        <v>3565064.5816179486</v>
      </c>
      <c r="E43" s="278">
        <f t="shared" ca="1" si="6"/>
        <v>0</v>
      </c>
      <c r="F43" s="278">
        <f t="shared" ca="1" si="6"/>
        <v>137.65451754405018</v>
      </c>
      <c r="G43" s="278">
        <f>'Monthly Data'!BL43</f>
        <v>0</v>
      </c>
      <c r="H43" s="278">
        <f>'Monthly Data'!BG43</f>
        <v>141.51477272727271</v>
      </c>
      <c r="I43" s="278">
        <f>'Monthly Data'!CC43</f>
        <v>42</v>
      </c>
      <c r="J43" s="278">
        <f>'Monthly Data'!CD43</f>
        <v>30</v>
      </c>
      <c r="K43" s="278">
        <f>'Monthly Data'!CG43</f>
        <v>0</v>
      </c>
      <c r="L43" s="278">
        <f>'Monthly Data'!CB43</f>
        <v>0</v>
      </c>
      <c r="M43" s="278">
        <f>'Monthly Data'!AX43</f>
        <v>5437</v>
      </c>
      <c r="O43" s="18"/>
      <c r="P43" s="18">
        <f ca="1">(E43-G43)*'Large Use Predicted Monthly'!$Z$11</f>
        <v>0</v>
      </c>
      <c r="Q43" s="18">
        <f ca="1">(F43-H43)*'Large Use Predicted Monthly'!$Z$12</f>
        <v>-6972.5072491297369</v>
      </c>
      <c r="R43" s="18"/>
      <c r="S43" s="18"/>
      <c r="T43" s="18"/>
      <c r="U43" s="18"/>
      <c r="V43" s="18"/>
      <c r="W43" s="18">
        <f t="shared" ca="1" si="5"/>
        <v>3558092.0743688187</v>
      </c>
    </row>
    <row r="44" spans="1:23" x14ac:dyDescent="0.25">
      <c r="A44" s="3">
        <f>'Monthly Data'!A44</f>
        <v>43282</v>
      </c>
      <c r="B44" s="1">
        <f t="shared" si="1"/>
        <v>2018</v>
      </c>
      <c r="C44" s="1">
        <f t="shared" si="2"/>
        <v>7</v>
      </c>
      <c r="D44" s="268">
        <f>'Monthly Data'!X44</f>
        <v>3968524.5859418889</v>
      </c>
      <c r="E44" s="278">
        <f t="shared" ca="1" si="6"/>
        <v>0</v>
      </c>
      <c r="F44" s="278">
        <f t="shared" ca="1" si="6"/>
        <v>235.94737858727848</v>
      </c>
      <c r="G44" s="278">
        <f>'Monthly Data'!BL44</f>
        <v>0</v>
      </c>
      <c r="H44" s="278">
        <f>'Monthly Data'!BG44</f>
        <v>256.39861424807077</v>
      </c>
      <c r="I44" s="278">
        <f>'Monthly Data'!CC44</f>
        <v>43</v>
      </c>
      <c r="J44" s="278">
        <f>'Monthly Data'!CD44</f>
        <v>31</v>
      </c>
      <c r="K44" s="278">
        <f>'Monthly Data'!CG44</f>
        <v>0</v>
      </c>
      <c r="L44" s="278">
        <f>'Monthly Data'!CB44</f>
        <v>0</v>
      </c>
      <c r="M44" s="278">
        <f>'Monthly Data'!AX44</f>
        <v>9244</v>
      </c>
      <c r="O44" s="18"/>
      <c r="P44" s="18">
        <f ca="1">(E44-G44)*'Large Use Predicted Monthly'!$Z$11</f>
        <v>0</v>
      </c>
      <c r="Q44" s="18">
        <f ca="1">(F44-H44)*'Large Use Predicted Monthly'!$Z$12</f>
        <v>-36939.627597234554</v>
      </c>
      <c r="R44" s="18"/>
      <c r="S44" s="18"/>
      <c r="T44" s="18"/>
      <c r="U44" s="18"/>
      <c r="V44" s="18"/>
      <c r="W44" s="18">
        <f t="shared" ca="1" si="5"/>
        <v>3931584.9583446542</v>
      </c>
    </row>
    <row r="45" spans="1:23" x14ac:dyDescent="0.25">
      <c r="A45" s="3">
        <f>'Monthly Data'!A45</f>
        <v>43313</v>
      </c>
      <c r="B45" s="1">
        <f t="shared" si="1"/>
        <v>2018</v>
      </c>
      <c r="C45" s="1">
        <f t="shared" si="2"/>
        <v>8</v>
      </c>
      <c r="D45" s="268">
        <f>'Monthly Data'!X45</f>
        <v>4489467.8842810066</v>
      </c>
      <c r="E45" s="278">
        <f t="shared" ca="1" si="6"/>
        <v>0</v>
      </c>
      <c r="F45" s="278">
        <f t="shared" ca="1" si="6"/>
        <v>210.96558794466404</v>
      </c>
      <c r="G45" s="278">
        <f>'Monthly Data'!BL45</f>
        <v>0</v>
      </c>
      <c r="H45" s="278">
        <f>'Monthly Data'!BG45</f>
        <v>252.24583333333339</v>
      </c>
      <c r="I45" s="278">
        <f>'Monthly Data'!CC45</f>
        <v>44</v>
      </c>
      <c r="J45" s="278">
        <f>'Monthly Data'!CD45</f>
        <v>31</v>
      </c>
      <c r="K45" s="278">
        <f>'Monthly Data'!CG45</f>
        <v>0</v>
      </c>
      <c r="L45" s="278">
        <f>'Monthly Data'!CB45</f>
        <v>0</v>
      </c>
      <c r="M45" s="278">
        <f>'Monthly Data'!AX45</f>
        <v>9244</v>
      </c>
      <c r="O45" s="18"/>
      <c r="P45" s="18">
        <f ca="1">(E45-G45)*'Large Use Predicted Monthly'!$Z$11</f>
        <v>0</v>
      </c>
      <c r="Q45" s="18">
        <f ca="1">(F45-H45)*'Large Use Predicted Monthly'!$Z$12</f>
        <v>-74561.601903756571</v>
      </c>
      <c r="R45" s="18"/>
      <c r="S45" s="18"/>
      <c r="T45" s="18"/>
      <c r="U45" s="18"/>
      <c r="V45" s="18"/>
      <c r="W45" s="18">
        <f t="shared" ca="1" si="5"/>
        <v>4414906.2823772505</v>
      </c>
    </row>
    <row r="46" spans="1:23" x14ac:dyDescent="0.25">
      <c r="A46" s="3">
        <f>'Monthly Data'!A46</f>
        <v>43344</v>
      </c>
      <c r="B46" s="1">
        <f t="shared" si="1"/>
        <v>2018</v>
      </c>
      <c r="C46" s="1">
        <f t="shared" si="2"/>
        <v>9</v>
      </c>
      <c r="D46" s="268">
        <f>'Monthly Data'!X46</f>
        <v>4295278.7381676789</v>
      </c>
      <c r="E46" s="278">
        <f t="shared" ca="1" si="6"/>
        <v>0</v>
      </c>
      <c r="F46" s="278">
        <f t="shared" ca="1" si="6"/>
        <v>106.4160119047619</v>
      </c>
      <c r="G46" s="278">
        <f>'Monthly Data'!BL46</f>
        <v>0</v>
      </c>
      <c r="H46" s="278">
        <f>'Monthly Data'!BG46</f>
        <v>135.06250000000003</v>
      </c>
      <c r="I46" s="278">
        <f>'Monthly Data'!CC46</f>
        <v>45</v>
      </c>
      <c r="J46" s="278">
        <f>'Monthly Data'!CD46</f>
        <v>30</v>
      </c>
      <c r="K46" s="278">
        <f>'Monthly Data'!CG46</f>
        <v>0</v>
      </c>
      <c r="L46" s="278">
        <f>'Monthly Data'!CB46</f>
        <v>1</v>
      </c>
      <c r="M46" s="278">
        <f>'Monthly Data'!AX46</f>
        <v>9244</v>
      </c>
      <c r="O46" s="18"/>
      <c r="P46" s="18">
        <f ca="1">(E46-G46)*'Large Use Predicted Monthly'!$Z$11</f>
        <v>0</v>
      </c>
      <c r="Q46" s="18">
        <f ca="1">(F46-H46)*'Large Use Predicted Monthly'!$Z$12</f>
        <v>-51742.135280138587</v>
      </c>
      <c r="R46" s="18"/>
      <c r="S46" s="18"/>
      <c r="T46" s="18"/>
      <c r="U46" s="18"/>
      <c r="V46" s="18"/>
      <c r="W46" s="18">
        <f t="shared" ca="1" si="5"/>
        <v>4243536.6028875401</v>
      </c>
    </row>
    <row r="47" spans="1:23" x14ac:dyDescent="0.25">
      <c r="A47" s="3">
        <f>'Monthly Data'!A47</f>
        <v>43374</v>
      </c>
      <c r="B47" s="1">
        <f t="shared" si="1"/>
        <v>2018</v>
      </c>
      <c r="C47" s="1">
        <f t="shared" si="2"/>
        <v>10</v>
      </c>
      <c r="D47" s="268">
        <f>'Monthly Data'!X47</f>
        <v>3908812.9224410886</v>
      </c>
      <c r="E47" s="278">
        <f t="shared" ca="1" si="6"/>
        <v>24.76139492753623</v>
      </c>
      <c r="F47" s="278">
        <f t="shared" ca="1" si="6"/>
        <v>17.987083333333334</v>
      </c>
      <c r="G47" s="278">
        <f>'Monthly Data'!BL47</f>
        <v>55.56666666666667</v>
      </c>
      <c r="H47" s="278">
        <f>'Monthly Data'!BG47</f>
        <v>15.387500000000001</v>
      </c>
      <c r="I47" s="278">
        <f>'Monthly Data'!CC47</f>
        <v>46</v>
      </c>
      <c r="J47" s="278">
        <f>'Monthly Data'!CD47</f>
        <v>31</v>
      </c>
      <c r="K47" s="278">
        <f>'Monthly Data'!CG47</f>
        <v>0</v>
      </c>
      <c r="L47" s="278">
        <f>'Monthly Data'!CB47</f>
        <v>1</v>
      </c>
      <c r="M47" s="278">
        <f>'Monthly Data'!AX47</f>
        <v>5492</v>
      </c>
      <c r="O47" s="18"/>
      <c r="P47" s="18">
        <f ca="1">(E47-G47)*'Large Use Predicted Monthly'!$Z$11</f>
        <v>-13045.681086931787</v>
      </c>
      <c r="Q47" s="18">
        <f ca="1">(F47-H47)*'Large Use Predicted Monthly'!$Z$12</f>
        <v>4695.444413924025</v>
      </c>
      <c r="R47" s="18"/>
      <c r="S47" s="18"/>
      <c r="T47" s="18"/>
      <c r="U47" s="18"/>
      <c r="V47" s="18"/>
      <c r="W47" s="18">
        <f t="shared" ca="1" si="5"/>
        <v>3900462.6857680809</v>
      </c>
    </row>
    <row r="48" spans="1:23"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Data'!BL48</f>
        <v>206.24583333333334</v>
      </c>
      <c r="H48" s="278">
        <f>'Monthly Data'!BG48</f>
        <v>0</v>
      </c>
      <c r="I48" s="278">
        <f>'Monthly Data'!CC48</f>
        <v>47</v>
      </c>
      <c r="J48" s="278">
        <f>'Monthly Data'!CD48</f>
        <v>30</v>
      </c>
      <c r="K48" s="278">
        <f>'Monthly Data'!CG48</f>
        <v>0</v>
      </c>
      <c r="L48" s="278">
        <f>'Monthly Data'!CB48</f>
        <v>1</v>
      </c>
      <c r="M48" s="278">
        <f>'Monthly Data'!AX48</f>
        <v>5492</v>
      </c>
      <c r="O48" s="18"/>
      <c r="P48" s="18">
        <f ca="1">(E48-G48)*'Large Use Predicted Monthly'!$Z$11</f>
        <v>-28044.333150261806</v>
      </c>
      <c r="Q48" s="18">
        <f ca="1">(F48-H48)*'Large Use Predicted Monthly'!$Z$12</f>
        <v>1460.0356087534226</v>
      </c>
      <c r="R48" s="18"/>
      <c r="S48" s="18"/>
      <c r="T48" s="18"/>
      <c r="U48" s="18"/>
      <c r="V48" s="18"/>
      <c r="W48" s="18">
        <f t="shared" ref="W48:W111" ca="1" si="7">SUM(D48,O48:V48)</f>
        <v>3616213.3324149153</v>
      </c>
    </row>
    <row r="49" spans="1:23"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Data'!BL49</f>
        <v>274.91666666666663</v>
      </c>
      <c r="H49" s="278">
        <f>'Monthly Data'!BG49</f>
        <v>0</v>
      </c>
      <c r="I49" s="278">
        <f>'Monthly Data'!CC49</f>
        <v>48</v>
      </c>
      <c r="J49" s="278">
        <f>'Monthly Data'!CD49</f>
        <v>31</v>
      </c>
      <c r="K49" s="278">
        <f>'Monthly Data'!CG49</f>
        <v>0</v>
      </c>
      <c r="L49" s="278">
        <f>'Monthly Data'!CB49</f>
        <v>0</v>
      </c>
      <c r="M49" s="278">
        <f>'Monthly Data'!AX49</f>
        <v>5492</v>
      </c>
      <c r="O49" s="18"/>
      <c r="P49" s="18">
        <f ca="1">(E49-G49)*'Large Use Predicted Monthly'!$Z$11</f>
        <v>-2539.3127689550911</v>
      </c>
      <c r="Q49" s="18">
        <f ca="1">(F49-H49)*'Large Use Predicted Monthly'!$Z$12</f>
        <v>0</v>
      </c>
      <c r="R49" s="18"/>
      <c r="S49" s="18"/>
      <c r="T49" s="18"/>
      <c r="U49" s="18"/>
      <c r="V49" s="18"/>
      <c r="W49" s="18">
        <f t="shared" ca="1" si="7"/>
        <v>3329295.5960088717</v>
      </c>
    </row>
    <row r="50" spans="1:23"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Data'!BL50</f>
        <v>469.93333333333328</v>
      </c>
      <c r="H50" s="278">
        <f>'Monthly Data'!BG50</f>
        <v>0</v>
      </c>
      <c r="I50" s="278">
        <f>'Monthly Data'!CC50</f>
        <v>49</v>
      </c>
      <c r="J50" s="278">
        <f>'Monthly Data'!CD50</f>
        <v>31</v>
      </c>
      <c r="K50" s="278">
        <f>'Monthly Data'!CG50</f>
        <v>0</v>
      </c>
      <c r="L50" s="278">
        <f>'Monthly Data'!CB50</f>
        <v>0</v>
      </c>
      <c r="M50" s="278">
        <f>'Monthly Data'!AX50</f>
        <v>1092</v>
      </c>
      <c r="O50" s="18"/>
      <c r="P50" s="18">
        <f ca="1">(E50-G50)*'Large Use Predicted Monthly'!$Z$11</f>
        <v>-34979.796937680723</v>
      </c>
      <c r="Q50" s="18">
        <f ca="1">(F50-H50)*'Large Use Predicted Monthly'!$Z$12</f>
        <v>0</v>
      </c>
      <c r="R50" s="18"/>
      <c r="S50" s="18"/>
      <c r="T50" s="18"/>
      <c r="U50" s="18"/>
      <c r="V50" s="18"/>
      <c r="W50" s="18">
        <f t="shared" ca="1" si="7"/>
        <v>3360289.6038038954</v>
      </c>
    </row>
    <row r="51" spans="1:23"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Data'!BL51</f>
        <v>359.30416666666662</v>
      </c>
      <c r="H51" s="278">
        <f>'Monthly Data'!BG51</f>
        <v>0</v>
      </c>
      <c r="I51" s="278">
        <f>'Monthly Data'!CC51</f>
        <v>50</v>
      </c>
      <c r="J51" s="278">
        <f>'Monthly Data'!CD51</f>
        <v>28</v>
      </c>
      <c r="K51" s="278">
        <f>'Monthly Data'!CG51</f>
        <v>0</v>
      </c>
      <c r="L51" s="278">
        <f>'Monthly Data'!CB51</f>
        <v>0</v>
      </c>
      <c r="M51" s="278">
        <f>'Monthly Data'!AX51</f>
        <v>1092</v>
      </c>
      <c r="O51" s="18"/>
      <c r="P51" s="18">
        <f ca="1">(E51-G51)*'Large Use Predicted Monthly'!$Z$11</f>
        <v>-7583.2613426287626</v>
      </c>
      <c r="Q51" s="18">
        <f ca="1">(F51-H51)*'Large Use Predicted Monthly'!$Z$12</f>
        <v>0</v>
      </c>
      <c r="R51" s="18"/>
      <c r="S51" s="18"/>
      <c r="T51" s="18"/>
      <c r="U51" s="18"/>
      <c r="V51" s="18"/>
      <c r="W51" s="18">
        <f t="shared" ca="1" si="7"/>
        <v>2879721.2357240324</v>
      </c>
    </row>
    <row r="52" spans="1:23"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Data'!BL52</f>
        <v>301.45833333333326</v>
      </c>
      <c r="H52" s="278">
        <f>'Monthly Data'!BG52</f>
        <v>0</v>
      </c>
      <c r="I52" s="278">
        <f>'Monthly Data'!CC52</f>
        <v>51</v>
      </c>
      <c r="J52" s="278">
        <f>'Monthly Data'!CD52</f>
        <v>31</v>
      </c>
      <c r="K52" s="278">
        <f>'Monthly Data'!CG52</f>
        <v>0</v>
      </c>
      <c r="L52" s="278">
        <f>'Monthly Data'!CB52</f>
        <v>1</v>
      </c>
      <c r="M52" s="278">
        <f>'Monthly Data'!AX52</f>
        <v>1092</v>
      </c>
      <c r="O52" s="18"/>
      <c r="P52" s="18">
        <f ca="1">(E52-G52)*'Large Use Predicted Monthly'!$Z$11</f>
        <v>-26628.931838476812</v>
      </c>
      <c r="Q52" s="18">
        <f ca="1">(F52-H52)*'Large Use Predicted Monthly'!$Z$12</f>
        <v>0</v>
      </c>
      <c r="R52" s="18"/>
      <c r="S52" s="18"/>
      <c r="T52" s="18"/>
      <c r="U52" s="18"/>
      <c r="V52" s="18"/>
      <c r="W52" s="18">
        <f t="shared" ca="1" si="7"/>
        <v>3267787.7654787484</v>
      </c>
    </row>
    <row r="53" spans="1:23"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Data'!BL53</f>
        <v>81.245833333333351</v>
      </c>
      <c r="H53" s="278">
        <f>'Monthly Data'!BG53</f>
        <v>0</v>
      </c>
      <c r="I53" s="278">
        <f>'Monthly Data'!CC53</f>
        <v>52</v>
      </c>
      <c r="J53" s="278">
        <f>'Monthly Data'!CD53</f>
        <v>30</v>
      </c>
      <c r="K53" s="278">
        <f>'Monthly Data'!CG53</f>
        <v>0</v>
      </c>
      <c r="L53" s="278">
        <f>'Monthly Data'!CB53</f>
        <v>1</v>
      </c>
      <c r="M53" s="278">
        <f>'Monthly Data'!AX53</f>
        <v>5906</v>
      </c>
      <c r="O53" s="18"/>
      <c r="P53" s="18">
        <f ca="1">(E53-G53)*'Large Use Predicted Monthly'!$Z$11</f>
        <v>-534.19716942893899</v>
      </c>
      <c r="Q53" s="18">
        <f ca="1">(F53-H53)*'Large Use Predicted Monthly'!$Z$12</f>
        <v>3957.1480571265488</v>
      </c>
      <c r="R53" s="18"/>
      <c r="S53" s="18"/>
      <c r="T53" s="18"/>
      <c r="U53" s="18"/>
      <c r="V53" s="18"/>
      <c r="W53" s="18">
        <f t="shared" ca="1" si="7"/>
        <v>3142581.8389258818</v>
      </c>
    </row>
    <row r="54" spans="1:23" x14ac:dyDescent="0.25">
      <c r="A54" s="3">
        <f>'Monthly Data'!A54</f>
        <v>43586</v>
      </c>
      <c r="B54" s="1">
        <f t="shared" si="1"/>
        <v>2019</v>
      </c>
      <c r="C54" s="1">
        <f t="shared" si="2"/>
        <v>5</v>
      </c>
      <c r="D54" s="268">
        <f>'Monthly Data'!X54</f>
        <v>3185460.1100917053</v>
      </c>
      <c r="E54" s="278">
        <f t="shared" ref="E54:F73" ca="1" si="8">E42</f>
        <v>7.2018333333333331</v>
      </c>
      <c r="F54" s="278">
        <f t="shared" ca="1" si="8"/>
        <v>52.487435064935063</v>
      </c>
      <c r="G54" s="278">
        <f>'Monthly Data'!BL54</f>
        <v>5.4041666666666659</v>
      </c>
      <c r="H54" s="278">
        <f>'Monthly Data'!BG54</f>
        <v>11.208333333333332</v>
      </c>
      <c r="I54" s="278">
        <f>'Monthly Data'!CC54</f>
        <v>53</v>
      </c>
      <c r="J54" s="278">
        <f>'Monthly Data'!CD54</f>
        <v>31</v>
      </c>
      <c r="K54" s="278">
        <f>'Monthly Data'!CG54</f>
        <v>0</v>
      </c>
      <c r="L54" s="278">
        <f>'Monthly Data'!CB54</f>
        <v>1</v>
      </c>
      <c r="M54" s="278">
        <f>'Monthly Data'!AX54</f>
        <v>5906</v>
      </c>
      <c r="O54" s="18"/>
      <c r="P54" s="18">
        <f ca="1">(E54-G54)*'Large Use Predicted Monthly'!$Z$11</f>
        <v>761.29132158088987</v>
      </c>
      <c r="Q54" s="18">
        <f ca="1">(F54-H54)*'Large Use Predicted Monthly'!$Z$12</f>
        <v>74559.536196486952</v>
      </c>
      <c r="R54" s="18"/>
      <c r="S54" s="18"/>
      <c r="T54" s="18"/>
      <c r="U54" s="18"/>
      <c r="V54" s="18"/>
      <c r="W54" s="18">
        <f t="shared" ca="1" si="7"/>
        <v>3260780.9376097731</v>
      </c>
    </row>
    <row r="55" spans="1:23" x14ac:dyDescent="0.25">
      <c r="A55" s="3">
        <f>'Monthly Data'!A55</f>
        <v>43617</v>
      </c>
      <c r="B55" s="1">
        <f t="shared" si="1"/>
        <v>2019</v>
      </c>
      <c r="C55" s="1">
        <f t="shared" si="2"/>
        <v>6</v>
      </c>
      <c r="D55" s="268">
        <f>'Monthly Data'!X55</f>
        <v>3195698.6000678479</v>
      </c>
      <c r="E55" s="278">
        <f t="shared" ca="1" si="8"/>
        <v>0</v>
      </c>
      <c r="F55" s="278">
        <f t="shared" ca="1" si="8"/>
        <v>137.65451754405018</v>
      </c>
      <c r="G55" s="278">
        <f>'Monthly Data'!BL55</f>
        <v>0</v>
      </c>
      <c r="H55" s="278">
        <f>'Monthly Data'!BG55</f>
        <v>118.81666666666663</v>
      </c>
      <c r="I55" s="278">
        <f>'Monthly Data'!CC55</f>
        <v>54</v>
      </c>
      <c r="J55" s="278">
        <f>'Monthly Data'!CD55</f>
        <v>30</v>
      </c>
      <c r="K55" s="278">
        <f>'Monthly Data'!CG55</f>
        <v>0</v>
      </c>
      <c r="L55" s="278">
        <f>'Monthly Data'!CB55</f>
        <v>0</v>
      </c>
      <c r="M55" s="278">
        <f>'Monthly Data'!AX55</f>
        <v>5906</v>
      </c>
      <c r="O55" s="18"/>
      <c r="P55" s="18">
        <f ca="1">(E55-G55)*'Large Use Predicted Monthly'!$Z$11</f>
        <v>0</v>
      </c>
      <c r="Q55" s="18">
        <f ca="1">(F55-H55)*'Large Use Predicted Monthly'!$Z$12</f>
        <v>34025.484214474505</v>
      </c>
      <c r="R55" s="18"/>
      <c r="S55" s="18"/>
      <c r="T55" s="18"/>
      <c r="U55" s="18"/>
      <c r="V55" s="18"/>
      <c r="W55" s="18">
        <f t="shared" ca="1" si="7"/>
        <v>3229724.0842823223</v>
      </c>
    </row>
    <row r="56" spans="1:23" x14ac:dyDescent="0.25">
      <c r="A56" s="3">
        <f>'Monthly Data'!A56</f>
        <v>43647</v>
      </c>
      <c r="B56" s="1">
        <f t="shared" si="1"/>
        <v>2019</v>
      </c>
      <c r="C56" s="1">
        <f t="shared" si="2"/>
        <v>7</v>
      </c>
      <c r="D56" s="268">
        <f>'Monthly Data'!X56</f>
        <v>3490545.2096623592</v>
      </c>
      <c r="E56" s="278">
        <f t="shared" ca="1" si="8"/>
        <v>0</v>
      </c>
      <c r="F56" s="278">
        <f t="shared" ca="1" si="8"/>
        <v>235.94737858727848</v>
      </c>
      <c r="G56" s="278">
        <f>'Monthly Data'!BL56</f>
        <v>0</v>
      </c>
      <c r="H56" s="278">
        <f>'Monthly Data'!BG56</f>
        <v>259.60000000000008</v>
      </c>
      <c r="I56" s="278">
        <f>'Monthly Data'!CC56</f>
        <v>55</v>
      </c>
      <c r="J56" s="278">
        <f>'Monthly Data'!CD56</f>
        <v>31</v>
      </c>
      <c r="K56" s="278">
        <f>'Monthly Data'!CG56</f>
        <v>0</v>
      </c>
      <c r="L56" s="278">
        <f>'Monthly Data'!CB56</f>
        <v>0</v>
      </c>
      <c r="M56" s="278">
        <f>'Monthly Data'!AX56</f>
        <v>3717</v>
      </c>
      <c r="O56" s="18"/>
      <c r="P56" s="18">
        <f ca="1">(E56-G56)*'Large Use Predicted Monthly'!$Z$11</f>
        <v>0</v>
      </c>
      <c r="Q56" s="18">
        <f ca="1">(F56-H56)*'Large Use Predicted Monthly'!$Z$12</f>
        <v>-42722.065364458438</v>
      </c>
      <c r="R56" s="18"/>
      <c r="S56" s="18"/>
      <c r="T56" s="18"/>
      <c r="U56" s="18"/>
      <c r="V56" s="18"/>
      <c r="W56" s="18">
        <f t="shared" ca="1" si="7"/>
        <v>3447823.1442979006</v>
      </c>
    </row>
    <row r="57" spans="1:23" x14ac:dyDescent="0.25">
      <c r="A57" s="3">
        <f>'Monthly Data'!A57</f>
        <v>43678</v>
      </c>
      <c r="B57" s="1">
        <f t="shared" si="1"/>
        <v>2019</v>
      </c>
      <c r="C57" s="1">
        <f t="shared" si="2"/>
        <v>8</v>
      </c>
      <c r="D57" s="268">
        <f>'Monthly Data'!X57</f>
        <v>3574224.7099011471</v>
      </c>
      <c r="E57" s="278">
        <f t="shared" ca="1" si="8"/>
        <v>0</v>
      </c>
      <c r="F57" s="278">
        <f t="shared" ca="1" si="8"/>
        <v>210.96558794466404</v>
      </c>
      <c r="G57" s="278">
        <f>'Monthly Data'!BL57</f>
        <v>0</v>
      </c>
      <c r="H57" s="278">
        <f>'Monthly Data'!BG57</f>
        <v>190.07083333333335</v>
      </c>
      <c r="I57" s="278">
        <f>'Monthly Data'!CC57</f>
        <v>56</v>
      </c>
      <c r="J57" s="278">
        <f>'Monthly Data'!CD57</f>
        <v>31</v>
      </c>
      <c r="K57" s="278">
        <f>'Monthly Data'!CG57</f>
        <v>0</v>
      </c>
      <c r="L57" s="278">
        <f>'Monthly Data'!CB57</f>
        <v>0</v>
      </c>
      <c r="M57" s="278">
        <f>'Monthly Data'!AX57</f>
        <v>3717</v>
      </c>
      <c r="O57" s="18"/>
      <c r="P57" s="18">
        <f ca="1">(E57-G57)*'Large Use Predicted Monthly'!$Z$11</f>
        <v>0</v>
      </c>
      <c r="Q57" s="18">
        <f ca="1">(F57-H57)*'Large Use Predicted Monthly'!$Z$12</f>
        <v>37740.724662318673</v>
      </c>
      <c r="R57" s="18"/>
      <c r="S57" s="18"/>
      <c r="T57" s="18"/>
      <c r="U57" s="18"/>
      <c r="V57" s="18"/>
      <c r="W57" s="18">
        <f t="shared" ca="1" si="7"/>
        <v>3611965.4345634659</v>
      </c>
    </row>
    <row r="58" spans="1:23" x14ac:dyDescent="0.25">
      <c r="A58" s="3">
        <f>'Monthly Data'!A58</f>
        <v>43709</v>
      </c>
      <c r="B58" s="1">
        <f t="shared" si="1"/>
        <v>2019</v>
      </c>
      <c r="C58" s="1">
        <f t="shared" si="2"/>
        <v>9</v>
      </c>
      <c r="D58" s="268">
        <f>'Monthly Data'!X58</f>
        <v>3325099.9908512547</v>
      </c>
      <c r="E58" s="278">
        <f t="shared" ca="1" si="8"/>
        <v>0</v>
      </c>
      <c r="F58" s="278">
        <f t="shared" ca="1" si="8"/>
        <v>106.4160119047619</v>
      </c>
      <c r="G58" s="278">
        <f>'Monthly Data'!BL58</f>
        <v>0</v>
      </c>
      <c r="H58" s="278">
        <f>'Monthly Data'!BG58</f>
        <v>76.5</v>
      </c>
      <c r="I58" s="278">
        <f>'Monthly Data'!CC58</f>
        <v>57</v>
      </c>
      <c r="J58" s="278">
        <f>'Monthly Data'!CD58</f>
        <v>30</v>
      </c>
      <c r="K58" s="278">
        <f>'Monthly Data'!CG58</f>
        <v>0</v>
      </c>
      <c r="L58" s="278">
        <f>'Monthly Data'!CB58</f>
        <v>1</v>
      </c>
      <c r="M58" s="278">
        <f>'Monthly Data'!AX58</f>
        <v>3717</v>
      </c>
      <c r="O58" s="18"/>
      <c r="P58" s="18">
        <f ca="1">(E58-G58)*'Large Use Predicted Monthly'!$Z$11</f>
        <v>0</v>
      </c>
      <c r="Q58" s="18">
        <f ca="1">(F58-H58)*'Large Use Predicted Monthly'!$Z$12</f>
        <v>54035.186787023136</v>
      </c>
      <c r="R58" s="18"/>
      <c r="S58" s="18"/>
      <c r="T58" s="18"/>
      <c r="U58" s="18"/>
      <c r="V58" s="18"/>
      <c r="W58" s="18">
        <f t="shared" ca="1" si="7"/>
        <v>3379135.1776382779</v>
      </c>
    </row>
    <row r="59" spans="1:23" x14ac:dyDescent="0.25">
      <c r="A59" s="3">
        <f>'Monthly Data'!A59</f>
        <v>43739</v>
      </c>
      <c r="B59" s="1">
        <f t="shared" si="1"/>
        <v>2019</v>
      </c>
      <c r="C59" s="1">
        <f t="shared" si="2"/>
        <v>10</v>
      </c>
      <c r="D59" s="268">
        <f>'Monthly Data'!X59</f>
        <v>3258814.2217580262</v>
      </c>
      <c r="E59" s="278">
        <f t="shared" ca="1" si="8"/>
        <v>24.76139492753623</v>
      </c>
      <c r="F59" s="278">
        <f t="shared" ca="1" si="8"/>
        <v>17.987083333333334</v>
      </c>
      <c r="G59" s="278">
        <f>'Monthly Data'!BL59</f>
        <v>8.0666666666666664</v>
      </c>
      <c r="H59" s="278">
        <f>'Monthly Data'!BG59</f>
        <v>7.3333333333333357</v>
      </c>
      <c r="I59" s="278">
        <f>'Monthly Data'!CC59</f>
        <v>58</v>
      </c>
      <c r="J59" s="278">
        <f>'Monthly Data'!CD59</f>
        <v>31</v>
      </c>
      <c r="K59" s="278">
        <f>'Monthly Data'!CG59</f>
        <v>0</v>
      </c>
      <c r="L59" s="278">
        <f>'Monthly Data'!CB59</f>
        <v>1</v>
      </c>
      <c r="M59" s="278">
        <f>'Monthly Data'!AX59</f>
        <v>1050</v>
      </c>
      <c r="O59" s="18"/>
      <c r="P59" s="18">
        <f ca="1">(E59-G59)*'Large Use Predicted Monthly'!$Z$11</f>
        <v>7070.0269281390047</v>
      </c>
      <c r="Q59" s="18">
        <f ca="1">(F59-H59)*'Large Use Predicted Monthly'!$Z$12</f>
        <v>19243.118804235193</v>
      </c>
      <c r="R59" s="18"/>
      <c r="S59" s="18"/>
      <c r="T59" s="18"/>
      <c r="U59" s="18"/>
      <c r="V59" s="18"/>
      <c r="W59" s="18">
        <f t="shared" ca="1" si="7"/>
        <v>3285127.3674904001</v>
      </c>
    </row>
    <row r="60" spans="1:23" x14ac:dyDescent="0.25">
      <c r="A60" s="3">
        <f>'Monthly Data'!A60</f>
        <v>43770</v>
      </c>
      <c r="B60" s="1">
        <f t="shared" si="1"/>
        <v>2019</v>
      </c>
      <c r="C60" s="1">
        <f t="shared" si="2"/>
        <v>11</v>
      </c>
      <c r="D60" s="268">
        <f>'Monthly Data'!X60</f>
        <v>3258812.8122494793</v>
      </c>
      <c r="E60" s="278">
        <f t="shared" ca="1" si="8"/>
        <v>140.02366389045739</v>
      </c>
      <c r="F60" s="278">
        <f t="shared" ca="1" si="8"/>
        <v>0.8083333333333329</v>
      </c>
      <c r="G60" s="278">
        <f>'Monthly Data'!BL60</f>
        <v>229.72499999999999</v>
      </c>
      <c r="H60" s="278">
        <f>'Monthly Data'!BG60</f>
        <v>0</v>
      </c>
      <c r="I60" s="278">
        <f>'Monthly Data'!CC60</f>
        <v>59</v>
      </c>
      <c r="J60" s="278">
        <f>'Monthly Data'!CD60</f>
        <v>30</v>
      </c>
      <c r="K60" s="278">
        <f>'Monthly Data'!CG60</f>
        <v>0</v>
      </c>
      <c r="L60" s="278">
        <f>'Monthly Data'!CB60</f>
        <v>1</v>
      </c>
      <c r="M60" s="278">
        <f>'Monthly Data'!AX60</f>
        <v>1050</v>
      </c>
      <c r="O60" s="18"/>
      <c r="P60" s="18">
        <f ca="1">(E60-G60)*'Large Use Predicted Monthly'!$Z$11</f>
        <v>-37987.492331395479</v>
      </c>
      <c r="Q60" s="18">
        <f ca="1">(F60-H60)*'Large Use Predicted Monthly'!$Z$12</f>
        <v>1460.0356087534226</v>
      </c>
      <c r="R60" s="18"/>
      <c r="S60" s="18"/>
      <c r="T60" s="18"/>
      <c r="U60" s="18"/>
      <c r="V60" s="18"/>
      <c r="W60" s="18">
        <f t="shared" ca="1" si="7"/>
        <v>3222285.3555268375</v>
      </c>
    </row>
    <row r="61" spans="1:23" x14ac:dyDescent="0.25">
      <c r="A61" s="3">
        <f>'Monthly Data'!A61</f>
        <v>43800</v>
      </c>
      <c r="B61" s="1">
        <f t="shared" si="1"/>
        <v>2019</v>
      </c>
      <c r="C61" s="1">
        <f t="shared" si="2"/>
        <v>12</v>
      </c>
      <c r="D61" s="268">
        <f>'Monthly Data'!X61</f>
        <v>3152827.0955878673</v>
      </c>
      <c r="E61" s="278">
        <f t="shared" ca="1" si="8"/>
        <v>268.92048913043476</v>
      </c>
      <c r="F61" s="278">
        <f t="shared" ca="1" si="8"/>
        <v>0</v>
      </c>
      <c r="G61" s="278">
        <f>'Monthly Data'!BL61</f>
        <v>304.42916666666662</v>
      </c>
      <c r="H61" s="278">
        <f>'Monthly Data'!BG61</f>
        <v>0</v>
      </c>
      <c r="I61" s="278">
        <f>'Monthly Data'!CC61</f>
        <v>60</v>
      </c>
      <c r="J61" s="278">
        <f>'Monthly Data'!CD61</f>
        <v>31</v>
      </c>
      <c r="K61" s="278">
        <f>'Monthly Data'!CG61</f>
        <v>0</v>
      </c>
      <c r="L61" s="278">
        <f>'Monthly Data'!CB61</f>
        <v>0</v>
      </c>
      <c r="M61" s="278">
        <f>'Monthly Data'!AX61</f>
        <v>1050</v>
      </c>
      <c r="O61" s="18"/>
      <c r="P61" s="18">
        <f ca="1">(E61-G61)*'Large Use Predicted Monthly'!$Z$11</f>
        <v>-15037.519775160912</v>
      </c>
      <c r="Q61" s="18">
        <f ca="1">(F61-H61)*'Large Use Predicted Monthly'!$Z$12</f>
        <v>0</v>
      </c>
      <c r="R61" s="18"/>
      <c r="S61" s="18"/>
      <c r="T61" s="18"/>
      <c r="U61" s="18"/>
      <c r="V61" s="18"/>
      <c r="W61" s="18">
        <f t="shared" ca="1" si="7"/>
        <v>3137789.5758127063</v>
      </c>
    </row>
    <row r="62" spans="1:23" x14ac:dyDescent="0.25">
      <c r="A62" s="3">
        <f>'Monthly Data'!A62</f>
        <v>43831</v>
      </c>
      <c r="B62" s="1">
        <f t="shared" si="1"/>
        <v>2020</v>
      </c>
      <c r="C62" s="1">
        <f t="shared" si="2"/>
        <v>1</v>
      </c>
      <c r="D62" s="268">
        <f>'Monthly Data'!X62</f>
        <v>3074944.6463091564</v>
      </c>
      <c r="E62" s="278">
        <f t="shared" ca="1" si="8"/>
        <v>387.33418478260865</v>
      </c>
      <c r="F62" s="278">
        <f t="shared" ca="1" si="8"/>
        <v>0</v>
      </c>
      <c r="G62" s="278">
        <f>'Monthly Data'!BL62</f>
        <v>318.82083333333333</v>
      </c>
      <c r="H62" s="278">
        <f>'Monthly Data'!BG62</f>
        <v>0</v>
      </c>
      <c r="I62" s="278">
        <f>'Monthly Data'!CC62</f>
        <v>61</v>
      </c>
      <c r="J62" s="278">
        <f>'Monthly Data'!CD62</f>
        <v>31</v>
      </c>
      <c r="K62" s="278">
        <f>'Monthly Data'!CG62</f>
        <v>0</v>
      </c>
      <c r="L62" s="278">
        <f>'Monthly Data'!CB62</f>
        <v>0</v>
      </c>
      <c r="M62" s="278">
        <f>'Monthly Data'!AX62</f>
        <v>-11271</v>
      </c>
      <c r="O62" s="18"/>
      <c r="P62" s="18">
        <f ca="1">(E62-G62)*'Large Use Predicted Monthly'!$Z$11</f>
        <v>29014.622587106303</v>
      </c>
      <c r="Q62" s="18">
        <f ca="1">(F62-H62)*'Large Use Predicted Monthly'!$Z$12</f>
        <v>0</v>
      </c>
      <c r="R62" s="18"/>
      <c r="S62" s="18"/>
      <c r="T62" s="18"/>
      <c r="U62" s="18"/>
      <c r="V62" s="18"/>
      <c r="W62" s="18">
        <f t="shared" ca="1" si="7"/>
        <v>3103959.2688962626</v>
      </c>
    </row>
    <row r="63" spans="1:23" x14ac:dyDescent="0.25">
      <c r="A63" s="3">
        <f>'Monthly Data'!A63</f>
        <v>43862</v>
      </c>
      <c r="B63" s="1">
        <f t="shared" si="1"/>
        <v>2020</v>
      </c>
      <c r="C63" s="1">
        <f t="shared" si="2"/>
        <v>2</v>
      </c>
      <c r="D63" s="268">
        <f>'Monthly Data'!X63</f>
        <v>2762028.6144291847</v>
      </c>
      <c r="E63" s="278">
        <f t="shared" ca="1" si="8"/>
        <v>341.39751811594203</v>
      </c>
      <c r="F63" s="278">
        <f t="shared" ca="1" si="8"/>
        <v>0</v>
      </c>
      <c r="G63" s="278">
        <f>'Monthly Data'!BL63</f>
        <v>330.40000000000003</v>
      </c>
      <c r="H63" s="278">
        <f>'Monthly Data'!BG63</f>
        <v>0</v>
      </c>
      <c r="I63" s="278">
        <f>'Monthly Data'!CC63</f>
        <v>62</v>
      </c>
      <c r="J63" s="278">
        <f>'Monthly Data'!CD63</f>
        <v>29</v>
      </c>
      <c r="K63" s="278">
        <f>'Monthly Data'!CG63</f>
        <v>0</v>
      </c>
      <c r="L63" s="278">
        <f>'Monthly Data'!CB63</f>
        <v>0</v>
      </c>
      <c r="M63" s="278">
        <f>'Monthly Data'!AX63</f>
        <v>-11271</v>
      </c>
      <c r="O63" s="18"/>
      <c r="P63" s="18">
        <f ca="1">(E63-G63)*'Large Use Predicted Monthly'!$Z$11</f>
        <v>4657.3234381208567</v>
      </c>
      <c r="Q63" s="18">
        <f ca="1">(F63-H63)*'Large Use Predicted Monthly'!$Z$12</f>
        <v>0</v>
      </c>
      <c r="R63" s="18"/>
      <c r="S63" s="18"/>
      <c r="T63" s="18"/>
      <c r="U63" s="18"/>
      <c r="V63" s="18"/>
      <c r="W63" s="18">
        <f t="shared" ca="1" si="7"/>
        <v>2766685.9378673057</v>
      </c>
    </row>
    <row r="64" spans="1:23" x14ac:dyDescent="0.25">
      <c r="A64" s="3">
        <f>'Monthly Data'!A64</f>
        <v>43891</v>
      </c>
      <c r="B64" s="1">
        <f t="shared" si="1"/>
        <v>2020</v>
      </c>
      <c r="C64" s="1">
        <f t="shared" si="2"/>
        <v>3</v>
      </c>
      <c r="D64" s="268">
        <f>'Monthly Data'!X64</f>
        <v>2607055.7041125842</v>
      </c>
      <c r="E64" s="278">
        <f t="shared" ca="1" si="8"/>
        <v>238.57840579710145</v>
      </c>
      <c r="F64" s="278">
        <f t="shared" ca="1" si="8"/>
        <v>0</v>
      </c>
      <c r="G64" s="278">
        <f>'Monthly Data'!BL64</f>
        <v>174.47500000000005</v>
      </c>
      <c r="H64" s="278">
        <f>'Monthly Data'!BG64</f>
        <v>0</v>
      </c>
      <c r="I64" s="278">
        <f>'Monthly Data'!CC64</f>
        <v>63</v>
      </c>
      <c r="J64" s="278">
        <f>'Monthly Data'!CD64</f>
        <v>31</v>
      </c>
      <c r="K64" s="278">
        <f>'Monthly Data'!CG64</f>
        <v>0.5</v>
      </c>
      <c r="L64" s="278">
        <f>'Monthly Data'!CB64</f>
        <v>1</v>
      </c>
      <c r="M64" s="278">
        <f>'Monthly Data'!AX64</f>
        <v>-11271</v>
      </c>
      <c r="O64" s="18"/>
      <c r="P64" s="18">
        <f ca="1">(E64-G64)*'Large Use Predicted Monthly'!$Z$11</f>
        <v>27147.060921812379</v>
      </c>
      <c r="Q64" s="18">
        <f ca="1">(F64-H64)*'Large Use Predicted Monthly'!$Z$12</f>
        <v>0</v>
      </c>
      <c r="R64" s="18"/>
      <c r="S64" s="18"/>
      <c r="T64" s="18"/>
      <c r="U64" s="18"/>
      <c r="V64" s="18"/>
      <c r="W64" s="18">
        <f t="shared" ca="1" si="7"/>
        <v>2634202.7650343967</v>
      </c>
    </row>
    <row r="65" spans="1:23" x14ac:dyDescent="0.25">
      <c r="A65" s="3">
        <f>'Monthly Data'!A65</f>
        <v>43922</v>
      </c>
      <c r="B65" s="1">
        <f t="shared" si="1"/>
        <v>2020</v>
      </c>
      <c r="C65" s="1">
        <f t="shared" si="2"/>
        <v>4</v>
      </c>
      <c r="D65" s="268">
        <f>'Monthly Data'!X65</f>
        <v>2049425.4094162788</v>
      </c>
      <c r="E65" s="278">
        <f t="shared" ca="1" si="8"/>
        <v>79.984412878787879</v>
      </c>
      <c r="F65" s="278">
        <f t="shared" ca="1" si="8"/>
        <v>2.1908333333333347</v>
      </c>
      <c r="G65" s="278">
        <f>'Monthly Data'!BL65</f>
        <v>89.183333333333337</v>
      </c>
      <c r="H65" s="278">
        <f>'Monthly Data'!BG65</f>
        <v>0</v>
      </c>
      <c r="I65" s="278">
        <f>'Monthly Data'!CC65</f>
        <v>64</v>
      </c>
      <c r="J65" s="278">
        <f>'Monthly Data'!CD65</f>
        <v>30</v>
      </c>
      <c r="K65" s="278">
        <f>'Monthly Data'!CG65</f>
        <v>1</v>
      </c>
      <c r="L65" s="278">
        <f>'Monthly Data'!CB65</f>
        <v>1</v>
      </c>
      <c r="M65" s="278">
        <f>'Monthly Data'!AX65</f>
        <v>-93587</v>
      </c>
      <c r="O65" s="18"/>
      <c r="P65" s="18">
        <f ca="1">(E65-G65)*'Large Use Predicted Monthly'!$Z$11</f>
        <v>-3895.6378508947096</v>
      </c>
      <c r="Q65" s="18">
        <f ca="1">(F65-H65)*'Large Use Predicted Monthly'!$Z$12</f>
        <v>3957.1480571265488</v>
      </c>
      <c r="R65" s="18"/>
      <c r="S65" s="18"/>
      <c r="T65" s="18"/>
      <c r="U65" s="18"/>
      <c r="V65" s="18"/>
      <c r="W65" s="18">
        <f t="shared" ca="1" si="7"/>
        <v>2049486.9196225104</v>
      </c>
    </row>
    <row r="66" spans="1:23" x14ac:dyDescent="0.25">
      <c r="A66" s="3">
        <f>'Monthly Data'!A66</f>
        <v>43952</v>
      </c>
      <c r="B66" s="1">
        <f t="shared" ref="B66:B129" si="9">YEAR(A66)</f>
        <v>2020</v>
      </c>
      <c r="C66" s="1">
        <f t="shared" ref="C66:C129" si="10">MONTH(A66)</f>
        <v>5</v>
      </c>
      <c r="D66" s="268">
        <f>'Monthly Data'!X66</f>
        <v>1973281.7621213137</v>
      </c>
      <c r="E66" s="278">
        <f t="shared" ca="1" si="8"/>
        <v>7.2018333333333331</v>
      </c>
      <c r="F66" s="278">
        <f t="shared" ca="1" si="8"/>
        <v>52.487435064935063</v>
      </c>
      <c r="G66" s="278">
        <f>'Monthly Data'!BL66</f>
        <v>36.524999999999999</v>
      </c>
      <c r="H66" s="278">
        <f>'Monthly Data'!BG66</f>
        <v>50.900595238095221</v>
      </c>
      <c r="I66" s="278">
        <f>'Monthly Data'!CC66</f>
        <v>65</v>
      </c>
      <c r="J66" s="278">
        <f>'Monthly Data'!CD66</f>
        <v>31</v>
      </c>
      <c r="K66" s="278">
        <f>'Monthly Data'!CG66</f>
        <v>1</v>
      </c>
      <c r="L66" s="278">
        <f>'Monthly Data'!CB66</f>
        <v>1</v>
      </c>
      <c r="M66" s="278">
        <f>'Monthly Data'!AX66</f>
        <v>-93587</v>
      </c>
      <c r="O66" s="18"/>
      <c r="P66" s="18">
        <f ca="1">(E66-G66)*'Large Use Predicted Monthly'!$Z$11</f>
        <v>-12418.026499872069</v>
      </c>
      <c r="Q66" s="18">
        <f ca="1">(F66-H66)*'Large Use Predicted Monthly'!$Z$12</f>
        <v>2866.1970959681889</v>
      </c>
      <c r="R66" s="18"/>
      <c r="S66" s="18"/>
      <c r="T66" s="18"/>
      <c r="U66" s="18"/>
      <c r="V66" s="18"/>
      <c r="W66" s="18">
        <f t="shared" ca="1" si="7"/>
        <v>1963729.9327174099</v>
      </c>
    </row>
    <row r="67" spans="1:23" x14ac:dyDescent="0.25">
      <c r="A67" s="3">
        <f>'Monthly Data'!A67</f>
        <v>43983</v>
      </c>
      <c r="B67" s="1">
        <f t="shared" si="9"/>
        <v>2020</v>
      </c>
      <c r="C67" s="1">
        <f t="shared" si="10"/>
        <v>6</v>
      </c>
      <c r="D67" s="268">
        <f>'Monthly Data'!X67</f>
        <v>2238034.5752989105</v>
      </c>
      <c r="E67" s="278">
        <f t="shared" ca="1" si="8"/>
        <v>0</v>
      </c>
      <c r="F67" s="278">
        <f t="shared" ca="1" si="8"/>
        <v>137.65451754405018</v>
      </c>
      <c r="G67" s="278">
        <f>'Monthly Data'!BL67</f>
        <v>0</v>
      </c>
      <c r="H67" s="278">
        <f>'Monthly Data'!BG67</f>
        <v>165.96956521739128</v>
      </c>
      <c r="I67" s="278">
        <f>'Monthly Data'!CC67</f>
        <v>66</v>
      </c>
      <c r="J67" s="278">
        <f>'Monthly Data'!CD67</f>
        <v>30</v>
      </c>
      <c r="K67" s="278">
        <f>'Monthly Data'!CG67</f>
        <v>0.5</v>
      </c>
      <c r="L67" s="278">
        <f>'Monthly Data'!CB67</f>
        <v>0</v>
      </c>
      <c r="M67" s="278">
        <f>'Monthly Data'!AX67</f>
        <v>-93587</v>
      </c>
      <c r="O67" s="18"/>
      <c r="P67" s="18">
        <f ca="1">(E67-G67)*'Large Use Predicted Monthly'!$Z$11</f>
        <v>0</v>
      </c>
      <c r="Q67" s="18">
        <f ca="1">(F67-H67)*'Large Use Predicted Monthly'!$Z$12</f>
        <v>-51143.477773148996</v>
      </c>
      <c r="R67" s="18"/>
      <c r="S67" s="18"/>
      <c r="T67" s="18"/>
      <c r="U67" s="18"/>
      <c r="V67" s="18"/>
      <c r="W67" s="18">
        <f t="shared" ca="1" si="7"/>
        <v>2186891.0975257615</v>
      </c>
    </row>
    <row r="68" spans="1:23" x14ac:dyDescent="0.25">
      <c r="A68" s="3">
        <f>'Monthly Data'!A68</f>
        <v>44013</v>
      </c>
      <c r="B68" s="1">
        <f t="shared" si="9"/>
        <v>2020</v>
      </c>
      <c r="C68" s="1">
        <f t="shared" si="10"/>
        <v>7</v>
      </c>
      <c r="D68" s="268">
        <f>'Monthly Data'!X68</f>
        <v>2794912.6777092903</v>
      </c>
      <c r="E68" s="278">
        <f t="shared" ca="1" si="8"/>
        <v>0</v>
      </c>
      <c r="F68" s="278">
        <f t="shared" ca="1" si="8"/>
        <v>235.94737858727848</v>
      </c>
      <c r="G68" s="278">
        <f>'Monthly Data'!BL68</f>
        <v>0</v>
      </c>
      <c r="H68" s="278">
        <f>'Monthly Data'!BG68</f>
        <v>308.88750000000005</v>
      </c>
      <c r="I68" s="278">
        <f>'Monthly Data'!CC68</f>
        <v>67</v>
      </c>
      <c r="J68" s="278">
        <f>'Monthly Data'!CD68</f>
        <v>31</v>
      </c>
      <c r="K68" s="278">
        <f>'Monthly Data'!CG68</f>
        <v>0.5</v>
      </c>
      <c r="L68" s="278">
        <f>'Monthly Data'!CB68</f>
        <v>0</v>
      </c>
      <c r="M68" s="278">
        <f>'Monthly Data'!AX68</f>
        <v>70686</v>
      </c>
      <c r="O68" s="18"/>
      <c r="P68" s="18">
        <f ca="1">(E68-G68)*'Large Use Predicted Monthly'!$Z$11</f>
        <v>0</v>
      </c>
      <c r="Q68" s="18">
        <f ca="1">(F68-H68)*'Large Use Predicted Monthly'!$Z$12</f>
        <v>-131746.60771468646</v>
      </c>
      <c r="R68" s="18"/>
      <c r="S68" s="18"/>
      <c r="T68" s="18"/>
      <c r="U68" s="18"/>
      <c r="V68" s="18"/>
      <c r="W68" s="18">
        <f t="shared" ca="1" si="7"/>
        <v>2663166.0699946037</v>
      </c>
    </row>
    <row r="69" spans="1:23" x14ac:dyDescent="0.25">
      <c r="A69" s="3">
        <f>'Monthly Data'!A69</f>
        <v>44044</v>
      </c>
      <c r="B69" s="1">
        <f t="shared" si="9"/>
        <v>2020</v>
      </c>
      <c r="C69" s="1">
        <f t="shared" si="10"/>
        <v>8</v>
      </c>
      <c r="D69" s="268">
        <f>'Monthly Data'!X69</f>
        <v>2846971.9201273769</v>
      </c>
      <c r="E69" s="278">
        <f t="shared" ca="1" si="8"/>
        <v>0</v>
      </c>
      <c r="F69" s="278">
        <f t="shared" ca="1" si="8"/>
        <v>210.96558794466404</v>
      </c>
      <c r="G69" s="278">
        <f>'Monthly Data'!BL69</f>
        <v>0</v>
      </c>
      <c r="H69" s="278">
        <f>'Monthly Data'!BG69</f>
        <v>216.93106060606064</v>
      </c>
      <c r="I69" s="278">
        <f>'Monthly Data'!CC69</f>
        <v>68</v>
      </c>
      <c r="J69" s="278">
        <f>'Monthly Data'!CD69</f>
        <v>31</v>
      </c>
      <c r="K69" s="278">
        <f>'Monthly Data'!CG69</f>
        <v>0.5</v>
      </c>
      <c r="L69" s="278">
        <f>'Monthly Data'!CB69</f>
        <v>0</v>
      </c>
      <c r="M69" s="278">
        <f>'Monthly Data'!AX69</f>
        <v>70686</v>
      </c>
      <c r="O69" s="18"/>
      <c r="P69" s="18">
        <f ca="1">(E69-G69)*'Large Use Predicted Monthly'!$Z$11</f>
        <v>0</v>
      </c>
      <c r="Q69" s="18">
        <f ca="1">(F69-H69)*'Large Use Predicted Monthly'!$Z$12</f>
        <v>-10775.013412805065</v>
      </c>
      <c r="R69" s="18"/>
      <c r="S69" s="18"/>
      <c r="T69" s="18"/>
      <c r="U69" s="18"/>
      <c r="V69" s="18"/>
      <c r="W69" s="18">
        <f t="shared" ca="1" si="7"/>
        <v>2836196.9067145716</v>
      </c>
    </row>
    <row r="70" spans="1:23" x14ac:dyDescent="0.25">
      <c r="A70" s="3">
        <f>'Monthly Data'!A70</f>
        <v>44075</v>
      </c>
      <c r="B70" s="1">
        <f t="shared" si="9"/>
        <v>2020</v>
      </c>
      <c r="C70" s="1">
        <f t="shared" si="10"/>
        <v>9</v>
      </c>
      <c r="D70" s="268">
        <f>'Monthly Data'!X70</f>
        <v>2796480.6781213125</v>
      </c>
      <c r="E70" s="278">
        <f t="shared" ca="1" si="8"/>
        <v>0</v>
      </c>
      <c r="F70" s="278">
        <f t="shared" ca="1" si="8"/>
        <v>106.4160119047619</v>
      </c>
      <c r="G70" s="278">
        <f>'Monthly Data'!BL70</f>
        <v>0</v>
      </c>
      <c r="H70" s="278">
        <f>'Monthly Data'!BG70</f>
        <v>75.812499999999972</v>
      </c>
      <c r="I70" s="278">
        <f>'Monthly Data'!CC70</f>
        <v>69</v>
      </c>
      <c r="J70" s="278">
        <f>'Monthly Data'!CD70</f>
        <v>30</v>
      </c>
      <c r="K70" s="278">
        <f>'Monthly Data'!CG70</f>
        <v>0.5</v>
      </c>
      <c r="L70" s="278">
        <f>'Monthly Data'!CB70</f>
        <v>1</v>
      </c>
      <c r="M70" s="278">
        <f>'Monthly Data'!AX70</f>
        <v>70686</v>
      </c>
      <c r="O70" s="18"/>
      <c r="P70" s="18">
        <f ca="1">(E70-G70)*'Large Use Predicted Monthly'!$Z$11</f>
        <v>0</v>
      </c>
      <c r="Q70" s="18">
        <f ca="1">(F70-H70)*'Large Use Predicted Monthly'!$Z$12</f>
        <v>55276.969650138213</v>
      </c>
      <c r="R70" s="18"/>
      <c r="S70" s="18"/>
      <c r="T70" s="18"/>
      <c r="U70" s="18"/>
      <c r="V70" s="18"/>
      <c r="W70" s="18">
        <f t="shared" ca="1" si="7"/>
        <v>2851757.6477714507</v>
      </c>
    </row>
    <row r="71" spans="1:23" x14ac:dyDescent="0.25">
      <c r="A71" s="3">
        <f>'Monthly Data'!A71</f>
        <v>44105</v>
      </c>
      <c r="B71" s="1">
        <f t="shared" si="9"/>
        <v>2020</v>
      </c>
      <c r="C71" s="1">
        <f t="shared" si="10"/>
        <v>10</v>
      </c>
      <c r="D71" s="268">
        <f>'Monthly Data'!X71</f>
        <v>2572644.9041530807</v>
      </c>
      <c r="E71" s="278">
        <f t="shared" ca="1" si="8"/>
        <v>24.76139492753623</v>
      </c>
      <c r="F71" s="278">
        <f t="shared" ca="1" si="8"/>
        <v>17.987083333333334</v>
      </c>
      <c r="G71" s="278">
        <f>'Monthly Data'!BL71</f>
        <v>38.454166666666666</v>
      </c>
      <c r="H71" s="278">
        <f>'Monthly Data'!BG71</f>
        <v>3.9291666666666654</v>
      </c>
      <c r="I71" s="278">
        <f>'Monthly Data'!CC71</f>
        <v>70</v>
      </c>
      <c r="J71" s="278">
        <f>'Monthly Data'!CD71</f>
        <v>31</v>
      </c>
      <c r="K71" s="278">
        <f>'Monthly Data'!CG71</f>
        <v>0.5</v>
      </c>
      <c r="L71" s="278">
        <f>'Monthly Data'!CB71</f>
        <v>1</v>
      </c>
      <c r="M71" s="278">
        <f>'Monthly Data'!AX71</f>
        <v>18654</v>
      </c>
      <c r="O71" s="18"/>
      <c r="P71" s="18">
        <f ca="1">(E71-G71)*'Large Use Predicted Monthly'!$Z$11</f>
        <v>-5798.7325941339141</v>
      </c>
      <c r="Q71" s="18">
        <f ca="1">(F71-H71)*'Large Use Predicted Monthly'!$Z$12</f>
        <v>25391.825465841113</v>
      </c>
      <c r="R71" s="18"/>
      <c r="S71" s="18"/>
      <c r="T71" s="18"/>
      <c r="U71" s="18"/>
      <c r="V71" s="18"/>
      <c r="W71" s="18">
        <f t="shared" ca="1" si="7"/>
        <v>2592237.9970247881</v>
      </c>
    </row>
    <row r="72" spans="1:23" x14ac:dyDescent="0.25">
      <c r="A72" s="3">
        <f>'Monthly Data'!A72</f>
        <v>44136</v>
      </c>
      <c r="B72" s="1">
        <f t="shared" si="9"/>
        <v>2020</v>
      </c>
      <c r="C72" s="1">
        <f t="shared" si="10"/>
        <v>11</v>
      </c>
      <c r="D72" s="268">
        <f>'Monthly Data'!X72</f>
        <v>2636145.3575018547</v>
      </c>
      <c r="E72" s="278">
        <f t="shared" ca="1" si="8"/>
        <v>140.02366389045739</v>
      </c>
      <c r="F72" s="278">
        <f t="shared" ca="1" si="8"/>
        <v>0.8083333333333329</v>
      </c>
      <c r="G72" s="278">
        <f>'Monthly Data'!BL72</f>
        <v>92.875724637681159</v>
      </c>
      <c r="H72" s="278">
        <f>'Monthly Data'!BG72</f>
        <v>0</v>
      </c>
      <c r="I72" s="278">
        <f>'Monthly Data'!CC72</f>
        <v>71</v>
      </c>
      <c r="J72" s="278">
        <f>'Monthly Data'!CD72</f>
        <v>30</v>
      </c>
      <c r="K72" s="278">
        <f>'Monthly Data'!CG72</f>
        <v>0.5</v>
      </c>
      <c r="L72" s="278">
        <f>'Monthly Data'!CB72</f>
        <v>1</v>
      </c>
      <c r="M72" s="278">
        <f>'Monthly Data'!AX72</f>
        <v>18654</v>
      </c>
      <c r="O72" s="18"/>
      <c r="P72" s="18">
        <f ca="1">(E72-G72)*'Large Use Predicted Monthly'!$Z$11</f>
        <v>19966.614305708241</v>
      </c>
      <c r="Q72" s="18">
        <f ca="1">(F72-H72)*'Large Use Predicted Monthly'!$Z$12</f>
        <v>1460.0356087534226</v>
      </c>
      <c r="R72" s="18"/>
      <c r="S72" s="18"/>
      <c r="T72" s="18"/>
      <c r="U72" s="18"/>
      <c r="V72" s="18"/>
      <c r="W72" s="18">
        <f t="shared" ca="1" si="7"/>
        <v>2657572.0074163163</v>
      </c>
    </row>
    <row r="73" spans="1:23" x14ac:dyDescent="0.25">
      <c r="A73" s="3">
        <f>'Monthly Data'!A73</f>
        <v>44166</v>
      </c>
      <c r="B73" s="1">
        <f t="shared" si="9"/>
        <v>2020</v>
      </c>
      <c r="C73" s="1">
        <f t="shared" si="10"/>
        <v>12</v>
      </c>
      <c r="D73" s="268">
        <f>'Monthly Data'!X73</f>
        <v>2725064.1006996538</v>
      </c>
      <c r="E73" s="278">
        <f t="shared" ca="1" si="8"/>
        <v>268.92048913043476</v>
      </c>
      <c r="F73" s="278">
        <f t="shared" ca="1" si="8"/>
        <v>0</v>
      </c>
      <c r="G73" s="278">
        <f>'Monthly Data'!BL73</f>
        <v>272.9041666666667</v>
      </c>
      <c r="H73" s="278">
        <f>'Monthly Data'!BG73</f>
        <v>0</v>
      </c>
      <c r="I73" s="278">
        <f>'Monthly Data'!CC73</f>
        <v>72</v>
      </c>
      <c r="J73" s="278">
        <f>'Monthly Data'!CD73</f>
        <v>31</v>
      </c>
      <c r="K73" s="278">
        <f>'Monthly Data'!CG73</f>
        <v>0.5</v>
      </c>
      <c r="L73" s="278">
        <f>'Monthly Data'!CB73</f>
        <v>0</v>
      </c>
      <c r="M73" s="278">
        <f>'Monthly Data'!AX73</f>
        <v>18654</v>
      </c>
      <c r="O73" s="18"/>
      <c r="P73" s="18">
        <f ca="1">(E73-G73)*'Large Use Predicted Monthly'!$Z$11</f>
        <v>-1687.0419820008051</v>
      </c>
      <c r="Q73" s="18">
        <f ca="1">(F73-H73)*'Large Use Predicted Monthly'!$Z$12</f>
        <v>0</v>
      </c>
      <c r="R73" s="18"/>
      <c r="S73" s="18"/>
      <c r="T73" s="18"/>
      <c r="U73" s="18"/>
      <c r="V73" s="18"/>
      <c r="W73" s="18">
        <f t="shared" ca="1" si="7"/>
        <v>2723377.0587176532</v>
      </c>
    </row>
    <row r="74" spans="1:23" x14ac:dyDescent="0.25">
      <c r="A74" s="3">
        <f>'Monthly Data'!A74</f>
        <v>44197</v>
      </c>
      <c r="B74" s="1">
        <f t="shared" si="9"/>
        <v>2021</v>
      </c>
      <c r="C74" s="1">
        <f t="shared" si="10"/>
        <v>1</v>
      </c>
      <c r="D74" s="268">
        <f>'Monthly Data'!X74</f>
        <v>2862610.8080001106</v>
      </c>
      <c r="E74" s="278">
        <f t="shared" ref="E74:F93" ca="1" si="11">E62</f>
        <v>387.33418478260865</v>
      </c>
      <c r="F74" s="278">
        <f t="shared" ca="1" si="11"/>
        <v>0</v>
      </c>
      <c r="G74" s="278">
        <f>'Monthly Data'!BL74</f>
        <v>343.50416666666661</v>
      </c>
      <c r="H74" s="278">
        <f>'Monthly Data'!BG74</f>
        <v>0</v>
      </c>
      <c r="I74" s="278">
        <f>'Monthly Data'!CC74</f>
        <v>73</v>
      </c>
      <c r="J74" s="278">
        <f>'Monthly Data'!CD74</f>
        <v>31</v>
      </c>
      <c r="K74" s="278">
        <f>'Monthly Data'!CG74</f>
        <v>0.5</v>
      </c>
      <c r="L74" s="278">
        <f>'Monthly Data'!CB74</f>
        <v>0</v>
      </c>
      <c r="M74" s="278">
        <f>'Monthly Data'!AX74</f>
        <v>12705</v>
      </c>
      <c r="O74" s="18"/>
      <c r="P74" s="18">
        <f ca="1">(E74-G74)*'Large Use Predicted Monthly'!$Z$11</f>
        <v>18561.512562432697</v>
      </c>
      <c r="Q74" s="18">
        <f ca="1">(F74-H74)*'Large Use Predicted Monthly'!$Z$12</f>
        <v>0</v>
      </c>
      <c r="R74" s="18"/>
      <c r="S74" s="18"/>
      <c r="T74" s="18"/>
      <c r="U74" s="18"/>
      <c r="V74" s="18"/>
      <c r="W74" s="18">
        <f t="shared" ca="1" si="7"/>
        <v>2881172.3205625433</v>
      </c>
    </row>
    <row r="75" spans="1:23" x14ac:dyDescent="0.25">
      <c r="A75" s="3">
        <f>'Monthly Data'!A75</f>
        <v>44228</v>
      </c>
      <c r="B75" s="1">
        <f t="shared" si="9"/>
        <v>2021</v>
      </c>
      <c r="C75" s="1">
        <f t="shared" si="10"/>
        <v>2</v>
      </c>
      <c r="D75" s="268">
        <f>'Monthly Data'!X75</f>
        <v>2496647.5562890139</v>
      </c>
      <c r="E75" s="278">
        <f t="shared" ca="1" si="11"/>
        <v>341.39751811594203</v>
      </c>
      <c r="F75" s="278">
        <f t="shared" ca="1" si="11"/>
        <v>0</v>
      </c>
      <c r="G75" s="278">
        <f>'Monthly Data'!BL75</f>
        <v>373.45416666666665</v>
      </c>
      <c r="H75" s="278">
        <f>'Monthly Data'!BG75</f>
        <v>0</v>
      </c>
      <c r="I75" s="278">
        <f>'Monthly Data'!CC75</f>
        <v>74</v>
      </c>
      <c r="J75" s="278">
        <f>'Monthly Data'!CD75</f>
        <v>28</v>
      </c>
      <c r="K75" s="278">
        <f>'Monthly Data'!CG75</f>
        <v>0.5</v>
      </c>
      <c r="L75" s="278">
        <f>'Monthly Data'!CB75</f>
        <v>0</v>
      </c>
      <c r="M75" s="278">
        <f>'Monthly Data'!AX75</f>
        <v>12705</v>
      </c>
      <c r="O75" s="18"/>
      <c r="P75" s="18">
        <f ca="1">(E75-G75)*'Large Use Predicted Monthly'!$Z$11</f>
        <v>-13575.624888170918</v>
      </c>
      <c r="Q75" s="18">
        <f ca="1">(F75-H75)*'Large Use Predicted Monthly'!$Z$12</f>
        <v>0</v>
      </c>
      <c r="R75" s="18"/>
      <c r="S75" s="18"/>
      <c r="T75" s="18"/>
      <c r="U75" s="18"/>
      <c r="V75" s="18"/>
      <c r="W75" s="18">
        <f t="shared" ca="1" si="7"/>
        <v>2483071.931400843</v>
      </c>
    </row>
    <row r="76" spans="1:23" x14ac:dyDescent="0.25">
      <c r="A76" s="3">
        <f>'Monthly Data'!A76</f>
        <v>44256</v>
      </c>
      <c r="B76" s="1">
        <f t="shared" si="9"/>
        <v>2021</v>
      </c>
      <c r="C76" s="1">
        <f t="shared" si="10"/>
        <v>3</v>
      </c>
      <c r="D76" s="268">
        <f>'Monthly Data'!X76</f>
        <v>3029147.3045779178</v>
      </c>
      <c r="E76" s="278">
        <f t="shared" ca="1" si="11"/>
        <v>238.57840579710145</v>
      </c>
      <c r="F76" s="278">
        <f t="shared" ca="1" si="11"/>
        <v>0</v>
      </c>
      <c r="G76" s="278">
        <f>'Monthly Data'!BL76</f>
        <v>194.65054347826086</v>
      </c>
      <c r="H76" s="278">
        <f>'Monthly Data'!BG76</f>
        <v>0</v>
      </c>
      <c r="I76" s="278">
        <f>'Monthly Data'!CC76</f>
        <v>75</v>
      </c>
      <c r="J76" s="278">
        <f>'Monthly Data'!CD76</f>
        <v>31</v>
      </c>
      <c r="K76" s="278">
        <f>'Monthly Data'!CG76</f>
        <v>0.5</v>
      </c>
      <c r="L76" s="278">
        <f>'Monthly Data'!CB76</f>
        <v>1</v>
      </c>
      <c r="M76" s="278">
        <f>'Monthly Data'!AX76</f>
        <v>12705</v>
      </c>
      <c r="O76" s="18"/>
      <c r="P76" s="18">
        <f ca="1">(E76-G76)*'Large Use Predicted Monthly'!$Z$11</f>
        <v>18602.948465937428</v>
      </c>
      <c r="Q76" s="18">
        <f ca="1">(F76-H76)*'Large Use Predicted Monthly'!$Z$12</f>
        <v>0</v>
      </c>
      <c r="R76" s="18"/>
      <c r="S76" s="18"/>
      <c r="T76" s="18"/>
      <c r="U76" s="18"/>
      <c r="V76" s="18"/>
      <c r="W76" s="18">
        <f t="shared" ca="1" si="7"/>
        <v>3047750.2530438551</v>
      </c>
    </row>
    <row r="77" spans="1:23" x14ac:dyDescent="0.25">
      <c r="A77" s="3">
        <f>'Monthly Data'!A77</f>
        <v>44287</v>
      </c>
      <c r="B77" s="1">
        <f t="shared" si="9"/>
        <v>2021</v>
      </c>
      <c r="C77" s="1">
        <f t="shared" si="10"/>
        <v>4</v>
      </c>
      <c r="D77" s="268">
        <f>'Monthly Data'!X77</f>
        <v>2752785.0528668212</v>
      </c>
      <c r="E77" s="278">
        <f t="shared" ca="1" si="11"/>
        <v>79.984412878787879</v>
      </c>
      <c r="F77" s="278">
        <f t="shared" ca="1" si="11"/>
        <v>2.1908333333333347</v>
      </c>
      <c r="G77" s="278">
        <f>'Monthly Data'!BL77</f>
        <v>60.454166666666659</v>
      </c>
      <c r="H77" s="278">
        <f>'Monthly Data'!BG77</f>
        <v>3.7083333333333339</v>
      </c>
      <c r="I77" s="278">
        <f>'Monthly Data'!CC77</f>
        <v>76</v>
      </c>
      <c r="J77" s="278">
        <f>'Monthly Data'!CD77</f>
        <v>30</v>
      </c>
      <c r="K77" s="278">
        <f>'Monthly Data'!CG77</f>
        <v>0.5</v>
      </c>
      <c r="L77" s="278">
        <f>'Monthly Data'!CB77</f>
        <v>1</v>
      </c>
      <c r="M77" s="278">
        <f>'Monthly Data'!AX77</f>
        <v>-6066</v>
      </c>
      <c r="O77" s="18"/>
      <c r="P77" s="18">
        <f ca="1">(E77-G77)*'Large Use Predicted Monthly'!$Z$11</f>
        <v>8270.8364266415319</v>
      </c>
      <c r="Q77" s="18">
        <f ca="1">(F77-H77)*'Large Use Predicted Monthly'!$Z$12</f>
        <v>-2740.9534469484356</v>
      </c>
      <c r="R77" s="18"/>
      <c r="S77" s="18"/>
      <c r="T77" s="18"/>
      <c r="U77" s="18"/>
      <c r="V77" s="18"/>
      <c r="W77" s="18">
        <f t="shared" ca="1" si="7"/>
        <v>2758314.9358465141</v>
      </c>
    </row>
    <row r="78" spans="1:23" x14ac:dyDescent="0.25">
      <c r="A78" s="3">
        <f>'Monthly Data'!A78</f>
        <v>44317</v>
      </c>
      <c r="B78" s="1">
        <f t="shared" si="9"/>
        <v>2021</v>
      </c>
      <c r="C78" s="1">
        <f t="shared" si="10"/>
        <v>5</v>
      </c>
      <c r="D78" s="268">
        <f>'Monthly Data'!X78</f>
        <v>2872505.801155725</v>
      </c>
      <c r="E78" s="278">
        <f t="shared" ca="1" si="11"/>
        <v>7.2018333333333331</v>
      </c>
      <c r="F78" s="278">
        <f t="shared" ca="1" si="11"/>
        <v>52.487435064935063</v>
      </c>
      <c r="G78" s="278">
        <f>'Monthly Data'!BL78</f>
        <v>8.125</v>
      </c>
      <c r="H78" s="278">
        <f>'Monthly Data'!BG78</f>
        <v>53.908333333333317</v>
      </c>
      <c r="I78" s="278">
        <f>'Monthly Data'!CC78</f>
        <v>77</v>
      </c>
      <c r="J78" s="278">
        <f>'Monthly Data'!CD78</f>
        <v>31</v>
      </c>
      <c r="K78" s="278">
        <f>'Monthly Data'!CG78</f>
        <v>0.5</v>
      </c>
      <c r="L78" s="278">
        <f>'Monthly Data'!CB78</f>
        <v>1</v>
      </c>
      <c r="M78" s="278">
        <f>'Monthly Data'!AX78</f>
        <v>-6066</v>
      </c>
      <c r="O78" s="18"/>
      <c r="P78" s="18">
        <f ca="1">(E78-G78)*'Large Use Predicted Monthly'!$Z$11</f>
        <v>-390.95054980869168</v>
      </c>
      <c r="Q78" s="18">
        <f ca="1">(F78-H78)*'Large Use Predicted Monthly'!$Z$12</f>
        <v>-2566.4685380752949</v>
      </c>
      <c r="R78" s="18"/>
      <c r="S78" s="18"/>
      <c r="T78" s="18"/>
      <c r="U78" s="18"/>
      <c r="V78" s="18"/>
      <c r="W78" s="18">
        <f t="shared" ca="1" si="7"/>
        <v>2869548.382067841</v>
      </c>
    </row>
    <row r="79" spans="1:23" x14ac:dyDescent="0.25">
      <c r="A79" s="3">
        <f>'Monthly Data'!A79</f>
        <v>44348</v>
      </c>
      <c r="B79" s="1">
        <f t="shared" si="9"/>
        <v>2021</v>
      </c>
      <c r="C79" s="1">
        <f t="shared" si="10"/>
        <v>6</v>
      </c>
      <c r="D79" s="268">
        <f>'Monthly Data'!X79</f>
        <v>3094658.5494446284</v>
      </c>
      <c r="E79" s="278">
        <f t="shared" ca="1" si="11"/>
        <v>0</v>
      </c>
      <c r="F79" s="278">
        <f t="shared" ca="1" si="11"/>
        <v>137.65451754405018</v>
      </c>
      <c r="G79" s="278">
        <f>'Monthly Data'!BL79</f>
        <v>0</v>
      </c>
      <c r="H79" s="278">
        <f>'Monthly Data'!BG79</f>
        <v>181.67499999999995</v>
      </c>
      <c r="I79" s="278">
        <f>'Monthly Data'!CC79</f>
        <v>78</v>
      </c>
      <c r="J79" s="278">
        <f>'Monthly Data'!CD79</f>
        <v>30</v>
      </c>
      <c r="K79" s="278">
        <f>'Monthly Data'!CG79</f>
        <v>0.5</v>
      </c>
      <c r="L79" s="278">
        <f>'Monthly Data'!CB79</f>
        <v>0</v>
      </c>
      <c r="M79" s="278">
        <f>'Monthly Data'!AX79</f>
        <v>-6066</v>
      </c>
      <c r="O79" s="18"/>
      <c r="P79" s="18">
        <f ca="1">(E79-G79)*'Large Use Predicted Monthly'!$Z$11</f>
        <v>0</v>
      </c>
      <c r="Q79" s="18">
        <f ca="1">(F79-H79)*'Large Use Predicted Monthly'!$Z$12</f>
        <v>-79511.099257969516</v>
      </c>
      <c r="R79" s="18"/>
      <c r="S79" s="18"/>
      <c r="T79" s="18"/>
      <c r="U79" s="18"/>
      <c r="V79" s="18"/>
      <c r="W79" s="18">
        <f t="shared" ca="1" si="7"/>
        <v>3015147.4501866591</v>
      </c>
    </row>
    <row r="80" spans="1:23" x14ac:dyDescent="0.25">
      <c r="A80" s="3">
        <f>'Monthly Data'!A80</f>
        <v>44378</v>
      </c>
      <c r="B80" s="1">
        <f t="shared" si="9"/>
        <v>2021</v>
      </c>
      <c r="C80" s="1">
        <f t="shared" si="10"/>
        <v>7</v>
      </c>
      <c r="D80" s="268">
        <f>'Monthly Data'!X80</f>
        <v>3232065.2977335323</v>
      </c>
      <c r="E80" s="278">
        <f t="shared" ca="1" si="11"/>
        <v>0</v>
      </c>
      <c r="F80" s="278">
        <f t="shared" ca="1" si="11"/>
        <v>235.94737858727848</v>
      </c>
      <c r="G80" s="278">
        <f>'Monthly Data'!BL80</f>
        <v>0</v>
      </c>
      <c r="H80" s="278">
        <f>'Monthly Data'!BG80</f>
        <v>192.87499999999994</v>
      </c>
      <c r="I80" s="278">
        <f>'Monthly Data'!CC80</f>
        <v>79</v>
      </c>
      <c r="J80" s="278">
        <f>'Monthly Data'!CD80</f>
        <v>31</v>
      </c>
      <c r="K80" s="278">
        <f>'Monthly Data'!CG80</f>
        <v>0.5</v>
      </c>
      <c r="L80" s="278">
        <f>'Monthly Data'!CB80</f>
        <v>0</v>
      </c>
      <c r="M80" s="278">
        <f>'Monthly Data'!AX80</f>
        <v>17046</v>
      </c>
      <c r="O80" s="18"/>
      <c r="P80" s="18">
        <f ca="1">(E80-G80)*'Large Use Predicted Monthly'!$Z$11</f>
        <v>0</v>
      </c>
      <c r="Q80" s="18">
        <f ca="1">(F80-H80)*'Large Use Predicted Monthly'!$Z$12</f>
        <v>77798.605968414602</v>
      </c>
      <c r="R80" s="18"/>
      <c r="S80" s="18"/>
      <c r="T80" s="18"/>
      <c r="U80" s="18"/>
      <c r="V80" s="18"/>
      <c r="W80" s="18">
        <f t="shared" ca="1" si="7"/>
        <v>3309863.9037019471</v>
      </c>
    </row>
    <row r="81" spans="1:23" x14ac:dyDescent="0.25">
      <c r="A81" s="3">
        <f>'Monthly Data'!A81</f>
        <v>44409</v>
      </c>
      <c r="B81" s="1">
        <f t="shared" si="9"/>
        <v>2021</v>
      </c>
      <c r="C81" s="1">
        <f t="shared" si="10"/>
        <v>8</v>
      </c>
      <c r="D81" s="268">
        <f>'Monthly Data'!X81</f>
        <v>3571651.0460224357</v>
      </c>
      <c r="E81" s="278">
        <f t="shared" ca="1" si="11"/>
        <v>0</v>
      </c>
      <c r="F81" s="278">
        <f t="shared" ca="1" si="11"/>
        <v>210.96558794466404</v>
      </c>
      <c r="G81" s="278">
        <f>'Monthly Data'!BL81</f>
        <v>0</v>
      </c>
      <c r="H81" s="278">
        <f>'Monthly Data'!BG81</f>
        <v>266.0625</v>
      </c>
      <c r="I81" s="278">
        <f>'Monthly Data'!CC81</f>
        <v>80</v>
      </c>
      <c r="J81" s="278">
        <f>'Monthly Data'!CD81</f>
        <v>31</v>
      </c>
      <c r="K81" s="278">
        <f>'Monthly Data'!CG81</f>
        <v>0.5</v>
      </c>
      <c r="L81" s="278">
        <f>'Monthly Data'!CB81</f>
        <v>0</v>
      </c>
      <c r="M81" s="278">
        <f>'Monthly Data'!AX81</f>
        <v>17046</v>
      </c>
      <c r="O81" s="18"/>
      <c r="P81" s="18">
        <f ca="1">(E81-G81)*'Large Use Predicted Monthly'!$Z$11</f>
        <v>0</v>
      </c>
      <c r="Q81" s="18">
        <f ca="1">(F81-H81)*'Large Use Predicted Monthly'!$Z$12</f>
        <v>-99517.674473995387</v>
      </c>
      <c r="R81" s="18"/>
      <c r="S81" s="18"/>
      <c r="T81" s="18"/>
      <c r="U81" s="18"/>
      <c r="V81" s="18"/>
      <c r="W81" s="18">
        <f t="shared" ca="1" si="7"/>
        <v>3472133.3715484403</v>
      </c>
    </row>
    <row r="82" spans="1:23" x14ac:dyDescent="0.25">
      <c r="A82" s="3">
        <f>'Monthly Data'!A82</f>
        <v>44440</v>
      </c>
      <c r="B82" s="1">
        <f t="shared" si="9"/>
        <v>2021</v>
      </c>
      <c r="C82" s="1">
        <f t="shared" si="10"/>
        <v>9</v>
      </c>
      <c r="D82" s="268">
        <f>'Monthly Data'!X82</f>
        <v>3258678.794311339</v>
      </c>
      <c r="E82" s="278">
        <f t="shared" ca="1" si="11"/>
        <v>0</v>
      </c>
      <c r="F82" s="278">
        <f t="shared" ca="1" si="11"/>
        <v>106.4160119047619</v>
      </c>
      <c r="G82" s="278">
        <f>'Monthly Data'!BL82</f>
        <v>0</v>
      </c>
      <c r="H82" s="278">
        <f>'Monthly Data'!BG82</f>
        <v>95.25833333333334</v>
      </c>
      <c r="I82" s="278">
        <f>'Monthly Data'!CC82</f>
        <v>81</v>
      </c>
      <c r="J82" s="278">
        <f>'Monthly Data'!CD82</f>
        <v>30</v>
      </c>
      <c r="K82" s="278">
        <f>'Monthly Data'!CG82</f>
        <v>0.5</v>
      </c>
      <c r="L82" s="278">
        <f>'Monthly Data'!CB82</f>
        <v>1</v>
      </c>
      <c r="M82" s="278">
        <f>'Monthly Data'!AX82</f>
        <v>17046</v>
      </c>
      <c r="O82" s="18"/>
      <c r="P82" s="18">
        <f ca="1">(E82-G82)*'Large Use Predicted Monthly'!$Z$11</f>
        <v>0</v>
      </c>
      <c r="Q82" s="18">
        <f ca="1">(F82-H82)*'Large Use Predicted Monthly'!$Z$12</f>
        <v>20153.329515848323</v>
      </c>
      <c r="R82" s="18"/>
      <c r="S82" s="18"/>
      <c r="T82" s="18"/>
      <c r="U82" s="18"/>
      <c r="V82" s="18"/>
      <c r="W82" s="18">
        <f t="shared" ca="1" si="7"/>
        <v>3278832.1238271873</v>
      </c>
    </row>
    <row r="83" spans="1:23" x14ac:dyDescent="0.25">
      <c r="A83" s="3">
        <f>'Monthly Data'!A83</f>
        <v>44470</v>
      </c>
      <c r="B83" s="1">
        <f t="shared" si="9"/>
        <v>2021</v>
      </c>
      <c r="C83" s="1">
        <f t="shared" si="10"/>
        <v>10</v>
      </c>
      <c r="D83" s="268">
        <f>'Monthly Data'!X83</f>
        <v>3127562.5426002429</v>
      </c>
      <c r="E83" s="278">
        <f t="shared" ca="1" si="11"/>
        <v>24.76139492753623</v>
      </c>
      <c r="F83" s="278">
        <f t="shared" ca="1" si="11"/>
        <v>17.987083333333334</v>
      </c>
      <c r="G83" s="278">
        <f>'Monthly Data'!BL83</f>
        <v>6.6666666666666643</v>
      </c>
      <c r="H83" s="278">
        <f>'Monthly Data'!BG83</f>
        <v>44.562500000000028</v>
      </c>
      <c r="I83" s="278">
        <f>'Monthly Data'!CC83</f>
        <v>82</v>
      </c>
      <c r="J83" s="278">
        <f>'Monthly Data'!CD83</f>
        <v>31</v>
      </c>
      <c r="K83" s="278">
        <f>'Monthly Data'!CG83</f>
        <v>0.5</v>
      </c>
      <c r="L83" s="278">
        <f>'Monthly Data'!CB83</f>
        <v>1</v>
      </c>
      <c r="M83" s="278">
        <f>'Monthly Data'!AX83</f>
        <v>18833</v>
      </c>
      <c r="O83" s="18"/>
      <c r="P83" s="18">
        <f ca="1">(E83-G83)*'Large Use Predicted Monthly'!$Z$11</f>
        <v>7662.9109538463554</v>
      </c>
      <c r="Q83" s="18">
        <f ca="1">(F83-H83)*'Large Use Predicted Monthly'!$Z$12</f>
        <v>-48001.304722629997</v>
      </c>
      <c r="R83" s="18"/>
      <c r="S83" s="18"/>
      <c r="T83" s="18"/>
      <c r="U83" s="18"/>
      <c r="V83" s="18"/>
      <c r="W83" s="18">
        <f t="shared" ca="1" si="7"/>
        <v>3087224.1488314592</v>
      </c>
    </row>
    <row r="84" spans="1:23" x14ac:dyDescent="0.25">
      <c r="A84" s="3">
        <f>'Monthly Data'!A84</f>
        <v>44501</v>
      </c>
      <c r="B84" s="1">
        <f t="shared" si="9"/>
        <v>2021</v>
      </c>
      <c r="C84" s="1">
        <f t="shared" si="10"/>
        <v>11</v>
      </c>
      <c r="D84" s="268">
        <f>'Monthly Data'!X84</f>
        <v>3069952.2908891463</v>
      </c>
      <c r="E84" s="278">
        <f t="shared" ca="1" si="11"/>
        <v>140.02366389045739</v>
      </c>
      <c r="F84" s="278">
        <f t="shared" ca="1" si="11"/>
        <v>0.8083333333333329</v>
      </c>
      <c r="G84" s="278">
        <f>'Monthly Data'!BL84</f>
        <v>148.50427018633536</v>
      </c>
      <c r="H84" s="278">
        <f>'Monthly Data'!BG84</f>
        <v>0</v>
      </c>
      <c r="I84" s="278">
        <f>'Monthly Data'!CC84</f>
        <v>83</v>
      </c>
      <c r="J84" s="278">
        <f>'Monthly Data'!CD84</f>
        <v>30</v>
      </c>
      <c r="K84" s="278">
        <f>'Monthly Data'!CG84</f>
        <v>0.5</v>
      </c>
      <c r="L84" s="278">
        <f>'Monthly Data'!CB84</f>
        <v>1</v>
      </c>
      <c r="M84" s="278">
        <f>'Monthly Data'!AX84</f>
        <v>18833</v>
      </c>
      <c r="O84" s="18"/>
      <c r="P84" s="18">
        <f ca="1">(E84-G84)*'Large Use Predicted Monthly'!$Z$11</f>
        <v>-3591.440000813735</v>
      </c>
      <c r="Q84" s="18">
        <f ca="1">(F84-H84)*'Large Use Predicted Monthly'!$Z$12</f>
        <v>1460.0356087534226</v>
      </c>
      <c r="R84" s="18"/>
      <c r="S84" s="18"/>
      <c r="T84" s="18"/>
      <c r="U84" s="18"/>
      <c r="V84" s="18"/>
      <c r="W84" s="18">
        <f t="shared" ca="1" si="7"/>
        <v>3067820.8864970859</v>
      </c>
    </row>
    <row r="85" spans="1:23" x14ac:dyDescent="0.25">
      <c r="A85" s="3">
        <f>'Monthly Data'!A85</f>
        <v>44531</v>
      </c>
      <c r="B85" s="1">
        <f t="shared" si="9"/>
        <v>2021</v>
      </c>
      <c r="C85" s="1">
        <f t="shared" si="10"/>
        <v>12</v>
      </c>
      <c r="D85" s="268">
        <f>'Monthly Data'!X85</f>
        <v>3092838.0391780501</v>
      </c>
      <c r="E85" s="278">
        <f t="shared" ca="1" si="11"/>
        <v>268.92048913043476</v>
      </c>
      <c r="F85" s="278">
        <f t="shared" ca="1" si="11"/>
        <v>0</v>
      </c>
      <c r="G85" s="278">
        <f>'Monthly Data'!BL85</f>
        <v>225.45833333333331</v>
      </c>
      <c r="H85" s="278">
        <f>'Monthly Data'!BG85</f>
        <v>0</v>
      </c>
      <c r="I85" s="278">
        <f>'Monthly Data'!CC85</f>
        <v>84</v>
      </c>
      <c r="J85" s="278">
        <f>'Monthly Data'!CD85</f>
        <v>31</v>
      </c>
      <c r="K85" s="278">
        <f>'Monthly Data'!CG85</f>
        <v>0.5</v>
      </c>
      <c r="L85" s="278">
        <f>'Monthly Data'!CB85</f>
        <v>0</v>
      </c>
      <c r="M85" s="278">
        <f>'Monthly Data'!AX85</f>
        <v>18833</v>
      </c>
      <c r="O85" s="18"/>
      <c r="P85" s="18">
        <f ca="1">(E85-G85)*'Large Use Predicted Monthly'!$Z$11</f>
        <v>18405.727067789663</v>
      </c>
      <c r="Q85" s="18">
        <f ca="1">(F85-H85)*'Large Use Predicted Monthly'!$Z$12</f>
        <v>0</v>
      </c>
      <c r="R85" s="18"/>
      <c r="S85" s="18"/>
      <c r="T85" s="18"/>
      <c r="U85" s="18"/>
      <c r="V85" s="18"/>
      <c r="W85" s="18">
        <f t="shared" ca="1" si="7"/>
        <v>3111243.7662458397</v>
      </c>
    </row>
    <row r="86" spans="1:23" x14ac:dyDescent="0.25">
      <c r="A86" s="3">
        <f>'Monthly Data'!A86</f>
        <v>44562</v>
      </c>
      <c r="B86" s="1">
        <f t="shared" si="9"/>
        <v>2022</v>
      </c>
      <c r="C86" s="1">
        <f t="shared" si="10"/>
        <v>1</v>
      </c>
      <c r="D86" s="268">
        <f>'Monthly Data'!X86</f>
        <v>3049438.0035374709</v>
      </c>
      <c r="E86" s="278">
        <f t="shared" ca="1" si="11"/>
        <v>387.33418478260865</v>
      </c>
      <c r="F86" s="278">
        <f t="shared" ca="1" si="11"/>
        <v>0</v>
      </c>
      <c r="G86" s="278">
        <f>'Monthly Data'!BL86</f>
        <v>515.49166666666679</v>
      </c>
      <c r="H86" s="278">
        <f>'Monthly Data'!BG86</f>
        <v>0</v>
      </c>
      <c r="I86" s="278">
        <f>'Monthly Data'!CC86</f>
        <v>85</v>
      </c>
      <c r="J86" s="278">
        <f>'Monthly Data'!CD86</f>
        <v>31</v>
      </c>
      <c r="K86" s="278">
        <f>'Monthly Data'!CG86</f>
        <v>0.25</v>
      </c>
      <c r="L86" s="278">
        <f>'Monthly Data'!CB86</f>
        <v>0</v>
      </c>
      <c r="M86" s="278">
        <f>'Monthly Data'!AX86</f>
        <v>6821</v>
      </c>
      <c r="O86" s="18"/>
      <c r="P86" s="18">
        <f ca="1">(E86-G86)*'Large Use Predicted Monthly'!$Z$11</f>
        <v>-54273.231274240796</v>
      </c>
      <c r="Q86" s="18">
        <f ca="1">(F86-H86)*'Large Use Predicted Monthly'!$Z$12</f>
        <v>0</v>
      </c>
      <c r="R86" s="18"/>
      <c r="S86" s="18"/>
      <c r="T86" s="18"/>
      <c r="U86" s="18"/>
      <c r="V86" s="18"/>
      <c r="W86" s="18">
        <f t="shared" ca="1" si="7"/>
        <v>2995164.7722632303</v>
      </c>
    </row>
    <row r="87" spans="1:23" x14ac:dyDescent="0.25">
      <c r="A87" s="3">
        <f>'Monthly Data'!A87</f>
        <v>44593</v>
      </c>
      <c r="B87" s="1">
        <f t="shared" si="9"/>
        <v>2022</v>
      </c>
      <c r="C87" s="1">
        <f t="shared" si="10"/>
        <v>2</v>
      </c>
      <c r="D87" s="268">
        <f>'Monthly Data'!X87</f>
        <v>2727477.014197256</v>
      </c>
      <c r="E87" s="278">
        <f t="shared" ca="1" si="11"/>
        <v>341.39751811594203</v>
      </c>
      <c r="F87" s="278">
        <f t="shared" ca="1" si="11"/>
        <v>0</v>
      </c>
      <c r="G87" s="278">
        <f>'Monthly Data'!BL87</f>
        <v>356.85</v>
      </c>
      <c r="H87" s="278">
        <f>'Monthly Data'!BG87</f>
        <v>0</v>
      </c>
      <c r="I87" s="278">
        <f>'Monthly Data'!CC87</f>
        <v>86</v>
      </c>
      <c r="J87" s="278">
        <f>'Monthly Data'!CD87</f>
        <v>28</v>
      </c>
      <c r="K87" s="278">
        <f>'Monthly Data'!CG87</f>
        <v>0.25</v>
      </c>
      <c r="L87" s="278">
        <f>'Monthly Data'!CB87</f>
        <v>0</v>
      </c>
      <c r="M87" s="278">
        <f>'Monthly Data'!AX87</f>
        <v>6821</v>
      </c>
      <c r="O87" s="18"/>
      <c r="P87" s="18">
        <f ca="1">(E87-G87)*'Large Use Predicted Monthly'!$Z$11</f>
        <v>-6543.9497618501355</v>
      </c>
      <c r="Q87" s="18">
        <f ca="1">(F87-H87)*'Large Use Predicted Monthly'!$Z$12</f>
        <v>0</v>
      </c>
      <c r="R87" s="18"/>
      <c r="S87" s="18"/>
      <c r="T87" s="18"/>
      <c r="U87" s="18"/>
      <c r="V87" s="18"/>
      <c r="W87" s="18">
        <f t="shared" ca="1" si="7"/>
        <v>2720933.0644354057</v>
      </c>
    </row>
    <row r="88" spans="1:23" x14ac:dyDescent="0.25">
      <c r="A88" s="3">
        <f>'Monthly Data'!A88</f>
        <v>44621</v>
      </c>
      <c r="B88" s="1">
        <f t="shared" si="9"/>
        <v>2022</v>
      </c>
      <c r="C88" s="1">
        <f t="shared" si="10"/>
        <v>3</v>
      </c>
      <c r="D88" s="268">
        <f>'Monthly Data'!X88</f>
        <v>3178812.0248570414</v>
      </c>
      <c r="E88" s="278">
        <f t="shared" ca="1" si="11"/>
        <v>238.57840579710145</v>
      </c>
      <c r="F88" s="278">
        <f t="shared" ca="1" si="11"/>
        <v>0</v>
      </c>
      <c r="G88" s="278">
        <f>'Monthly Data'!BL88</f>
        <v>236.04166666666666</v>
      </c>
      <c r="H88" s="278">
        <f>'Monthly Data'!BG88</f>
        <v>0</v>
      </c>
      <c r="I88" s="278">
        <f>'Monthly Data'!CC88</f>
        <v>87</v>
      </c>
      <c r="J88" s="278">
        <f>'Monthly Data'!CD88</f>
        <v>31</v>
      </c>
      <c r="K88" s="278">
        <f>'Monthly Data'!CG88</f>
        <v>0.25</v>
      </c>
      <c r="L88" s="278">
        <f>'Monthly Data'!CB88</f>
        <v>1</v>
      </c>
      <c r="M88" s="278">
        <f>'Monthly Data'!AX88</f>
        <v>6821</v>
      </c>
      <c r="O88" s="18"/>
      <c r="P88" s="18">
        <f ca="1">(E88-G88)*'Large Use Predicted Monthly'!$Z$11</f>
        <v>1074.2800770153881</v>
      </c>
      <c r="Q88" s="18">
        <f ca="1">(F88-H88)*'Large Use Predicted Monthly'!$Z$12</f>
        <v>0</v>
      </c>
      <c r="R88" s="18"/>
      <c r="S88" s="18"/>
      <c r="T88" s="18"/>
      <c r="U88" s="18"/>
      <c r="V88" s="18"/>
      <c r="W88" s="18">
        <f t="shared" ca="1" si="7"/>
        <v>3179886.3049340569</v>
      </c>
    </row>
    <row r="89" spans="1:23" x14ac:dyDescent="0.25">
      <c r="A89" s="3">
        <f>'Monthly Data'!A89</f>
        <v>44652</v>
      </c>
      <c r="B89" s="1">
        <f t="shared" si="9"/>
        <v>2022</v>
      </c>
      <c r="C89" s="1">
        <f t="shared" si="10"/>
        <v>4</v>
      </c>
      <c r="D89" s="268">
        <f>'Monthly Data'!X89</f>
        <v>3002298.0355168269</v>
      </c>
      <c r="E89" s="278">
        <f t="shared" ca="1" si="11"/>
        <v>79.984412878787879</v>
      </c>
      <c r="F89" s="278">
        <f t="shared" ca="1" si="11"/>
        <v>2.1908333333333347</v>
      </c>
      <c r="G89" s="278">
        <f>'Monthly Data'!BL89</f>
        <v>75.575000000000003</v>
      </c>
      <c r="H89" s="278">
        <f>'Monthly Data'!BG89</f>
        <v>0</v>
      </c>
      <c r="I89" s="278">
        <f>'Monthly Data'!CC89</f>
        <v>88</v>
      </c>
      <c r="J89" s="278">
        <f>'Monthly Data'!CD89</f>
        <v>30</v>
      </c>
      <c r="K89" s="278">
        <f>'Monthly Data'!CG89</f>
        <v>0.25</v>
      </c>
      <c r="L89" s="278">
        <f>'Monthly Data'!CB89</f>
        <v>1</v>
      </c>
      <c r="M89" s="278">
        <f>'Monthly Data'!AX89</f>
        <v>6403</v>
      </c>
      <c r="O89" s="18"/>
      <c r="P89" s="18">
        <f ca="1">(E89-G89)*'Large Use Predicted Monthly'!$Z$11</f>
        <v>1867.3360418439925</v>
      </c>
      <c r="Q89" s="18">
        <f ca="1">(F89-H89)*'Large Use Predicted Monthly'!$Z$12</f>
        <v>3957.1480571265488</v>
      </c>
      <c r="R89" s="18"/>
      <c r="S89" s="18"/>
      <c r="T89" s="18"/>
      <c r="U89" s="18"/>
      <c r="V89" s="18"/>
      <c r="W89" s="18">
        <f t="shared" ca="1" si="7"/>
        <v>3008122.5196157973</v>
      </c>
    </row>
    <row r="90" spans="1:23" x14ac:dyDescent="0.25">
      <c r="A90" s="3">
        <f>'Monthly Data'!A90</f>
        <v>44682</v>
      </c>
      <c r="B90" s="1">
        <f t="shared" si="9"/>
        <v>2022</v>
      </c>
      <c r="C90" s="1">
        <f t="shared" si="10"/>
        <v>5</v>
      </c>
      <c r="D90" s="268">
        <f>'Monthly Data'!X90</f>
        <v>3110762.0461766124</v>
      </c>
      <c r="E90" s="278">
        <f t="shared" ca="1" si="11"/>
        <v>7.2018333333333331</v>
      </c>
      <c r="F90" s="278">
        <f t="shared" ca="1" si="11"/>
        <v>52.487435064935063</v>
      </c>
      <c r="G90" s="278">
        <f>'Monthly Data'!BL90</f>
        <v>0</v>
      </c>
      <c r="H90" s="278">
        <f>'Monthly Data'!BG90</f>
        <v>72.362499999999997</v>
      </c>
      <c r="I90" s="278">
        <f>'Monthly Data'!CC90</f>
        <v>89</v>
      </c>
      <c r="J90" s="278">
        <f>'Monthly Data'!CD90</f>
        <v>31</v>
      </c>
      <c r="K90" s="278">
        <f>'Monthly Data'!CG90</f>
        <v>0.25</v>
      </c>
      <c r="L90" s="278">
        <f>'Monthly Data'!CB90</f>
        <v>1</v>
      </c>
      <c r="M90" s="278">
        <f>'Monthly Data'!AX90</f>
        <v>6403</v>
      </c>
      <c r="O90" s="18"/>
      <c r="P90" s="18">
        <f ca="1">(E90-G90)*'Large Use Predicted Monthly'!$Z$11</f>
        <v>3049.8942422428909</v>
      </c>
      <c r="Q90" s="18">
        <f ca="1">(F90-H90)*'Large Use Predicted Monthly'!$Z$12</f>
        <v>-35898.930966781052</v>
      </c>
      <c r="R90" s="18"/>
      <c r="S90" s="18"/>
      <c r="T90" s="18"/>
      <c r="U90" s="18"/>
      <c r="V90" s="18"/>
      <c r="W90" s="18">
        <f t="shared" ca="1" si="7"/>
        <v>3077913.0094520743</v>
      </c>
    </row>
    <row r="91" spans="1:23" x14ac:dyDescent="0.25">
      <c r="A91" s="3">
        <f>'Monthly Data'!A91</f>
        <v>44713</v>
      </c>
      <c r="B91" s="1">
        <f t="shared" si="9"/>
        <v>2022</v>
      </c>
      <c r="C91" s="1">
        <f t="shared" si="10"/>
        <v>6</v>
      </c>
      <c r="D91" s="268">
        <f>'Monthly Data'!X91</f>
        <v>3099287.0568363979</v>
      </c>
      <c r="E91" s="278">
        <f t="shared" ca="1" si="11"/>
        <v>0</v>
      </c>
      <c r="F91" s="278">
        <f t="shared" ca="1" si="11"/>
        <v>137.65451754405018</v>
      </c>
      <c r="G91" s="278">
        <f>'Monthly Data'!BL91</f>
        <v>0</v>
      </c>
      <c r="H91" s="278">
        <f>'Monthly Data'!BG91</f>
        <v>120.92250416250417</v>
      </c>
      <c r="I91" s="278">
        <f>'Monthly Data'!CC91</f>
        <v>90</v>
      </c>
      <c r="J91" s="278">
        <f>'Monthly Data'!CD91</f>
        <v>30</v>
      </c>
      <c r="K91" s="278">
        <f>'Monthly Data'!CG91</f>
        <v>0.25</v>
      </c>
      <c r="L91" s="278">
        <f>'Monthly Data'!CB91</f>
        <v>0</v>
      </c>
      <c r="M91" s="278">
        <f>'Monthly Data'!AX91</f>
        <v>6403</v>
      </c>
      <c r="O91" s="18"/>
      <c r="P91" s="18">
        <f ca="1">(E91-G91)*'Large Use Predicted Monthly'!$Z$11</f>
        <v>0</v>
      </c>
      <c r="Q91" s="18">
        <f ca="1">(F91-H91)*'Large Use Predicted Monthly'!$Z$12</f>
        <v>30221.858156531078</v>
      </c>
      <c r="R91" s="18"/>
      <c r="S91" s="18"/>
      <c r="T91" s="18"/>
      <c r="U91" s="18"/>
      <c r="V91" s="18"/>
      <c r="W91" s="18">
        <f t="shared" ca="1" si="7"/>
        <v>3129508.914992929</v>
      </c>
    </row>
    <row r="92" spans="1:23" x14ac:dyDescent="0.25">
      <c r="A92" s="3">
        <f>'Monthly Data'!A92</f>
        <v>44743</v>
      </c>
      <c r="B92" s="1">
        <f t="shared" si="9"/>
        <v>2022</v>
      </c>
      <c r="C92" s="1">
        <f t="shared" si="10"/>
        <v>7</v>
      </c>
      <c r="D92" s="268">
        <f>'Monthly Data'!X92</f>
        <v>2815983.0674961833</v>
      </c>
      <c r="E92" s="278">
        <f t="shared" ca="1" si="11"/>
        <v>0</v>
      </c>
      <c r="F92" s="278">
        <f t="shared" ca="1" si="11"/>
        <v>235.94737858727848</v>
      </c>
      <c r="G92" s="278">
        <f>'Monthly Data'!BL92</f>
        <v>0</v>
      </c>
      <c r="H92" s="278">
        <f>'Monthly Data'!BG92</f>
        <v>221.8543382913806</v>
      </c>
      <c r="I92" s="278">
        <f>'Monthly Data'!CC92</f>
        <v>91</v>
      </c>
      <c r="J92" s="278">
        <f>'Monthly Data'!CD92</f>
        <v>31</v>
      </c>
      <c r="K92" s="278">
        <f>'Monthly Data'!CG92</f>
        <v>0.25</v>
      </c>
      <c r="L92" s="278">
        <f>'Monthly Data'!CB92</f>
        <v>0</v>
      </c>
      <c r="M92" s="278">
        <f>'Monthly Data'!AX92</f>
        <v>1358</v>
      </c>
      <c r="O92" s="18"/>
      <c r="P92" s="18">
        <f ca="1">(E92-G92)*'Large Use Predicted Monthly'!$Z$11</f>
        <v>0</v>
      </c>
      <c r="Q92" s="18">
        <f ca="1">(F92-H92)*'Large Use Predicted Monthly'!$Z$12</f>
        <v>25455.266805287982</v>
      </c>
      <c r="R92" s="18"/>
      <c r="S92" s="18"/>
      <c r="T92" s="18"/>
      <c r="U92" s="18"/>
      <c r="V92" s="18"/>
      <c r="W92" s="18">
        <f t="shared" ca="1" si="7"/>
        <v>2841438.3343014712</v>
      </c>
    </row>
    <row r="93" spans="1:23" x14ac:dyDescent="0.25">
      <c r="A93" s="3">
        <f>'Monthly Data'!A93</f>
        <v>44774</v>
      </c>
      <c r="B93" s="1">
        <f t="shared" si="9"/>
        <v>2022</v>
      </c>
      <c r="C93" s="1">
        <f t="shared" si="10"/>
        <v>8</v>
      </c>
      <c r="D93" s="268">
        <f>'Monthly Data'!X93</f>
        <v>2754259.0781559683</v>
      </c>
      <c r="E93" s="278">
        <f t="shared" ca="1" si="11"/>
        <v>0</v>
      </c>
      <c r="F93" s="278">
        <f t="shared" ca="1" si="11"/>
        <v>210.96558794466404</v>
      </c>
      <c r="G93" s="278">
        <f>'Monthly Data'!BL93</f>
        <v>0</v>
      </c>
      <c r="H93" s="278">
        <f>'Monthly Data'!BG93</f>
        <v>228.28333333333333</v>
      </c>
      <c r="I93" s="278">
        <f>'Monthly Data'!CC93</f>
        <v>92</v>
      </c>
      <c r="J93" s="278">
        <f>'Monthly Data'!CD93</f>
        <v>31</v>
      </c>
      <c r="K93" s="278">
        <f>'Monthly Data'!CG93</f>
        <v>0.25</v>
      </c>
      <c r="L93" s="278">
        <f>'Monthly Data'!CB93</f>
        <v>0</v>
      </c>
      <c r="M93" s="278">
        <f>'Monthly Data'!AX93</f>
        <v>1358</v>
      </c>
      <c r="O93" s="18"/>
      <c r="P93" s="18">
        <f ca="1">(E93-G93)*'Large Use Predicted Monthly'!$Z$11</f>
        <v>0</v>
      </c>
      <c r="Q93" s="18">
        <f ca="1">(F93-H93)*'Large Use Predicted Monthly'!$Z$12</f>
        <v>-31279.824656638222</v>
      </c>
      <c r="R93" s="18"/>
      <c r="S93" s="18"/>
      <c r="T93" s="18"/>
      <c r="U93" s="18"/>
      <c r="V93" s="18"/>
      <c r="W93" s="18">
        <f t="shared" ca="1" si="7"/>
        <v>2722979.25349933</v>
      </c>
    </row>
    <row r="94" spans="1:23" x14ac:dyDescent="0.25">
      <c r="A94" s="3">
        <f>'Monthly Data'!A94</f>
        <v>44805</v>
      </c>
      <c r="B94" s="1">
        <f t="shared" si="9"/>
        <v>2022</v>
      </c>
      <c r="C94" s="1">
        <f t="shared" si="10"/>
        <v>9</v>
      </c>
      <c r="D94" s="268">
        <f>'Monthly Data'!X94</f>
        <v>2773577.0888157538</v>
      </c>
      <c r="E94" s="278">
        <f t="shared" ref="E94:F113" ca="1" si="12">E82</f>
        <v>0</v>
      </c>
      <c r="F94" s="278">
        <f t="shared" ca="1" si="12"/>
        <v>106.4160119047619</v>
      </c>
      <c r="G94" s="278">
        <f>'Monthly Data'!BL94</f>
        <v>0</v>
      </c>
      <c r="H94" s="278">
        <f>'Monthly Data'!BG94</f>
        <v>94.054166666666674</v>
      </c>
      <c r="I94" s="278">
        <f>'Monthly Data'!CC94</f>
        <v>93</v>
      </c>
      <c r="J94" s="278">
        <f>'Monthly Data'!CD94</f>
        <v>30</v>
      </c>
      <c r="K94" s="278">
        <f>'Monthly Data'!CG94</f>
        <v>0.25</v>
      </c>
      <c r="L94" s="278">
        <f>'Monthly Data'!CB94</f>
        <v>1</v>
      </c>
      <c r="M94" s="278">
        <f>'Monthly Data'!AX94</f>
        <v>1358</v>
      </c>
      <c r="O94" s="18"/>
      <c r="P94" s="18">
        <f ca="1">(E94-G94)*'Large Use Predicted Monthly'!$Z$11</f>
        <v>0</v>
      </c>
      <c r="Q94" s="18">
        <f ca="1">(F94-H94)*'Large Use Predicted Monthly'!$Z$12</f>
        <v>22328.331015486154</v>
      </c>
      <c r="R94" s="18"/>
      <c r="S94" s="18"/>
      <c r="T94" s="18"/>
      <c r="U94" s="18"/>
      <c r="V94" s="18"/>
      <c r="W94" s="18">
        <f t="shared" ca="1" si="7"/>
        <v>2795905.4198312401</v>
      </c>
    </row>
    <row r="95" spans="1:23" x14ac:dyDescent="0.25">
      <c r="A95" s="3">
        <f>'Monthly Data'!A95</f>
        <v>44835</v>
      </c>
      <c r="B95" s="1">
        <f t="shared" si="9"/>
        <v>2022</v>
      </c>
      <c r="C95" s="1">
        <f t="shared" si="10"/>
        <v>10</v>
      </c>
      <c r="D95" s="268">
        <f>'Monthly Data'!X95</f>
        <v>2676345.0994755393</v>
      </c>
      <c r="E95" s="278">
        <f t="shared" ca="1" si="12"/>
        <v>24.76139492753623</v>
      </c>
      <c r="F95" s="278">
        <f t="shared" ca="1" si="12"/>
        <v>17.987083333333334</v>
      </c>
      <c r="G95" s="278">
        <f>'Monthly Data'!BL95</f>
        <v>23.659782608695654</v>
      </c>
      <c r="H95" s="278">
        <f>'Monthly Data'!BG95</f>
        <v>2.4208333333333307</v>
      </c>
      <c r="I95" s="278">
        <f>'Monthly Data'!CC95</f>
        <v>94</v>
      </c>
      <c r="J95" s="278">
        <f>'Monthly Data'!CD95</f>
        <v>31</v>
      </c>
      <c r="K95" s="278">
        <f>'Monthly Data'!CG95</f>
        <v>0.25</v>
      </c>
      <c r="L95" s="278">
        <f>'Monthly Data'!CB95</f>
        <v>1</v>
      </c>
      <c r="M95" s="278">
        <f>'Monthly Data'!AX95</f>
        <v>-950</v>
      </c>
      <c r="O95" s="18"/>
      <c r="P95" s="18">
        <f ca="1">(E95-G95)*'Large Use Predicted Monthly'!$Z$11</f>
        <v>466.52024740214949</v>
      </c>
      <c r="Q95" s="18">
        <f ca="1">(F95-H95)*'Large Use Predicted Monthly'!$Z$12</f>
        <v>28116.221807948019</v>
      </c>
      <c r="R95" s="18"/>
      <c r="S95" s="18"/>
      <c r="T95" s="18"/>
      <c r="U95" s="18"/>
      <c r="V95" s="18"/>
      <c r="W95" s="18">
        <f t="shared" ca="1" si="7"/>
        <v>2704927.8415308893</v>
      </c>
    </row>
    <row r="96" spans="1:23" x14ac:dyDescent="0.25">
      <c r="A96" s="3">
        <f>'Monthly Data'!A96</f>
        <v>44866</v>
      </c>
      <c r="B96" s="1">
        <f t="shared" si="9"/>
        <v>2022</v>
      </c>
      <c r="C96" s="1">
        <f t="shared" si="10"/>
        <v>11</v>
      </c>
      <c r="D96" s="268">
        <f>'Monthly Data'!X96</f>
        <v>2618900.1101353248</v>
      </c>
      <c r="E96" s="278">
        <f t="shared" ca="1" si="12"/>
        <v>140.02366389045739</v>
      </c>
      <c r="F96" s="278">
        <f t="shared" ca="1" si="12"/>
        <v>0.8083333333333329</v>
      </c>
      <c r="G96" s="278">
        <f>'Monthly Data'!BL96</f>
        <v>138.80000000000001</v>
      </c>
      <c r="H96" s="278">
        <f>'Monthly Data'!BG96</f>
        <v>2.3083333333333318</v>
      </c>
      <c r="I96" s="278">
        <f>'Monthly Data'!CC96</f>
        <v>95</v>
      </c>
      <c r="J96" s="278">
        <f>'Monthly Data'!CD96</f>
        <v>30</v>
      </c>
      <c r="K96" s="278">
        <f>'Monthly Data'!CG96</f>
        <v>0.25</v>
      </c>
      <c r="L96" s="278">
        <f>'Monthly Data'!CB96</f>
        <v>1</v>
      </c>
      <c r="M96" s="278">
        <f>'Monthly Data'!AX96</f>
        <v>-950</v>
      </c>
      <c r="O96" s="18"/>
      <c r="P96" s="18">
        <f ca="1">(E96-G96)*'Large Use Predicted Monthly'!$Z$11</f>
        <v>518.20769534791782</v>
      </c>
      <c r="Q96" s="18">
        <f ca="1">(F96-H96)*'Large Use Predicted Monthly'!$Z$12</f>
        <v>-2709.3444286145982</v>
      </c>
      <c r="R96" s="18"/>
      <c r="S96" s="18"/>
      <c r="T96" s="18"/>
      <c r="U96" s="18"/>
      <c r="V96" s="18"/>
      <c r="W96" s="18">
        <f t="shared" ca="1" si="7"/>
        <v>2616708.9734020578</v>
      </c>
    </row>
    <row r="97" spans="1:26" x14ac:dyDescent="0.25">
      <c r="A97" s="3">
        <f>'Monthly Data'!A97</f>
        <v>44896</v>
      </c>
      <c r="B97" s="1">
        <f t="shared" si="9"/>
        <v>2022</v>
      </c>
      <c r="C97" s="1">
        <f t="shared" si="10"/>
        <v>12</v>
      </c>
      <c r="D97" s="268">
        <f>'Monthly Data'!X97</f>
        <v>2433934.1207951102</v>
      </c>
      <c r="E97" s="278">
        <f t="shared" ca="1" si="12"/>
        <v>268.92048913043476</v>
      </c>
      <c r="F97" s="278">
        <f t="shared" ca="1" si="12"/>
        <v>0</v>
      </c>
      <c r="G97" s="278">
        <f>'Monthly Data'!BL97</f>
        <v>275.12083333333322</v>
      </c>
      <c r="H97" s="278">
        <f>'Monthly Data'!BG97</f>
        <v>0</v>
      </c>
      <c r="I97" s="278">
        <f>'Monthly Data'!CC97</f>
        <v>96</v>
      </c>
      <c r="J97" s="278">
        <f>'Monthly Data'!CD97</f>
        <v>31</v>
      </c>
      <c r="K97" s="278">
        <f>'Monthly Data'!CG97</f>
        <v>0.25</v>
      </c>
      <c r="L97" s="278">
        <f>'Monthly Data'!CB97</f>
        <v>0</v>
      </c>
      <c r="M97" s="278">
        <f>'Monthly Data'!AX97</f>
        <v>-950</v>
      </c>
      <c r="O97" s="18"/>
      <c r="P97" s="18">
        <f ca="1">(E97-G97)*'Large Use Predicted Monthly'!$Z$11</f>
        <v>-2625.7750227040492</v>
      </c>
      <c r="Q97" s="18">
        <f ca="1">(F97-H97)*'Large Use Predicted Monthly'!$Z$12</f>
        <v>0</v>
      </c>
      <c r="R97" s="18"/>
      <c r="S97" s="18"/>
      <c r="T97" s="18"/>
      <c r="U97" s="18"/>
      <c r="V97" s="18"/>
      <c r="W97" s="18">
        <f t="shared" ca="1" si="7"/>
        <v>2431308.3457724061</v>
      </c>
    </row>
    <row r="98" spans="1:26" x14ac:dyDescent="0.25">
      <c r="A98" s="3">
        <f>'Monthly Data'!A98</f>
        <v>44927</v>
      </c>
      <c r="B98" s="1">
        <f t="shared" si="9"/>
        <v>2023</v>
      </c>
      <c r="C98" s="1">
        <f t="shared" si="10"/>
        <v>1</v>
      </c>
      <c r="D98" s="268">
        <f>'Monthly Data'!X98</f>
        <v>2758482.2645629239</v>
      </c>
      <c r="E98" s="278">
        <f t="shared" ca="1" si="12"/>
        <v>387.33418478260865</v>
      </c>
      <c r="F98" s="278">
        <f t="shared" ca="1" si="12"/>
        <v>0</v>
      </c>
      <c r="G98" s="278">
        <f>'Monthly Data'!BL98</f>
        <v>294.07083333333327</v>
      </c>
      <c r="H98" s="278">
        <f>'Monthly Data'!BG98</f>
        <v>0</v>
      </c>
      <c r="I98" s="278">
        <f>'Monthly Data'!CC98</f>
        <v>97</v>
      </c>
      <c r="J98" s="278">
        <f>'Monthly Data'!CD98</f>
        <v>31</v>
      </c>
      <c r="K98" s="278">
        <f>'Monthly Data'!CG98</f>
        <v>0</v>
      </c>
      <c r="L98" s="278">
        <f>'Monthly Data'!CB98</f>
        <v>0</v>
      </c>
      <c r="M98" s="278">
        <f>'Monthly Data'!AX98</f>
        <v>8629</v>
      </c>
      <c r="O98" s="18"/>
      <c r="P98" s="18">
        <f ca="1">(E98-G98)*'Large Use Predicted Monthly'!$Z$11</f>
        <v>39495.965184432687</v>
      </c>
      <c r="Q98" s="18">
        <f ca="1">(F98-H98)*'Large Use Predicted Monthly'!$Z$12</f>
        <v>0</v>
      </c>
      <c r="R98" s="18"/>
      <c r="S98" s="18"/>
      <c r="T98" s="18"/>
      <c r="U98" s="18"/>
      <c r="V98" s="18"/>
      <c r="W98" s="18">
        <f t="shared" ca="1" si="7"/>
        <v>2797978.2297473568</v>
      </c>
    </row>
    <row r="99" spans="1:26" x14ac:dyDescent="0.25">
      <c r="A99" s="3">
        <f>'Monthly Data'!A99</f>
        <v>44958</v>
      </c>
      <c r="B99" s="1">
        <f t="shared" si="9"/>
        <v>2023</v>
      </c>
      <c r="C99" s="1">
        <f t="shared" si="10"/>
        <v>2</v>
      </c>
      <c r="D99" s="268">
        <f>'Monthly Data'!X99</f>
        <v>2616521.0488678562</v>
      </c>
      <c r="E99" s="278">
        <f t="shared" ca="1" si="12"/>
        <v>341.39751811594203</v>
      </c>
      <c r="F99" s="278">
        <f t="shared" ca="1" si="12"/>
        <v>0</v>
      </c>
      <c r="G99" s="278">
        <f>'Monthly Data'!BL99</f>
        <v>293.51666666666665</v>
      </c>
      <c r="H99" s="278">
        <f>'Monthly Data'!BG99</f>
        <v>0</v>
      </c>
      <c r="I99" s="278">
        <f>'Monthly Data'!CC99</f>
        <v>98</v>
      </c>
      <c r="J99" s="278">
        <f>'Monthly Data'!CD99</f>
        <v>28</v>
      </c>
      <c r="K99" s="278">
        <f>'Monthly Data'!CG99</f>
        <v>0</v>
      </c>
      <c r="L99" s="278">
        <f>'Monthly Data'!CB99</f>
        <v>0</v>
      </c>
      <c r="M99" s="278">
        <f>'Monthly Data'!AX99</f>
        <v>8629</v>
      </c>
      <c r="O99" s="18"/>
      <c r="P99" s="18">
        <f ca="1">(E99-G99)*'Large Use Predicted Monthly'!$Z$11</f>
        <v>20276.994258244267</v>
      </c>
      <c r="Q99" s="18">
        <f ca="1">(F99-H99)*'Large Use Predicted Monthly'!$Z$12</f>
        <v>0</v>
      </c>
      <c r="R99" s="18"/>
      <c r="S99" s="18"/>
      <c r="T99" s="18"/>
      <c r="U99" s="18"/>
      <c r="V99" s="18"/>
      <c r="W99" s="18">
        <f t="shared" ca="1" si="7"/>
        <v>2636798.0431261002</v>
      </c>
    </row>
    <row r="100" spans="1:26" x14ac:dyDescent="0.25">
      <c r="A100" s="3">
        <f>'Monthly Data'!A100</f>
        <v>44986</v>
      </c>
      <c r="B100" s="1">
        <f t="shared" si="9"/>
        <v>2023</v>
      </c>
      <c r="C100" s="1">
        <f t="shared" si="10"/>
        <v>3</v>
      </c>
      <c r="D100" s="268">
        <f>'Monthly Data'!X100</f>
        <v>2781148.9606493996</v>
      </c>
      <c r="E100" s="278">
        <f t="shared" ca="1" si="12"/>
        <v>238.57840579710145</v>
      </c>
      <c r="F100" s="278">
        <f t="shared" ca="1" si="12"/>
        <v>0</v>
      </c>
      <c r="G100" s="278">
        <f>'Monthly Data'!BL100</f>
        <v>241.03333333333333</v>
      </c>
      <c r="H100" s="278">
        <f>'Monthly Data'!BG100</f>
        <v>0</v>
      </c>
      <c r="I100" s="278">
        <f>'Monthly Data'!CC100</f>
        <v>99</v>
      </c>
      <c r="J100" s="278">
        <f>'Monthly Data'!CD100</f>
        <v>31</v>
      </c>
      <c r="K100" s="278">
        <f>'Monthly Data'!CG100</f>
        <v>0</v>
      </c>
      <c r="L100" s="278">
        <f>'Monthly Data'!CB100</f>
        <v>1</v>
      </c>
      <c r="M100" s="278">
        <f>'Monthly Data'!AX100</f>
        <v>8629</v>
      </c>
      <c r="O100" s="18"/>
      <c r="P100" s="18">
        <f ca="1">(E100-G100)*'Large Use Predicted Monthly'!$Z$11</f>
        <v>-1039.6338003578437</v>
      </c>
      <c r="Q100" s="18">
        <f ca="1">(F100-H100)*'Large Use Predicted Monthly'!$Z$12</f>
        <v>0</v>
      </c>
      <c r="R100" s="18"/>
      <c r="S100" s="18"/>
      <c r="T100" s="18"/>
      <c r="U100" s="18"/>
      <c r="V100" s="18"/>
      <c r="W100" s="18">
        <f t="shared" ca="1" si="7"/>
        <v>2780109.3268490415</v>
      </c>
      <c r="Y100" s="18"/>
      <c r="Z100" s="285"/>
    </row>
    <row r="101" spans="1:26" x14ac:dyDescent="0.25">
      <c r="A101" s="3">
        <f>'Monthly Data'!A101</f>
        <v>45017</v>
      </c>
      <c r="B101" s="1">
        <f t="shared" si="9"/>
        <v>2023</v>
      </c>
      <c r="C101" s="1">
        <f t="shared" si="10"/>
        <v>4</v>
      </c>
      <c r="D101" s="268">
        <f>'Monthly Data'!X101</f>
        <v>2559753.6758419713</v>
      </c>
      <c r="E101" s="278">
        <f t="shared" ca="1" si="12"/>
        <v>79.984412878787879</v>
      </c>
      <c r="F101" s="278">
        <f t="shared" ca="1" si="12"/>
        <v>2.1908333333333347</v>
      </c>
      <c r="G101" s="278">
        <f>'Monthly Data'!BL101</f>
        <v>58.116666666666674</v>
      </c>
      <c r="H101" s="278">
        <f>'Monthly Data'!BG101</f>
        <v>11.71666666666667</v>
      </c>
      <c r="I101" s="278">
        <f>'Monthly Data'!CC101</f>
        <v>100</v>
      </c>
      <c r="J101" s="278">
        <f>'Monthly Data'!CD101</f>
        <v>30</v>
      </c>
      <c r="K101" s="278">
        <f>'Monthly Data'!CG101</f>
        <v>0</v>
      </c>
      <c r="L101" s="278">
        <f>'Monthly Data'!CB101</f>
        <v>1</v>
      </c>
      <c r="M101" s="278">
        <f>'Monthly Data'!AX101</f>
        <v>4845</v>
      </c>
      <c r="O101" s="18"/>
      <c r="P101" s="18">
        <f ca="1">(E101-G101)*'Large Use Predicted Monthly'!$Z$11</f>
        <v>9260.7410052779032</v>
      </c>
      <c r="Q101" s="18">
        <f ca="1">(F101-H101)*'Large Use Predicted Monthly'!$Z$12</f>
        <v>-17205.842313051944</v>
      </c>
      <c r="R101" s="18"/>
      <c r="S101" s="18"/>
      <c r="T101" s="18"/>
      <c r="U101" s="18"/>
      <c r="V101" s="18"/>
      <c r="W101" s="18">
        <f t="shared" ca="1" si="7"/>
        <v>2551808.5745341969</v>
      </c>
      <c r="Y101" s="18"/>
      <c r="Z101" s="285"/>
    </row>
    <row r="102" spans="1:26" x14ac:dyDescent="0.25">
      <c r="A102" s="3">
        <f>'Monthly Data'!A102</f>
        <v>45047</v>
      </c>
      <c r="B102" s="1">
        <f t="shared" si="9"/>
        <v>2023</v>
      </c>
      <c r="C102" s="1">
        <f t="shared" si="10"/>
        <v>5</v>
      </c>
      <c r="D102" s="268">
        <f>'Monthly Data'!X102</f>
        <v>2656087.4936269652</v>
      </c>
      <c r="E102" s="278">
        <f t="shared" ca="1" si="12"/>
        <v>7.2018333333333331</v>
      </c>
      <c r="F102" s="278">
        <f t="shared" ca="1" si="12"/>
        <v>52.487435064935063</v>
      </c>
      <c r="G102" s="278">
        <f>'Monthly Data'!BL102</f>
        <v>7.2058333333333309</v>
      </c>
      <c r="H102" s="278">
        <f>'Monthly Data'!BG102</f>
        <v>37.345833333333331</v>
      </c>
      <c r="I102" s="278">
        <f>'Monthly Data'!CC102</f>
        <v>101</v>
      </c>
      <c r="J102" s="278">
        <f>'Monthly Data'!CD102</f>
        <v>31</v>
      </c>
      <c r="K102" s="278">
        <f>'Monthly Data'!CG102</f>
        <v>0</v>
      </c>
      <c r="L102" s="278">
        <f>'Monthly Data'!CB102</f>
        <v>1</v>
      </c>
      <c r="M102" s="278">
        <f>'Monthly Data'!AX102</f>
        <v>4845</v>
      </c>
      <c r="O102" s="18"/>
      <c r="P102" s="18">
        <f ca="1">(E102-G102)*'Large Use Predicted Monthly'!$Z$11</f>
        <v>-1.6939543591629171</v>
      </c>
      <c r="Q102" s="18">
        <f ca="1">(F102-H102)*'Large Use Predicted Monthly'!$Z$12</f>
        <v>27349.209527877556</v>
      </c>
      <c r="R102" s="18"/>
      <c r="S102" s="18"/>
      <c r="T102" s="18"/>
      <c r="U102" s="18"/>
      <c r="V102" s="18"/>
      <c r="W102" s="18">
        <f t="shared" ca="1" si="7"/>
        <v>2683435.0092004836</v>
      </c>
      <c r="Y102" s="18"/>
      <c r="Z102" s="285"/>
    </row>
    <row r="103" spans="1:26" x14ac:dyDescent="0.25">
      <c r="A103" s="3">
        <f>'Monthly Data'!A103</f>
        <v>45078</v>
      </c>
      <c r="B103" s="1">
        <f t="shared" si="9"/>
        <v>2023</v>
      </c>
      <c r="C103" s="1">
        <f t="shared" si="10"/>
        <v>6</v>
      </c>
      <c r="D103" s="268">
        <f>'Monthly Data'!X103</f>
        <v>2596571.3173193499</v>
      </c>
      <c r="E103" s="278">
        <f t="shared" ca="1" si="12"/>
        <v>0</v>
      </c>
      <c r="F103" s="278">
        <f t="shared" ca="1" si="12"/>
        <v>137.65451754405018</v>
      </c>
      <c r="G103" s="278">
        <f>'Monthly Data'!BL103</f>
        <v>0</v>
      </c>
      <c r="H103" s="278">
        <f>'Monthly Data'!BG103</f>
        <v>145.54166666666666</v>
      </c>
      <c r="I103" s="278">
        <f>'Monthly Data'!CC103</f>
        <v>102</v>
      </c>
      <c r="J103" s="278">
        <f>'Monthly Data'!CD103</f>
        <v>30</v>
      </c>
      <c r="K103" s="278">
        <f>'Monthly Data'!CG103</f>
        <v>0</v>
      </c>
      <c r="L103" s="278">
        <f>'Monthly Data'!CB103</f>
        <v>0</v>
      </c>
      <c r="M103" s="278">
        <f>'Monthly Data'!AX103</f>
        <v>4845</v>
      </c>
      <c r="O103" s="18"/>
      <c r="P103" s="18">
        <f ca="1">(E103-G103)*'Large Use Predicted Monthly'!$Z$11</f>
        <v>0</v>
      </c>
      <c r="Q103" s="18">
        <f ca="1">(F103-H103)*'Large Use Predicted Monthly'!$Z$12</f>
        <v>-14246.002355342323</v>
      </c>
      <c r="R103" s="18"/>
      <c r="S103" s="18"/>
      <c r="T103" s="18"/>
      <c r="U103" s="18"/>
      <c r="V103" s="18"/>
      <c r="W103" s="18">
        <f t="shared" ca="1" si="7"/>
        <v>2582325.3149640076</v>
      </c>
      <c r="Y103" s="18"/>
      <c r="Z103" s="285"/>
    </row>
    <row r="104" spans="1:26" x14ac:dyDescent="0.25">
      <c r="A104" s="3">
        <f>'Monthly Data'!A104</f>
        <v>45108</v>
      </c>
      <c r="B104" s="1">
        <f t="shared" si="9"/>
        <v>2023</v>
      </c>
      <c r="C104" s="1">
        <f t="shared" si="10"/>
        <v>7</v>
      </c>
      <c r="D104" s="268">
        <f>'Monthly Data'!X104</f>
        <v>2717050.2881612428</v>
      </c>
      <c r="E104" s="278">
        <f t="shared" ca="1" si="12"/>
        <v>0</v>
      </c>
      <c r="F104" s="278">
        <f t="shared" ca="1" si="12"/>
        <v>235.94737858727848</v>
      </c>
      <c r="G104" s="278">
        <f>'Monthly Data'!BL104</f>
        <v>0</v>
      </c>
      <c r="H104" s="278">
        <f>'Monthly Data'!BG104</f>
        <v>223.78333333333336</v>
      </c>
      <c r="I104" s="278">
        <f>'Monthly Data'!CC104</f>
        <v>103</v>
      </c>
      <c r="J104" s="278">
        <f>'Monthly Data'!CD104</f>
        <v>31</v>
      </c>
      <c r="K104" s="278">
        <f>'Monthly Data'!CG104</f>
        <v>0</v>
      </c>
      <c r="L104" s="278">
        <f>'Monthly Data'!CB104</f>
        <v>0</v>
      </c>
      <c r="M104" s="278">
        <f>'Monthly Data'!AX104</f>
        <v>2198</v>
      </c>
      <c r="O104" s="18"/>
      <c r="P104" s="18">
        <f ca="1">(E104-G104)*'Large Use Predicted Monthly'!$Z$11</f>
        <v>0</v>
      </c>
      <c r="Q104" s="18">
        <f ca="1">(F104-H104)*'Large Use Predicted Monthly'!$Z$12</f>
        <v>21971.058825461383</v>
      </c>
      <c r="R104" s="18"/>
      <c r="S104" s="18"/>
      <c r="T104" s="18"/>
      <c r="U104" s="18"/>
      <c r="V104" s="18"/>
      <c r="W104" s="18">
        <f t="shared" ca="1" si="7"/>
        <v>2739021.346986704</v>
      </c>
      <c r="Y104" s="18"/>
      <c r="Z104" s="285"/>
    </row>
    <row r="105" spans="1:26" x14ac:dyDescent="0.25">
      <c r="A105" s="3">
        <f>'Monthly Data'!A105</f>
        <v>45139</v>
      </c>
      <c r="B105" s="1">
        <f t="shared" si="9"/>
        <v>2023</v>
      </c>
      <c r="C105" s="1">
        <f t="shared" si="10"/>
        <v>8</v>
      </c>
      <c r="D105" s="268">
        <f>'Monthly Data'!X105</f>
        <v>2983763.2101783892</v>
      </c>
      <c r="E105" s="278">
        <f t="shared" ca="1" si="12"/>
        <v>0</v>
      </c>
      <c r="F105" s="278">
        <f t="shared" ca="1" si="12"/>
        <v>210.96558794466404</v>
      </c>
      <c r="G105" s="278">
        <f>'Monthly Data'!BL105</f>
        <v>0</v>
      </c>
      <c r="H105" s="278">
        <f>'Monthly Data'!BG105</f>
        <v>165.80489130434788</v>
      </c>
      <c r="I105" s="278">
        <f>'Monthly Data'!CC105</f>
        <v>104</v>
      </c>
      <c r="J105" s="278">
        <f>'Monthly Data'!CD105</f>
        <v>31</v>
      </c>
      <c r="K105" s="278">
        <f>'Monthly Data'!CG105</f>
        <v>0</v>
      </c>
      <c r="L105" s="278">
        <f>'Monthly Data'!CB105</f>
        <v>0</v>
      </c>
      <c r="M105" s="278">
        <f>'Monthly Data'!AX105</f>
        <v>2198</v>
      </c>
      <c r="O105" s="18"/>
      <c r="P105" s="18">
        <f ca="1">(E105-G105)*'Large Use Predicted Monthly'!$Z$11</f>
        <v>0</v>
      </c>
      <c r="Q105" s="18">
        <f ca="1">(F105-H105)*'Large Use Predicted Monthly'!$Z$12</f>
        <v>81570.58788986312</v>
      </c>
      <c r="R105" s="18"/>
      <c r="S105" s="18"/>
      <c r="T105" s="18"/>
      <c r="U105" s="18"/>
      <c r="V105" s="18"/>
      <c r="W105" s="18">
        <f t="shared" ca="1" si="7"/>
        <v>3065333.7980682524</v>
      </c>
      <c r="Y105" s="18"/>
      <c r="Z105" s="285"/>
    </row>
    <row r="106" spans="1:26" x14ac:dyDescent="0.25">
      <c r="A106" s="3">
        <f>'Monthly Data'!A106</f>
        <v>45170</v>
      </c>
      <c r="B106" s="1">
        <f t="shared" si="9"/>
        <v>2023</v>
      </c>
      <c r="C106" s="1">
        <f t="shared" si="10"/>
        <v>9</v>
      </c>
      <c r="D106" s="268">
        <f>'Monthly Data'!X106</f>
        <v>2992173.2114858548</v>
      </c>
      <c r="E106" s="278">
        <f t="shared" ca="1" si="12"/>
        <v>0</v>
      </c>
      <c r="F106" s="278">
        <f t="shared" ca="1" si="12"/>
        <v>106.4160119047619</v>
      </c>
      <c r="G106" s="278">
        <f>'Monthly Data'!BL106</f>
        <v>0</v>
      </c>
      <c r="H106" s="278">
        <f>'Monthly Data'!BG106</f>
        <v>105.35</v>
      </c>
      <c r="I106" s="278">
        <f>'Monthly Data'!CC106</f>
        <v>105</v>
      </c>
      <c r="J106" s="278">
        <f>'Monthly Data'!CD106</f>
        <v>30</v>
      </c>
      <c r="K106" s="278">
        <f>'Monthly Data'!CG106</f>
        <v>0</v>
      </c>
      <c r="L106" s="278">
        <f>'Monthly Data'!CB106</f>
        <v>1</v>
      </c>
      <c r="M106" s="278">
        <f>'Monthly Data'!AX106</f>
        <v>2198</v>
      </c>
      <c r="O106" s="18"/>
      <c r="P106" s="18">
        <f ca="1">(E106-G106)*'Large Use Predicted Monthly'!$Z$11</f>
        <v>0</v>
      </c>
      <c r="Q106" s="18">
        <f ca="1">(F106-H106)*'Large Use Predicted Monthly'!$Z$12</f>
        <v>1925.4622766690081</v>
      </c>
      <c r="R106" s="18"/>
      <c r="S106" s="18"/>
      <c r="T106" s="18"/>
      <c r="U106" s="18"/>
      <c r="V106" s="18"/>
      <c r="W106" s="18">
        <f t="shared" ca="1" si="7"/>
        <v>2994098.673762524</v>
      </c>
      <c r="Y106" s="18"/>
      <c r="Z106" s="285"/>
    </row>
    <row r="107" spans="1:26" x14ac:dyDescent="0.25">
      <c r="A107" s="3">
        <f>'Monthly Data'!A107</f>
        <v>45200</v>
      </c>
      <c r="B107" s="1">
        <f t="shared" si="9"/>
        <v>2023</v>
      </c>
      <c r="C107" s="1">
        <f t="shared" si="10"/>
        <v>10</v>
      </c>
      <c r="D107" s="268">
        <f>'Monthly Data'!X107</f>
        <v>2996465.4188636672</v>
      </c>
      <c r="E107" s="278">
        <f t="shared" ca="1" si="12"/>
        <v>24.76139492753623</v>
      </c>
      <c r="F107" s="278">
        <f t="shared" ca="1" si="12"/>
        <v>17.987083333333334</v>
      </c>
      <c r="G107" s="278">
        <f>'Monthly Data'!BL107</f>
        <v>17.783333333333335</v>
      </c>
      <c r="H107" s="278">
        <f>'Monthly Data'!BG107</f>
        <v>35.333333333333343</v>
      </c>
      <c r="I107" s="278">
        <f>'Monthly Data'!CC107</f>
        <v>106</v>
      </c>
      <c r="J107" s="278">
        <f>'Monthly Data'!CD107</f>
        <v>31</v>
      </c>
      <c r="K107" s="278">
        <f>'Monthly Data'!CG107</f>
        <v>0</v>
      </c>
      <c r="L107" s="278">
        <f>'Monthly Data'!CB107</f>
        <v>1</v>
      </c>
      <c r="M107" s="278">
        <f>'Monthly Data'!AX107</f>
        <v>1875</v>
      </c>
      <c r="O107" s="18"/>
      <c r="P107" s="18">
        <f ca="1">(E107-G107)*'Large Use Predicted Monthly'!$Z$11</f>
        <v>2955.1294640034703</v>
      </c>
      <c r="Q107" s="18">
        <f ca="1">(F107-H107)*'Large Use Predicted Monthly'!$Z$12</f>
        <v>-31331.310529904018</v>
      </c>
      <c r="R107" s="18"/>
      <c r="S107" s="18"/>
      <c r="T107" s="18"/>
      <c r="U107" s="18"/>
      <c r="V107" s="18"/>
      <c r="W107" s="18">
        <f t="shared" ca="1" si="7"/>
        <v>2968089.2377977665</v>
      </c>
      <c r="Y107" s="18"/>
      <c r="Z107" s="285"/>
    </row>
    <row r="108" spans="1:26" x14ac:dyDescent="0.25">
      <c r="A108" s="3">
        <f>'Monthly Data'!A108</f>
        <v>45231</v>
      </c>
      <c r="B108" s="1">
        <f t="shared" si="9"/>
        <v>2023</v>
      </c>
      <c r="C108" s="1">
        <f t="shared" si="10"/>
        <v>11</v>
      </c>
      <c r="D108" s="268">
        <f>'Monthly Data'!X108</f>
        <v>3414621.5370895229</v>
      </c>
      <c r="E108" s="278">
        <f t="shared" ca="1" si="12"/>
        <v>140.02366389045739</v>
      </c>
      <c r="F108" s="278">
        <f t="shared" ca="1" si="12"/>
        <v>0.8083333333333329</v>
      </c>
      <c r="G108" s="278">
        <f>'Monthly Data'!BL108</f>
        <v>153.42644927536227</v>
      </c>
      <c r="H108" s="278">
        <f>'Monthly Data'!BG108</f>
        <v>0</v>
      </c>
      <c r="I108" s="278">
        <f>'Monthly Data'!CC108</f>
        <v>107</v>
      </c>
      <c r="J108" s="278">
        <f>'Monthly Data'!CD108</f>
        <v>30</v>
      </c>
      <c r="K108" s="278">
        <f>'Monthly Data'!CG108</f>
        <v>0</v>
      </c>
      <c r="L108" s="278">
        <f>'Monthly Data'!CB108</f>
        <v>1</v>
      </c>
      <c r="M108" s="278">
        <f>'Monthly Data'!AX108</f>
        <v>1875</v>
      </c>
      <c r="O108" s="18"/>
      <c r="P108" s="18">
        <f ca="1">(E108-G108)*'Large Use Predicted Monthly'!$Z$11</f>
        <v>-5675.9266819243139</v>
      </c>
      <c r="Q108" s="18">
        <f ca="1">(F108-H108)*'Large Use Predicted Monthly'!$Z$12</f>
        <v>1460.0356087534226</v>
      </c>
      <c r="R108" s="18"/>
      <c r="S108" s="18"/>
      <c r="T108" s="18"/>
      <c r="U108" s="18"/>
      <c r="V108" s="18"/>
      <c r="W108" s="18">
        <f t="shared" ca="1" si="7"/>
        <v>3410405.6460163523</v>
      </c>
      <c r="Y108" s="18"/>
      <c r="Z108" s="285"/>
    </row>
    <row r="109" spans="1:26" x14ac:dyDescent="0.25">
      <c r="A109" s="3">
        <f>'Monthly Data'!A109</f>
        <v>45261</v>
      </c>
      <c r="B109" s="1">
        <f t="shared" si="9"/>
        <v>2023</v>
      </c>
      <c r="C109" s="1">
        <f t="shared" si="10"/>
        <v>12</v>
      </c>
      <c r="D109" s="268">
        <f>'Monthly Data'!X109</f>
        <v>3312670.9716701088</v>
      </c>
      <c r="E109" s="278">
        <f t="shared" ca="1" si="12"/>
        <v>268.92048913043476</v>
      </c>
      <c r="F109" s="278">
        <f t="shared" ca="1" si="12"/>
        <v>0</v>
      </c>
      <c r="G109" s="278">
        <f>'Monthly Data'!BL109</f>
        <v>180.36666666666662</v>
      </c>
      <c r="H109" s="278">
        <f>'Monthly Data'!BG109</f>
        <v>0</v>
      </c>
      <c r="I109" s="278">
        <f>'Monthly Data'!CC109</f>
        <v>108</v>
      </c>
      <c r="J109" s="278">
        <f>'Monthly Data'!CD109</f>
        <v>31</v>
      </c>
      <c r="K109" s="278">
        <f>'Monthly Data'!CG109</f>
        <v>0</v>
      </c>
      <c r="L109" s="278">
        <f>'Monthly Data'!CB109</f>
        <v>0</v>
      </c>
      <c r="M109" s="278">
        <f>'Monthly Data'!AX109</f>
        <v>1875</v>
      </c>
      <c r="O109" s="18"/>
      <c r="P109" s="18">
        <f ca="1">(E109-G109)*'Large Use Predicted Monthly'!$Z$11</f>
        <v>37501.533395780563</v>
      </c>
      <c r="Q109" s="18">
        <f ca="1">(F109-H109)*'Large Use Predicted Monthly'!$Z$12</f>
        <v>0</v>
      </c>
      <c r="R109" s="18"/>
      <c r="S109" s="18"/>
      <c r="T109" s="18"/>
      <c r="U109" s="18"/>
      <c r="V109" s="18"/>
      <c r="W109" s="18">
        <f t="shared" ca="1" si="7"/>
        <v>3350172.5050658896</v>
      </c>
      <c r="X109" s="268"/>
      <c r="Y109" s="18"/>
      <c r="Z109" s="285"/>
    </row>
    <row r="110" spans="1:26" x14ac:dyDescent="0.25">
      <c r="A110" s="3">
        <f>'Monthly Data'!A110</f>
        <v>45292</v>
      </c>
      <c r="B110" s="1">
        <f t="shared" si="9"/>
        <v>2024</v>
      </c>
      <c r="C110" s="1">
        <f t="shared" si="10"/>
        <v>1</v>
      </c>
      <c r="D110" s="268">
        <f>'Monthly Data'!X110</f>
        <v>3544718.830319657</v>
      </c>
      <c r="E110" s="278">
        <f t="shared" ca="1" si="12"/>
        <v>387.33418478260865</v>
      </c>
      <c r="F110" s="278">
        <f t="shared" ca="1" si="12"/>
        <v>0</v>
      </c>
      <c r="G110" s="278">
        <f>'Monthly Data'!BL110</f>
        <v>326.99583333333317</v>
      </c>
      <c r="H110" s="278">
        <f>'Monthly Data'!BG110</f>
        <v>0</v>
      </c>
      <c r="I110" s="278">
        <f>'Monthly Data'!CC110</f>
        <v>109</v>
      </c>
      <c r="J110" s="278">
        <f>'Monthly Data'!CD110</f>
        <v>31</v>
      </c>
      <c r="K110" s="278">
        <f>'Monthly Data'!CG110</f>
        <v>0</v>
      </c>
      <c r="L110" s="278">
        <f>'Monthly Data'!CB110</f>
        <v>0</v>
      </c>
      <c r="M110" s="278">
        <f>'Monthly Data'!AX110</f>
        <v>4826</v>
      </c>
      <c r="O110" s="18"/>
      <c r="P110" s="18">
        <f ca="1">(E110-G110)*'Large Use Predicted Monthly'!$Z$11</f>
        <v>25552.603365565243</v>
      </c>
      <c r="Q110" s="18">
        <f ca="1">(F110-H110)*'Large Use Predicted Monthly'!$Z$12</f>
        <v>0</v>
      </c>
      <c r="R110" s="18"/>
      <c r="S110" s="18"/>
      <c r="T110" s="18"/>
      <c r="U110" s="18"/>
      <c r="V110" s="18"/>
      <c r="W110" s="18">
        <f t="shared" ca="1" si="7"/>
        <v>3570271.4336852222</v>
      </c>
      <c r="X110" s="268"/>
      <c r="Y110" s="18"/>
      <c r="Z110" s="285"/>
    </row>
    <row r="111" spans="1:26" x14ac:dyDescent="0.25">
      <c r="A111" s="3">
        <f>'Monthly Data'!A111</f>
        <v>45323</v>
      </c>
      <c r="B111" s="1">
        <f t="shared" si="9"/>
        <v>2024</v>
      </c>
      <c r="C111" s="1">
        <f t="shared" si="10"/>
        <v>2</v>
      </c>
      <c r="D111" s="268">
        <f>'Monthly Data'!X111</f>
        <v>3378375.6366031975</v>
      </c>
      <c r="E111" s="278">
        <f t="shared" ca="1" si="12"/>
        <v>341.39751811594203</v>
      </c>
      <c r="F111" s="278">
        <f t="shared" ca="1" si="12"/>
        <v>0</v>
      </c>
      <c r="G111" s="278">
        <f>'Monthly Data'!BL111</f>
        <v>252.9666666666667</v>
      </c>
      <c r="H111" s="278">
        <f>'Monthly Data'!BG111</f>
        <v>0</v>
      </c>
      <c r="I111" s="278">
        <f>'Monthly Data'!CC111</f>
        <v>110</v>
      </c>
      <c r="J111" s="278">
        <f>'Monthly Data'!CD111</f>
        <v>29</v>
      </c>
      <c r="K111" s="278">
        <f>'Monthly Data'!CG111</f>
        <v>0</v>
      </c>
      <c r="L111" s="278">
        <f>'Monthly Data'!CB111</f>
        <v>0</v>
      </c>
      <c r="M111" s="278">
        <f>'Monthly Data'!AX111</f>
        <v>4826</v>
      </c>
      <c r="O111" s="18"/>
      <c r="P111" s="18">
        <f ca="1">(E111-G111)*'Large Use Predicted Monthly'!$Z$11</f>
        <v>37449.456574267839</v>
      </c>
      <c r="Q111" s="18">
        <f ca="1">(F111-H111)*'Large Use Predicted Monthly'!$Z$12</f>
        <v>0</v>
      </c>
      <c r="R111" s="18"/>
      <c r="S111" s="18"/>
      <c r="T111" s="18"/>
      <c r="U111" s="18"/>
      <c r="V111" s="18"/>
      <c r="W111" s="18">
        <f t="shared" ca="1" si="7"/>
        <v>3415825.0931774653</v>
      </c>
      <c r="X111" s="268"/>
      <c r="Y111" s="18"/>
      <c r="Z111" s="285"/>
    </row>
    <row r="112" spans="1:26" x14ac:dyDescent="0.25">
      <c r="A112" s="3">
        <f>'Monthly Data'!A112</f>
        <v>45352</v>
      </c>
      <c r="B112" s="1">
        <f t="shared" si="9"/>
        <v>2024</v>
      </c>
      <c r="C112" s="1">
        <f t="shared" si="10"/>
        <v>3</v>
      </c>
      <c r="D112" s="268">
        <f>'Monthly Data'!X112</f>
        <v>3523856.4428867381</v>
      </c>
      <c r="E112" s="278">
        <f t="shared" ca="1" si="12"/>
        <v>238.57840579710145</v>
      </c>
      <c r="F112" s="278">
        <f t="shared" ca="1" si="12"/>
        <v>0</v>
      </c>
      <c r="G112" s="278">
        <f>'Monthly Data'!BL112</f>
        <v>154.69166666666669</v>
      </c>
      <c r="H112" s="278">
        <f>'Monthly Data'!BG112</f>
        <v>0</v>
      </c>
      <c r="I112" s="278">
        <f>'Monthly Data'!CC112</f>
        <v>111</v>
      </c>
      <c r="J112" s="278">
        <f>'Monthly Data'!CD112</f>
        <v>31</v>
      </c>
      <c r="K112" s="278">
        <f>'Monthly Data'!CG112</f>
        <v>0</v>
      </c>
      <c r="L112" s="278">
        <f>'Monthly Data'!CB112</f>
        <v>1</v>
      </c>
      <c r="M112" s="278">
        <f>'Monthly Data'!AX112</f>
        <v>4826</v>
      </c>
      <c r="O112" s="18"/>
      <c r="P112" s="18">
        <f ca="1">(E112-G112)*'Large Use Predicted Monthly'!$Z$11</f>
        <v>35525.076856510292</v>
      </c>
      <c r="Q112" s="18">
        <f ca="1">(F112-H112)*'Large Use Predicted Monthly'!$Z$12</f>
        <v>0</v>
      </c>
      <c r="R112" s="18"/>
      <c r="S112" s="18"/>
      <c r="T112" s="18"/>
      <c r="U112" s="18"/>
      <c r="V112" s="18"/>
      <c r="W112" s="18">
        <f t="shared" ref="W112:W121" ca="1" si="13">SUM(D112,O112:V112)</f>
        <v>3559381.5197432484</v>
      </c>
      <c r="X112" s="268"/>
    </row>
    <row r="113" spans="1:25" x14ac:dyDescent="0.25">
      <c r="A113" s="3">
        <f>'Monthly Data'!A113</f>
        <v>45383</v>
      </c>
      <c r="B113" s="1">
        <f t="shared" si="9"/>
        <v>2024</v>
      </c>
      <c r="C113" s="1">
        <f t="shared" si="10"/>
        <v>4</v>
      </c>
      <c r="D113" s="268">
        <f>'Monthly Data'!X113</f>
        <v>3248621.2491702782</v>
      </c>
      <c r="E113" s="278">
        <f t="shared" ca="1" si="12"/>
        <v>79.984412878787879</v>
      </c>
      <c r="F113" s="278">
        <f t="shared" ca="1" si="12"/>
        <v>2.1908333333333347</v>
      </c>
      <c r="G113" s="278">
        <f>'Monthly Data'!BL113</f>
        <v>41.093749999999993</v>
      </c>
      <c r="H113" s="278">
        <f>'Monthly Data'!BG113</f>
        <v>0</v>
      </c>
      <c r="I113" s="278">
        <f>'Monthly Data'!CC113</f>
        <v>112</v>
      </c>
      <c r="J113" s="278">
        <f>'Monthly Data'!CD113</f>
        <v>30</v>
      </c>
      <c r="K113" s="278">
        <f>'Monthly Data'!CG113</f>
        <v>0</v>
      </c>
      <c r="L113" s="278">
        <f>'Monthly Data'!CB113</f>
        <v>1</v>
      </c>
      <c r="M113" s="278">
        <f>'Monthly Data'!AX113</f>
        <v>2733</v>
      </c>
      <c r="O113" s="18"/>
      <c r="P113" s="18">
        <f ca="1">(E113-G113)*'Large Use Predicted Monthly'!$Z$11</f>
        <v>16469.751978573673</v>
      </c>
      <c r="Q113" s="18">
        <f ca="1">(F113-H113)*'Large Use Predicted Monthly'!$Z$12</f>
        <v>3957.1480571265488</v>
      </c>
      <c r="R113" s="18"/>
      <c r="S113" s="18"/>
      <c r="T113" s="18"/>
      <c r="U113" s="18"/>
      <c r="V113" s="18"/>
      <c r="W113" s="18">
        <f t="shared" ca="1" si="13"/>
        <v>3269048.1492059785</v>
      </c>
      <c r="X113" s="268"/>
      <c r="Y113" s="18"/>
    </row>
    <row r="114" spans="1:25" x14ac:dyDescent="0.25">
      <c r="A114" s="3">
        <f>'Monthly Data'!A114</f>
        <v>45413</v>
      </c>
      <c r="B114" s="1">
        <f t="shared" si="9"/>
        <v>2024</v>
      </c>
      <c r="C114" s="1">
        <f t="shared" si="10"/>
        <v>5</v>
      </c>
      <c r="D114" s="268">
        <f>'Monthly Data'!X114</f>
        <v>3425904.0554538188</v>
      </c>
      <c r="E114" s="278">
        <f t="shared" ref="E114:F133" ca="1" si="14">E102</f>
        <v>7.2018333333333331</v>
      </c>
      <c r="F114" s="278">
        <f t="shared" ca="1" si="14"/>
        <v>52.487435064935063</v>
      </c>
      <c r="G114" s="278">
        <f>'Monthly Data'!BL114</f>
        <v>0</v>
      </c>
      <c r="H114" s="278">
        <f>'Monthly Data'!BG114</f>
        <v>60.691666666666663</v>
      </c>
      <c r="I114" s="278">
        <f>'Monthly Data'!CC114</f>
        <v>113</v>
      </c>
      <c r="J114" s="278">
        <f>'Monthly Data'!CD114</f>
        <v>31</v>
      </c>
      <c r="K114" s="278">
        <f>'Monthly Data'!CG114</f>
        <v>0</v>
      </c>
      <c r="L114" s="278">
        <f>'Monthly Data'!CB114</f>
        <v>1</v>
      </c>
      <c r="M114" s="278">
        <f>'Monthly Data'!AX114</f>
        <v>2733</v>
      </c>
      <c r="O114" s="18"/>
      <c r="P114" s="18">
        <f ca="1">(E114-G114)*'Large Use Predicted Monthly'!$Z$11</f>
        <v>3049.8942422428909</v>
      </c>
      <c r="Q114" s="18">
        <f ca="1">(F114-H114)*'Large Use Predicted Monthly'!$Z$12</f>
        <v>-14818.72612081023</v>
      </c>
      <c r="R114" s="18"/>
      <c r="S114" s="18"/>
      <c r="T114" s="18"/>
      <c r="U114" s="18"/>
      <c r="V114" s="18"/>
      <c r="W114" s="18">
        <f t="shared" ca="1" si="13"/>
        <v>3414135.2235752516</v>
      </c>
      <c r="X114" s="268"/>
      <c r="Y114" s="18"/>
    </row>
    <row r="115" spans="1:25" x14ac:dyDescent="0.25">
      <c r="A115" s="3">
        <f>'Monthly Data'!A115</f>
        <v>45444</v>
      </c>
      <c r="B115" s="1">
        <f t="shared" si="9"/>
        <v>2024</v>
      </c>
      <c r="C115" s="1">
        <f t="shared" si="10"/>
        <v>6</v>
      </c>
      <c r="D115" s="268">
        <f>'Monthly Data'!X115</f>
        <v>3335143.8617373593</v>
      </c>
      <c r="E115" s="278">
        <f t="shared" ca="1" si="14"/>
        <v>0</v>
      </c>
      <c r="F115" s="278">
        <f t="shared" ca="1" si="14"/>
        <v>137.65451754405018</v>
      </c>
      <c r="G115" s="278">
        <f>'Monthly Data'!BL115</f>
        <v>0</v>
      </c>
      <c r="H115" s="278">
        <f>'Monthly Data'!BG115</f>
        <v>146.61250000000007</v>
      </c>
      <c r="I115" s="278">
        <f>'Monthly Data'!CC115</f>
        <v>114</v>
      </c>
      <c r="J115" s="278">
        <f>'Monthly Data'!CD115</f>
        <v>30</v>
      </c>
      <c r="K115" s="278">
        <f>'Monthly Data'!CG115</f>
        <v>0</v>
      </c>
      <c r="L115" s="278">
        <f>'Monthly Data'!CB115</f>
        <v>0</v>
      </c>
      <c r="M115" s="278">
        <f>'Monthly Data'!AX115</f>
        <v>2733</v>
      </c>
      <c r="O115" s="18"/>
      <c r="P115" s="18">
        <f ca="1">(E115-G115)*'Large Use Predicted Monthly'!$Z$11</f>
        <v>0</v>
      </c>
      <c r="Q115" s="18">
        <f ca="1">(F115-H115)*'Large Use Predicted Monthly'!$Z$12</f>
        <v>-16180.173239103442</v>
      </c>
      <c r="R115" s="18"/>
      <c r="S115" s="18"/>
      <c r="T115" s="18"/>
      <c r="U115" s="18"/>
      <c r="V115" s="18"/>
      <c r="W115" s="18">
        <f t="shared" ca="1" si="13"/>
        <v>3318963.6884982558</v>
      </c>
      <c r="X115" s="268"/>
      <c r="Y115" s="18"/>
    </row>
    <row r="116" spans="1:25" x14ac:dyDescent="0.25">
      <c r="A116" s="3">
        <v>45474</v>
      </c>
      <c r="B116" s="1">
        <f t="shared" si="9"/>
        <v>2024</v>
      </c>
      <c r="C116" s="1">
        <f t="shared" si="10"/>
        <v>7</v>
      </c>
      <c r="D116" s="268">
        <f>'Monthly Data'!X116</f>
        <v>3414589.6680208994</v>
      </c>
      <c r="E116" s="278">
        <f t="shared" ca="1" si="14"/>
        <v>0</v>
      </c>
      <c r="F116" s="278">
        <f t="shared" ca="1" si="14"/>
        <v>235.94737858727848</v>
      </c>
      <c r="G116" s="278">
        <f>'Monthly Data'!BL116</f>
        <v>0</v>
      </c>
      <c r="H116" s="278">
        <f>'Monthly Data'!BG116</f>
        <v>241.14166666666668</v>
      </c>
      <c r="I116" s="278">
        <f>'Monthly Data'!CC116</f>
        <v>115</v>
      </c>
      <c r="J116" s="278">
        <f>'Monthly Data'!CD116</f>
        <v>31</v>
      </c>
      <c r="K116" s="278">
        <f>'Monthly Data'!CG116</f>
        <v>0</v>
      </c>
      <c r="L116" s="278">
        <f>'Monthly Data'!CB116</f>
        <v>0</v>
      </c>
      <c r="M116" s="278">
        <f>'Monthly Data'!AX116</f>
        <v>730</v>
      </c>
      <c r="O116" s="18"/>
      <c r="P116" s="18">
        <f ca="1">(E116-G116)*'Large Use Predicted Monthly'!$Z$11</f>
        <v>0</v>
      </c>
      <c r="Q116" s="18">
        <f ca="1">(F116-H116)*'Large Use Predicted Monthly'!$Z$12</f>
        <v>-9382.0769790064351</v>
      </c>
      <c r="R116" s="18"/>
      <c r="S116" s="18"/>
      <c r="T116" s="18"/>
      <c r="U116" s="18"/>
      <c r="V116" s="18"/>
      <c r="W116" s="18">
        <f t="shared" ca="1" si="13"/>
        <v>3405207.5910418928</v>
      </c>
      <c r="X116" s="268"/>
      <c r="Y116" s="18"/>
    </row>
    <row r="117" spans="1:25" x14ac:dyDescent="0.25">
      <c r="A117" s="3">
        <v>45505</v>
      </c>
      <c r="B117" s="1">
        <f t="shared" si="9"/>
        <v>2024</v>
      </c>
      <c r="C117" s="1">
        <f t="shared" si="10"/>
        <v>8</v>
      </c>
      <c r="D117" s="268">
        <f>'Monthly Data'!X117</f>
        <v>3378420.47430444</v>
      </c>
      <c r="E117" s="278">
        <f t="shared" ca="1" si="14"/>
        <v>0</v>
      </c>
      <c r="F117" s="278">
        <f t="shared" ca="1" si="14"/>
        <v>210.96558794466404</v>
      </c>
      <c r="G117" s="278">
        <f>'Monthly Data'!BL117</f>
        <v>0</v>
      </c>
      <c r="H117" s="278">
        <f>'Monthly Data'!BG117</f>
        <v>200.86666666666665</v>
      </c>
      <c r="I117" s="278">
        <f>'Monthly Data'!CC117</f>
        <v>116</v>
      </c>
      <c r="J117" s="278">
        <f>'Monthly Data'!CD117</f>
        <v>31</v>
      </c>
      <c r="K117" s="278">
        <f>'Monthly Data'!CG117</f>
        <v>0</v>
      </c>
      <c r="L117" s="278">
        <f>'Monthly Data'!CB117</f>
        <v>0</v>
      </c>
      <c r="M117" s="278">
        <f>'Monthly Data'!AX117</f>
        <v>730</v>
      </c>
      <c r="O117" s="18"/>
      <c r="P117" s="18">
        <f ca="1">(E117-G117)*'Large Use Predicted Monthly'!$Z$11</f>
        <v>0</v>
      </c>
      <c r="Q117" s="18">
        <f ca="1">(F117-H117)*'Large Use Predicted Monthly'!$Z$12</f>
        <v>18240.97073303978</v>
      </c>
      <c r="R117" s="18"/>
      <c r="S117" s="18"/>
      <c r="T117" s="18"/>
      <c r="U117" s="18"/>
      <c r="V117" s="18"/>
      <c r="W117" s="18">
        <f t="shared" ca="1" si="13"/>
        <v>3396661.4450374795</v>
      </c>
      <c r="Y117" s="18"/>
    </row>
    <row r="118" spans="1:25" x14ac:dyDescent="0.25">
      <c r="A118" s="3">
        <v>45536</v>
      </c>
      <c r="B118" s="1">
        <f t="shared" si="9"/>
        <v>2024</v>
      </c>
      <c r="C118" s="1">
        <f t="shared" si="10"/>
        <v>9</v>
      </c>
      <c r="D118" s="268">
        <f>'Monthly Data'!X118</f>
        <v>3376509.2805879805</v>
      </c>
      <c r="E118" s="278">
        <f t="shared" ca="1" si="14"/>
        <v>0</v>
      </c>
      <c r="F118" s="278">
        <f t="shared" ca="1" si="14"/>
        <v>106.4160119047619</v>
      </c>
      <c r="G118" s="278">
        <f>'Monthly Data'!BL118</f>
        <v>0</v>
      </c>
      <c r="H118" s="278">
        <f>'Monthly Data'!BG118</f>
        <v>113.86250000000001</v>
      </c>
      <c r="I118" s="278">
        <f>'Monthly Data'!CC118</f>
        <v>117</v>
      </c>
      <c r="J118" s="278">
        <f>'Monthly Data'!CD118</f>
        <v>30</v>
      </c>
      <c r="K118" s="278">
        <f>'Monthly Data'!CG118</f>
        <v>0</v>
      </c>
      <c r="L118" s="278">
        <f>'Monthly Data'!CB118</f>
        <v>1</v>
      </c>
      <c r="M118" s="278">
        <f>'Monthly Data'!AX118</f>
        <v>730</v>
      </c>
      <c r="O118" s="18"/>
      <c r="P118" s="18">
        <f ca="1">(E118-G118)*'Large Use Predicted Monthly'!$Z$11</f>
        <v>0</v>
      </c>
      <c r="Q118" s="18">
        <f ca="1">(F118-H118)*'Large Use Predicted Monthly'!$Z$12</f>
        <v>-13450.067355718878</v>
      </c>
      <c r="R118" s="18"/>
      <c r="S118" s="18"/>
      <c r="T118" s="18"/>
      <c r="U118" s="18"/>
      <c r="V118" s="18"/>
      <c r="W118" s="18">
        <f t="shared" ca="1" si="13"/>
        <v>3363059.2132322616</v>
      </c>
      <c r="Y118" s="18"/>
    </row>
    <row r="119" spans="1:25" x14ac:dyDescent="0.25">
      <c r="A119" s="3">
        <v>45566</v>
      </c>
      <c r="B119" s="1">
        <f t="shared" si="9"/>
        <v>2024</v>
      </c>
      <c r="C119" s="1">
        <f t="shared" si="10"/>
        <v>10</v>
      </c>
      <c r="D119" s="268">
        <f>'Monthly Data'!X119</f>
        <v>3343927.0868715206</v>
      </c>
      <c r="E119" s="278">
        <f t="shared" ca="1" si="14"/>
        <v>24.76139492753623</v>
      </c>
      <c r="F119" s="278">
        <f t="shared" ca="1" si="14"/>
        <v>17.987083333333334</v>
      </c>
      <c r="G119" s="278">
        <f>'Monthly Data'!BL119</f>
        <v>18.616666666666671</v>
      </c>
      <c r="H119" s="278">
        <f>'Monthly Data'!BG119</f>
        <v>12.120833333333337</v>
      </c>
      <c r="I119" s="278">
        <f>'Monthly Data'!CC119</f>
        <v>118</v>
      </c>
      <c r="J119" s="278">
        <f>'Monthly Data'!CD119</f>
        <v>31</v>
      </c>
      <c r="K119" s="278">
        <f>'Monthly Data'!CG119</f>
        <v>0</v>
      </c>
      <c r="L119" s="278">
        <f>'Monthly Data'!CB119</f>
        <v>1</v>
      </c>
      <c r="M119" s="278">
        <f>'Monthly Data'!AX119</f>
        <v>4319.8519999999553</v>
      </c>
      <c r="O119" s="18"/>
      <c r="P119" s="18">
        <f ca="1">(E119-G119)*'Large Use Predicted Monthly'!$Z$11</f>
        <v>2602.2223058443324</v>
      </c>
      <c r="Q119" s="18">
        <f ca="1">(F119-H119)*'Large Use Predicted Monthly'!$Z$12</f>
        <v>10595.794502906927</v>
      </c>
      <c r="R119" s="18"/>
      <c r="S119" s="18"/>
      <c r="T119" s="18"/>
      <c r="U119" s="18"/>
      <c r="V119" s="18"/>
      <c r="W119" s="18">
        <f t="shared" ca="1" si="13"/>
        <v>3357125.1036802721</v>
      </c>
      <c r="Y119" s="18"/>
    </row>
    <row r="120" spans="1:25" x14ac:dyDescent="0.25">
      <c r="A120" s="3">
        <v>45597</v>
      </c>
      <c r="B120" s="1">
        <f t="shared" si="9"/>
        <v>2024</v>
      </c>
      <c r="C120" s="1">
        <f t="shared" si="10"/>
        <v>11</v>
      </c>
      <c r="D120" s="268">
        <f>'Monthly Data'!X120</f>
        <v>3274693.8931550612</v>
      </c>
      <c r="E120" s="278">
        <f t="shared" ca="1" si="14"/>
        <v>140.02366389045739</v>
      </c>
      <c r="F120" s="278">
        <f t="shared" ca="1" si="14"/>
        <v>0.8083333333333329</v>
      </c>
      <c r="G120" s="278">
        <f>'Monthly Data'!BL120</f>
        <v>93.433333333333351</v>
      </c>
      <c r="H120" s="278">
        <f>'Monthly Data'!BG120</f>
        <v>5.5041666666666629</v>
      </c>
      <c r="I120" s="278">
        <f>'Monthly Data'!CC120</f>
        <v>119</v>
      </c>
      <c r="J120" s="278">
        <f>'Monthly Data'!CD120</f>
        <v>30</v>
      </c>
      <c r="K120" s="278">
        <f>'Monthly Data'!CG120</f>
        <v>0</v>
      </c>
      <c r="L120" s="278">
        <f>'Monthly Data'!CB120</f>
        <v>1</v>
      </c>
      <c r="M120" s="278">
        <f>'Monthly Data'!AX120</f>
        <v>4319.8519999999553</v>
      </c>
      <c r="O120" s="18"/>
      <c r="P120" s="18">
        <f ca="1">(E120-G120)*'Large Use Predicted Monthly'!$Z$11</f>
        <v>19730.473385531313</v>
      </c>
      <c r="Q120" s="18">
        <f ca="1">(F120-H120)*'Large Use Predicted Monthly'!$Z$12</f>
        <v>-8481.7532529129221</v>
      </c>
      <c r="R120" s="18"/>
      <c r="S120" s="18"/>
      <c r="T120" s="18"/>
      <c r="U120" s="18"/>
      <c r="V120" s="18"/>
      <c r="W120" s="18">
        <f t="shared" ca="1" si="13"/>
        <v>3285942.6132876799</v>
      </c>
      <c r="Y120" s="18"/>
    </row>
    <row r="121" spans="1:25" x14ac:dyDescent="0.25">
      <c r="A121" s="3">
        <v>45627</v>
      </c>
      <c r="B121" s="1">
        <f t="shared" si="9"/>
        <v>2024</v>
      </c>
      <c r="C121" s="1">
        <f t="shared" si="10"/>
        <v>12</v>
      </c>
      <c r="D121" s="268">
        <f>'Monthly Data'!X121</f>
        <v>3200268.6994386017</v>
      </c>
      <c r="E121" s="278">
        <f t="shared" ca="1" si="14"/>
        <v>268.92048913043476</v>
      </c>
      <c r="F121" s="278">
        <f t="shared" ca="1" si="14"/>
        <v>0</v>
      </c>
      <c r="G121" s="278">
        <f>'Monthly Data'!BL121</f>
        <v>288.57499999999993</v>
      </c>
      <c r="H121" s="278">
        <f>'Monthly Data'!BG121</f>
        <v>0</v>
      </c>
      <c r="I121" s="278">
        <f>'Monthly Data'!CC121</f>
        <v>120</v>
      </c>
      <c r="J121" s="278">
        <f>'Monthly Data'!CD121</f>
        <v>31</v>
      </c>
      <c r="K121" s="278">
        <f>'Monthly Data'!CG121</f>
        <v>0</v>
      </c>
      <c r="L121" s="278">
        <f>'Monthly Data'!CB121</f>
        <v>0</v>
      </c>
      <c r="M121" s="278">
        <f>'Monthly Data'!AX121</f>
        <v>4319.8519999999553</v>
      </c>
      <c r="O121" s="18"/>
      <c r="P121" s="18">
        <f ca="1">(E121-G121)*'Large Use Predicted Monthly'!$Z$11</f>
        <v>-8323.4610911833279</v>
      </c>
      <c r="Q121" s="18">
        <f ca="1">(F121-H121)*'Large Use Predicted Monthly'!$Z$12</f>
        <v>0</v>
      </c>
      <c r="R121" s="18"/>
      <c r="S121" s="18"/>
      <c r="T121" s="18"/>
      <c r="U121" s="18"/>
      <c r="V121" s="18"/>
      <c r="W121" s="18">
        <f t="shared" ca="1" si="13"/>
        <v>3191945.2383474186</v>
      </c>
      <c r="Y121" s="18"/>
    </row>
    <row r="122" spans="1:25" x14ac:dyDescent="0.25">
      <c r="A122" s="3">
        <v>45658</v>
      </c>
      <c r="B122" s="1">
        <f t="shared" si="9"/>
        <v>2025</v>
      </c>
      <c r="C122" s="1">
        <f t="shared" si="10"/>
        <v>1</v>
      </c>
      <c r="D122" s="268"/>
      <c r="E122" s="278">
        <f t="shared" ca="1" si="14"/>
        <v>387.33418478260865</v>
      </c>
      <c r="F122" s="278">
        <f t="shared" ca="1" si="14"/>
        <v>0</v>
      </c>
      <c r="G122" s="278"/>
      <c r="H122" s="278"/>
      <c r="I122" s="278">
        <f>I121+1</f>
        <v>121</v>
      </c>
      <c r="J122" s="278">
        <f>J74</f>
        <v>31</v>
      </c>
      <c r="K122" s="278"/>
      <c r="L122" s="278">
        <f>L110</f>
        <v>0</v>
      </c>
      <c r="M122" s="278">
        <f>Economic!S121</f>
        <v>4319.8519999999553</v>
      </c>
      <c r="O122" s="18">
        <f>'Large Use Predicted Monthly'!$Z$10</f>
        <v>877619.90234118199</v>
      </c>
      <c r="P122" s="18">
        <f ca="1">E122*'Large Use Predicted Monthly'!$Z$11</f>
        <v>164031.6076914196</v>
      </c>
      <c r="Q122" s="18">
        <f ca="1">F122*'Large Use Predicted Monthly'!$Z$12</f>
        <v>0</v>
      </c>
      <c r="R122" s="18">
        <f>I122*'Large Use Predicted Monthly'!$Z$13</f>
        <v>0</v>
      </c>
      <c r="S122" s="18">
        <f>J122*'Large Use Predicted Monthly'!$Z$14</f>
        <v>2169588.3068179414</v>
      </c>
      <c r="T122" s="18">
        <f>K122*'Large Use Predicted Monthly'!$Z$15</f>
        <v>0</v>
      </c>
      <c r="U122" s="18">
        <f>L122*'Large Use Predicted Monthly'!$Z$16</f>
        <v>0</v>
      </c>
      <c r="V122" s="18">
        <f>M122*'Large Use Predicted Monthly'!$Z$17</f>
        <v>8965.1736674115346</v>
      </c>
      <c r="W122" s="18">
        <f t="shared" ref="W122:W130" ca="1" si="15">SUM(O122:V122)</f>
        <v>3220204.9905179543</v>
      </c>
      <c r="Y122" s="18"/>
    </row>
    <row r="123" spans="1:25" x14ac:dyDescent="0.25">
      <c r="A123" s="3">
        <v>45689</v>
      </c>
      <c r="B123" s="1">
        <f t="shared" si="9"/>
        <v>2025</v>
      </c>
      <c r="C123" s="1">
        <f t="shared" si="10"/>
        <v>2</v>
      </c>
      <c r="D123" s="268"/>
      <c r="E123" s="278">
        <f t="shared" ca="1" si="14"/>
        <v>341.39751811594203</v>
      </c>
      <c r="F123" s="278">
        <f t="shared" ca="1" si="14"/>
        <v>0</v>
      </c>
      <c r="G123" s="278"/>
      <c r="H123" s="278"/>
      <c r="I123" s="278">
        <f t="shared" ref="I123:I145" si="16">I122+1</f>
        <v>122</v>
      </c>
      <c r="J123" s="278">
        <f t="shared" ref="J123:J145" si="17">J75</f>
        <v>28</v>
      </c>
      <c r="K123" s="278"/>
      <c r="L123" s="278">
        <f t="shared" ref="L123:L145" si="18">L111</f>
        <v>0</v>
      </c>
      <c r="M123" s="278">
        <f>Economic!S122</f>
        <v>4319.8519999999553</v>
      </c>
      <c r="O123" s="18">
        <f>'Large Use Predicted Monthly'!$Z$10</f>
        <v>877619.90234118199</v>
      </c>
      <c r="P123" s="18">
        <f ca="1">E123*'Large Use Predicted Monthly'!$Z$11</f>
        <v>144577.95350505537</v>
      </c>
      <c r="Q123" s="18">
        <f ca="1">F123*'Large Use Predicted Monthly'!$Z$12</f>
        <v>0</v>
      </c>
      <c r="R123" s="18">
        <f>I123*'Large Use Predicted Monthly'!$Z$13</f>
        <v>0</v>
      </c>
      <c r="S123" s="18">
        <f>J123*'Large Use Predicted Monthly'!$Z$14</f>
        <v>1959628.1480936245</v>
      </c>
      <c r="T123" s="18">
        <f>K123*'Large Use Predicted Monthly'!$Z$15</f>
        <v>0</v>
      </c>
      <c r="U123" s="18">
        <f>L123*'Large Use Predicted Monthly'!$Z$16</f>
        <v>0</v>
      </c>
      <c r="V123" s="18">
        <f>M123*'Large Use Predicted Monthly'!$Z$17</f>
        <v>8965.1736674115346</v>
      </c>
      <c r="W123" s="18">
        <f t="shared" ca="1" si="15"/>
        <v>2990791.1776072732</v>
      </c>
      <c r="Y123" s="18"/>
    </row>
    <row r="124" spans="1:25" x14ac:dyDescent="0.25">
      <c r="A124" s="3">
        <v>45717</v>
      </c>
      <c r="B124" s="1">
        <f t="shared" si="9"/>
        <v>2025</v>
      </c>
      <c r="C124" s="1">
        <f t="shared" si="10"/>
        <v>3</v>
      </c>
      <c r="D124" s="268"/>
      <c r="E124" s="278">
        <f t="shared" ca="1" si="14"/>
        <v>238.57840579710145</v>
      </c>
      <c r="F124" s="278">
        <f t="shared" ca="1" si="14"/>
        <v>0</v>
      </c>
      <c r="G124" s="278"/>
      <c r="H124" s="278"/>
      <c r="I124" s="278">
        <f t="shared" si="16"/>
        <v>123</v>
      </c>
      <c r="J124" s="278">
        <f t="shared" si="17"/>
        <v>31</v>
      </c>
      <c r="K124" s="278"/>
      <c r="L124" s="278">
        <f t="shared" si="18"/>
        <v>1</v>
      </c>
      <c r="M124" s="278">
        <f>Economic!S123</f>
        <v>4319.8519999999553</v>
      </c>
      <c r="O124" s="18">
        <f>'Large Use Predicted Monthly'!$Z$10</f>
        <v>877619.90234118199</v>
      </c>
      <c r="P124" s="18">
        <f ca="1">E124*'Large Use Predicted Monthly'!$Z$11</f>
        <v>101035.23262559084</v>
      </c>
      <c r="Q124" s="18">
        <f ca="1">F124*'Large Use Predicted Monthly'!$Z$12</f>
        <v>0</v>
      </c>
      <c r="R124" s="18">
        <f>I124*'Large Use Predicted Monthly'!$Z$13</f>
        <v>0</v>
      </c>
      <c r="S124" s="18">
        <f>J124*'Large Use Predicted Monthly'!$Z$14</f>
        <v>2169588.3068179414</v>
      </c>
      <c r="T124" s="18">
        <f>K124*'Large Use Predicted Monthly'!$Z$15</f>
        <v>0</v>
      </c>
      <c r="U124" s="18">
        <f>L124*'Large Use Predicted Monthly'!$Z$16</f>
        <v>177799.47475552099</v>
      </c>
      <c r="V124" s="18">
        <f>M124*'Large Use Predicted Monthly'!$Z$17</f>
        <v>8965.1736674115346</v>
      </c>
      <c r="W124" s="18">
        <f t="shared" ca="1" si="15"/>
        <v>3335008.0902076466</v>
      </c>
      <c r="Y124" s="18"/>
    </row>
    <row r="125" spans="1:25" x14ac:dyDescent="0.25">
      <c r="A125" s="3">
        <v>45748</v>
      </c>
      <c r="B125" s="1">
        <f t="shared" si="9"/>
        <v>2025</v>
      </c>
      <c r="C125" s="1">
        <f t="shared" si="10"/>
        <v>4</v>
      </c>
      <c r="D125" s="268"/>
      <c r="E125" s="278">
        <f t="shared" ca="1" si="14"/>
        <v>79.984412878787879</v>
      </c>
      <c r="F125" s="278">
        <f t="shared" ca="1" si="14"/>
        <v>2.1908333333333347</v>
      </c>
      <c r="G125" s="278"/>
      <c r="H125" s="278"/>
      <c r="I125" s="278">
        <f t="shared" si="16"/>
        <v>124</v>
      </c>
      <c r="J125" s="278">
        <f t="shared" si="17"/>
        <v>30</v>
      </c>
      <c r="K125" s="278"/>
      <c r="L125" s="278">
        <f t="shared" si="18"/>
        <v>1</v>
      </c>
      <c r="M125" s="278">
        <f>Economic!S124</f>
        <v>86.765999999945052</v>
      </c>
      <c r="O125" s="18">
        <f>'Large Use Predicted Monthly'!$Z$10</f>
        <v>877619.90234118199</v>
      </c>
      <c r="P125" s="18">
        <f ca="1">E125*'Large Use Predicted Monthly'!$Z$11</f>
        <v>33872.4862152961</v>
      </c>
      <c r="Q125" s="18">
        <f ca="1">F125*'Large Use Predicted Monthly'!$Z$12</f>
        <v>3957.1480571265488</v>
      </c>
      <c r="R125" s="18">
        <f>I125*'Large Use Predicted Monthly'!$Z$13</f>
        <v>0</v>
      </c>
      <c r="S125" s="18">
        <f>J125*'Large Use Predicted Monthly'!$Z$14</f>
        <v>2099601.5872431691</v>
      </c>
      <c r="T125" s="18">
        <f>K125*'Large Use Predicted Monthly'!$Z$15</f>
        <v>0</v>
      </c>
      <c r="U125" s="18">
        <f>L125*'Large Use Predicted Monthly'!$Z$16</f>
        <v>177799.47475552099</v>
      </c>
      <c r="V125" s="18">
        <f>M125*'Large Use Predicted Monthly'!$Z$17</f>
        <v>180.069191820957</v>
      </c>
      <c r="W125" s="18">
        <f t="shared" ca="1" si="15"/>
        <v>3193030.6678041155</v>
      </c>
    </row>
    <row r="126" spans="1:25" x14ac:dyDescent="0.25">
      <c r="A126" s="3">
        <v>45778</v>
      </c>
      <c r="B126" s="1">
        <f t="shared" si="9"/>
        <v>2025</v>
      </c>
      <c r="C126" s="1">
        <f t="shared" si="10"/>
        <v>5</v>
      </c>
      <c r="D126" s="268"/>
      <c r="E126" s="278">
        <f t="shared" ca="1" si="14"/>
        <v>7.2018333333333331</v>
      </c>
      <c r="F126" s="278">
        <f t="shared" ca="1" si="14"/>
        <v>52.487435064935063</v>
      </c>
      <c r="G126" s="278"/>
      <c r="H126" s="278"/>
      <c r="I126" s="278">
        <f t="shared" si="16"/>
        <v>125</v>
      </c>
      <c r="J126" s="278">
        <f t="shared" si="17"/>
        <v>31</v>
      </c>
      <c r="K126" s="278"/>
      <c r="L126" s="278">
        <f t="shared" si="18"/>
        <v>1</v>
      </c>
      <c r="M126" s="278">
        <f>Economic!S125</f>
        <v>86.765999999945052</v>
      </c>
      <c r="O126" s="18">
        <f>'Large Use Predicted Monthly'!$Z$10</f>
        <v>877619.90234118199</v>
      </c>
      <c r="P126" s="18">
        <f ca="1">E126*'Large Use Predicted Monthly'!$Z$11</f>
        <v>3049.8942422428909</v>
      </c>
      <c r="Q126" s="18">
        <f ca="1">F126*'Large Use Predicted Monthly'!$Z$12</f>
        <v>94804.359843634942</v>
      </c>
      <c r="R126" s="18">
        <f>I126*'Large Use Predicted Monthly'!$Z$13</f>
        <v>0</v>
      </c>
      <c r="S126" s="18">
        <f>J126*'Large Use Predicted Monthly'!$Z$14</f>
        <v>2169588.3068179414</v>
      </c>
      <c r="T126" s="18">
        <f>K126*'Large Use Predicted Monthly'!$Z$15</f>
        <v>0</v>
      </c>
      <c r="U126" s="18">
        <f>L126*'Large Use Predicted Monthly'!$Z$16</f>
        <v>177799.47475552099</v>
      </c>
      <c r="V126" s="18">
        <f>M126*'Large Use Predicted Monthly'!$Z$17</f>
        <v>180.069191820957</v>
      </c>
      <c r="W126" s="18">
        <f t="shared" ca="1" si="15"/>
        <v>3323042.007192343</v>
      </c>
    </row>
    <row r="127" spans="1:25" x14ac:dyDescent="0.25">
      <c r="A127" s="3">
        <v>45809</v>
      </c>
      <c r="B127" s="1">
        <f t="shared" si="9"/>
        <v>2025</v>
      </c>
      <c r="C127" s="1">
        <f t="shared" si="10"/>
        <v>6</v>
      </c>
      <c r="D127" s="268"/>
      <c r="E127" s="278">
        <f t="shared" ca="1" si="14"/>
        <v>0</v>
      </c>
      <c r="F127" s="278">
        <f t="shared" ca="1" si="14"/>
        <v>137.65451754405018</v>
      </c>
      <c r="G127" s="278"/>
      <c r="H127" s="278"/>
      <c r="I127" s="278">
        <f t="shared" si="16"/>
        <v>126</v>
      </c>
      <c r="J127" s="278">
        <f t="shared" si="17"/>
        <v>30</v>
      </c>
      <c r="K127" s="278"/>
      <c r="L127" s="278">
        <f t="shared" si="18"/>
        <v>0</v>
      </c>
      <c r="M127" s="278">
        <f>Economic!S126</f>
        <v>86.765999999945052</v>
      </c>
      <c r="O127" s="18">
        <f>'Large Use Predicted Monthly'!$Z$10</f>
        <v>877619.90234118199</v>
      </c>
      <c r="P127" s="18">
        <f ca="1">E127*'Large Use Predicted Monthly'!$Z$11</f>
        <v>0</v>
      </c>
      <c r="Q127" s="18">
        <f ca="1">F127*'Large Use Predicted Monthly'!$Z$12</f>
        <v>248635.66678773539</v>
      </c>
      <c r="R127" s="18">
        <f>I127*'Large Use Predicted Monthly'!$Z$13</f>
        <v>0</v>
      </c>
      <c r="S127" s="18">
        <f>J127*'Large Use Predicted Monthly'!$Z$14</f>
        <v>2099601.5872431691</v>
      </c>
      <c r="T127" s="18">
        <f>K127*'Large Use Predicted Monthly'!$Z$15</f>
        <v>0</v>
      </c>
      <c r="U127" s="18">
        <f>L127*'Large Use Predicted Monthly'!$Z$16</f>
        <v>0</v>
      </c>
      <c r="V127" s="18">
        <f>M127*'Large Use Predicted Monthly'!$Z$17</f>
        <v>180.069191820957</v>
      </c>
      <c r="W127" s="18">
        <f t="shared" ca="1" si="15"/>
        <v>3226037.2255639071</v>
      </c>
    </row>
    <row r="128" spans="1:25" x14ac:dyDescent="0.25">
      <c r="A128" s="3">
        <v>45839</v>
      </c>
      <c r="B128" s="1">
        <f t="shared" si="9"/>
        <v>2025</v>
      </c>
      <c r="C128" s="1">
        <f t="shared" si="10"/>
        <v>7</v>
      </c>
      <c r="D128" s="268"/>
      <c r="E128" s="278">
        <f t="shared" ca="1" si="14"/>
        <v>0</v>
      </c>
      <c r="F128" s="278">
        <f t="shared" ca="1" si="14"/>
        <v>235.94737858727848</v>
      </c>
      <c r="G128" s="278"/>
      <c r="H128" s="278"/>
      <c r="I128" s="278">
        <f t="shared" si="16"/>
        <v>127</v>
      </c>
      <c r="J128" s="278">
        <f t="shared" si="17"/>
        <v>31</v>
      </c>
      <c r="K128" s="278"/>
      <c r="L128" s="278">
        <f t="shared" si="18"/>
        <v>0</v>
      </c>
      <c r="M128" s="278">
        <f>Economic!S127</f>
        <v>2757.5970000000671</v>
      </c>
      <c r="O128" s="18">
        <f>'Large Use Predicted Monthly'!$Z$10</f>
        <v>877619.90234118199</v>
      </c>
      <c r="P128" s="18">
        <f ca="1">E128*'Large Use Predicted Monthly'!$Z$11</f>
        <v>0</v>
      </c>
      <c r="Q128" s="18">
        <f ca="1">F128*'Large Use Predicted Monthly'!$Z$12</f>
        <v>426175.14374777518</v>
      </c>
      <c r="R128" s="18">
        <f>I128*'Large Use Predicted Monthly'!$Z$13</f>
        <v>0</v>
      </c>
      <c r="S128" s="18">
        <f>J128*'Large Use Predicted Monthly'!$Z$14</f>
        <v>2169588.3068179414</v>
      </c>
      <c r="T128" s="18">
        <f>K128*'Large Use Predicted Monthly'!$Z$15</f>
        <v>0</v>
      </c>
      <c r="U128" s="18">
        <f>L128*'Large Use Predicted Monthly'!$Z$16</f>
        <v>0</v>
      </c>
      <c r="V128" s="18">
        <f>M128*'Large Use Predicted Monthly'!$Z$17</f>
        <v>5722.9590295533053</v>
      </c>
      <c r="W128" s="18">
        <f t="shared" ca="1" si="15"/>
        <v>3479106.3119364521</v>
      </c>
    </row>
    <row r="129" spans="1:23" x14ac:dyDescent="0.25">
      <c r="A129" s="3">
        <v>45870</v>
      </c>
      <c r="B129" s="1">
        <f t="shared" si="9"/>
        <v>2025</v>
      </c>
      <c r="C129" s="1">
        <f t="shared" si="10"/>
        <v>8</v>
      </c>
      <c r="D129" s="268"/>
      <c r="E129" s="278">
        <f t="shared" ca="1" si="14"/>
        <v>0</v>
      </c>
      <c r="F129" s="278">
        <f t="shared" ca="1" si="14"/>
        <v>210.96558794466404</v>
      </c>
      <c r="G129" s="278"/>
      <c r="H129" s="278"/>
      <c r="I129" s="278">
        <f t="shared" si="16"/>
        <v>128</v>
      </c>
      <c r="J129" s="278">
        <f t="shared" si="17"/>
        <v>31</v>
      </c>
      <c r="K129" s="278"/>
      <c r="L129" s="278">
        <f t="shared" si="18"/>
        <v>0</v>
      </c>
      <c r="M129" s="278">
        <f>Economic!S128</f>
        <v>2757.5970000000671</v>
      </c>
      <c r="O129" s="18">
        <f>'Large Use Predicted Monthly'!$Z$10</f>
        <v>877619.90234118199</v>
      </c>
      <c r="P129" s="18">
        <f ca="1">E129*'Large Use Predicted Monthly'!$Z$11</f>
        <v>0</v>
      </c>
      <c r="Q129" s="18">
        <f ca="1">F129*'Large Use Predicted Monthly'!$Z$12</f>
        <v>381052.29355151928</v>
      </c>
      <c r="R129" s="18">
        <f>I129*'Large Use Predicted Monthly'!$Z$13</f>
        <v>0</v>
      </c>
      <c r="S129" s="18">
        <f>J129*'Large Use Predicted Monthly'!$Z$14</f>
        <v>2169588.3068179414</v>
      </c>
      <c r="T129" s="18">
        <f>K129*'Large Use Predicted Monthly'!$Z$15</f>
        <v>0</v>
      </c>
      <c r="U129" s="18">
        <f>L129*'Large Use Predicted Monthly'!$Z$16</f>
        <v>0</v>
      </c>
      <c r="V129" s="18">
        <f>M129*'Large Use Predicted Monthly'!$Z$17</f>
        <v>5722.9590295533053</v>
      </c>
      <c r="W129" s="18">
        <f t="shared" ca="1" si="15"/>
        <v>3433983.4617401962</v>
      </c>
    </row>
    <row r="130" spans="1:23" x14ac:dyDescent="0.25">
      <c r="A130" s="3">
        <v>45901</v>
      </c>
      <c r="B130" s="1">
        <f t="shared" ref="B130:B145" si="19">YEAR(A130)</f>
        <v>2025</v>
      </c>
      <c r="C130" s="1">
        <f t="shared" ref="C130:C145" si="20">MONTH(A130)</f>
        <v>9</v>
      </c>
      <c r="D130" s="268"/>
      <c r="E130" s="278">
        <f t="shared" ca="1" si="14"/>
        <v>0</v>
      </c>
      <c r="F130" s="278">
        <f t="shared" ca="1" si="14"/>
        <v>106.4160119047619</v>
      </c>
      <c r="G130" s="278"/>
      <c r="H130" s="278"/>
      <c r="I130" s="278">
        <f t="shared" si="16"/>
        <v>129</v>
      </c>
      <c r="J130" s="278">
        <f t="shared" si="17"/>
        <v>30</v>
      </c>
      <c r="K130" s="278"/>
      <c r="L130" s="278">
        <f t="shared" si="18"/>
        <v>1</v>
      </c>
      <c r="M130" s="278">
        <f>Economic!S129</f>
        <v>2757.5970000000671</v>
      </c>
      <c r="O130" s="18">
        <f>'Large Use Predicted Monthly'!$Z$10</f>
        <v>877619.90234118199</v>
      </c>
      <c r="P130" s="18">
        <f ca="1">E130*'Large Use Predicted Monthly'!$Z$11</f>
        <v>0</v>
      </c>
      <c r="Q130" s="18">
        <f ca="1">F130*'Large Use Predicted Monthly'!$Z$12</f>
        <v>192211.75264636773</v>
      </c>
      <c r="R130" s="18">
        <f>I130*'Large Use Predicted Monthly'!$Z$13</f>
        <v>0</v>
      </c>
      <c r="S130" s="18">
        <f>J130*'Large Use Predicted Monthly'!$Z$14</f>
        <v>2099601.5872431691</v>
      </c>
      <c r="T130" s="18">
        <f>K130*'Large Use Predicted Monthly'!$Z$15</f>
        <v>0</v>
      </c>
      <c r="U130" s="18">
        <f>L130*'Large Use Predicted Monthly'!$Z$16</f>
        <v>177799.47475552099</v>
      </c>
      <c r="V130" s="18">
        <f>M130*'Large Use Predicted Monthly'!$Z$17</f>
        <v>5722.9590295533053</v>
      </c>
      <c r="W130" s="18">
        <f t="shared" ca="1" si="15"/>
        <v>3352955.6760157933</v>
      </c>
    </row>
    <row r="131" spans="1:23" x14ac:dyDescent="0.25">
      <c r="A131" s="3">
        <v>45931</v>
      </c>
      <c r="B131" s="1">
        <f t="shared" si="19"/>
        <v>2025</v>
      </c>
      <c r="C131" s="1">
        <f t="shared" si="20"/>
        <v>10</v>
      </c>
      <c r="D131" s="268"/>
      <c r="E131" s="278">
        <f t="shared" ca="1" si="14"/>
        <v>24.76139492753623</v>
      </c>
      <c r="F131" s="278">
        <f t="shared" ca="1" si="14"/>
        <v>17.987083333333334</v>
      </c>
      <c r="G131" s="278"/>
      <c r="H131" s="278"/>
      <c r="I131" s="278">
        <f t="shared" si="16"/>
        <v>130</v>
      </c>
      <c r="J131" s="278">
        <f t="shared" si="17"/>
        <v>31</v>
      </c>
      <c r="K131" s="278"/>
      <c r="L131" s="278">
        <f t="shared" si="18"/>
        <v>1</v>
      </c>
      <c r="M131" s="278">
        <f>Economic!S130</f>
        <v>736.56999999994878</v>
      </c>
      <c r="O131" s="18">
        <f>'Large Use Predicted Monthly'!$Z$10</f>
        <v>877619.90234118199</v>
      </c>
      <c r="P131" s="18">
        <f ca="1">E131*'Large Use Predicted Monthly'!$Z$11</f>
        <v>10486.168219119447</v>
      </c>
      <c r="Q131" s="18">
        <f ca="1">F131*'Large Use Predicted Monthly'!$Z$12</f>
        <v>32488.802677462132</v>
      </c>
      <c r="R131" s="18">
        <f>I131*'Large Use Predicted Monthly'!$Z$13</f>
        <v>0</v>
      </c>
      <c r="S131" s="18">
        <f>J131*'Large Use Predicted Monthly'!$Z$14</f>
        <v>2169588.3068179414</v>
      </c>
      <c r="T131" s="18">
        <f>K131*'Large Use Predicted Monthly'!$Z$15</f>
        <v>0</v>
      </c>
      <c r="U131" s="18">
        <f>L131*'Large Use Predicted Monthly'!$Z$16</f>
        <v>177799.47475552099</v>
      </c>
      <c r="V131" s="18">
        <f>M131*'Large Use Predicted Monthly'!$Z$17</f>
        <v>1528.6352329211566</v>
      </c>
      <c r="W131" s="18">
        <f t="shared" ref="W131:W145" ca="1" si="21">SUM(O131:V131)</f>
        <v>3269511.2900441471</v>
      </c>
    </row>
    <row r="132" spans="1:23" x14ac:dyDescent="0.25">
      <c r="A132" s="3">
        <v>45962</v>
      </c>
      <c r="B132" s="1">
        <f t="shared" si="19"/>
        <v>2025</v>
      </c>
      <c r="C132" s="1">
        <f t="shared" si="20"/>
        <v>11</v>
      </c>
      <c r="D132" s="268"/>
      <c r="E132" s="278">
        <f t="shared" ca="1" si="14"/>
        <v>140.02366389045739</v>
      </c>
      <c r="F132" s="278">
        <f t="shared" ca="1" si="14"/>
        <v>0.8083333333333329</v>
      </c>
      <c r="G132" s="278"/>
      <c r="H132" s="278"/>
      <c r="I132" s="278">
        <f t="shared" si="16"/>
        <v>131</v>
      </c>
      <c r="J132" s="278">
        <f t="shared" si="17"/>
        <v>30</v>
      </c>
      <c r="K132" s="278"/>
      <c r="L132" s="278">
        <f t="shared" si="18"/>
        <v>1</v>
      </c>
      <c r="M132" s="278">
        <f>Economic!S131</f>
        <v>736.56999999994878</v>
      </c>
      <c r="O132" s="18">
        <f>'Large Use Predicted Monthly'!$Z$10</f>
        <v>877619.90234118199</v>
      </c>
      <c r="P132" s="18">
        <f ca="1">E132*'Large Use Predicted Monthly'!$Z$11</f>
        <v>59298.423958333726</v>
      </c>
      <c r="Q132" s="18">
        <f ca="1">F132*'Large Use Predicted Monthly'!$Z$12</f>
        <v>1460.0356087534226</v>
      </c>
      <c r="R132" s="18">
        <f>I132*'Large Use Predicted Monthly'!$Z$13</f>
        <v>0</v>
      </c>
      <c r="S132" s="18">
        <f>J132*'Large Use Predicted Monthly'!$Z$14</f>
        <v>2099601.5872431691</v>
      </c>
      <c r="T132" s="18">
        <f>K132*'Large Use Predicted Monthly'!$Z$15</f>
        <v>0</v>
      </c>
      <c r="U132" s="18">
        <f>L132*'Large Use Predicted Monthly'!$Z$16</f>
        <v>177799.47475552099</v>
      </c>
      <c r="V132" s="18">
        <f>M132*'Large Use Predicted Monthly'!$Z$17</f>
        <v>1528.6352329211566</v>
      </c>
      <c r="W132" s="18">
        <f t="shared" ca="1" si="21"/>
        <v>3217308.0591398804</v>
      </c>
    </row>
    <row r="133" spans="1:23" x14ac:dyDescent="0.25">
      <c r="A133" s="3">
        <v>45992</v>
      </c>
      <c r="B133" s="1">
        <f t="shared" si="19"/>
        <v>2025</v>
      </c>
      <c r="C133" s="1">
        <f t="shared" si="20"/>
        <v>12</v>
      </c>
      <c r="D133" s="268"/>
      <c r="E133" s="278">
        <f t="shared" ca="1" si="14"/>
        <v>268.92048913043476</v>
      </c>
      <c r="F133" s="278">
        <f t="shared" ca="1" si="14"/>
        <v>0</v>
      </c>
      <c r="G133" s="278"/>
      <c r="H133" s="278"/>
      <c r="I133" s="278">
        <f t="shared" si="16"/>
        <v>132</v>
      </c>
      <c r="J133" s="278">
        <f t="shared" si="17"/>
        <v>31</v>
      </c>
      <c r="K133" s="278"/>
      <c r="L133" s="278">
        <f t="shared" si="18"/>
        <v>0</v>
      </c>
      <c r="M133" s="278">
        <f>Economic!S132</f>
        <v>736.56999999994878</v>
      </c>
      <c r="O133" s="18">
        <f>'Large Use Predicted Monthly'!$Z$10</f>
        <v>877619.90234118199</v>
      </c>
      <c r="P133" s="18">
        <f ca="1">E133*'Large Use Predicted Monthly'!$Z$11</f>
        <v>113884.75870774408</v>
      </c>
      <c r="Q133" s="18">
        <f ca="1">F133*'Large Use Predicted Monthly'!$Z$12</f>
        <v>0</v>
      </c>
      <c r="R133" s="18">
        <f>I133*'Large Use Predicted Monthly'!$Z$13</f>
        <v>0</v>
      </c>
      <c r="S133" s="18">
        <f>J133*'Large Use Predicted Monthly'!$Z$14</f>
        <v>2169588.3068179414</v>
      </c>
      <c r="T133" s="18">
        <f>K133*'Large Use Predicted Monthly'!$Z$15</f>
        <v>0</v>
      </c>
      <c r="U133" s="18">
        <f>L133*'Large Use Predicted Monthly'!$Z$16</f>
        <v>0</v>
      </c>
      <c r="V133" s="18">
        <f>M133*'Large Use Predicted Monthly'!$Z$17</f>
        <v>1528.6352329211566</v>
      </c>
      <c r="W133" s="18">
        <f t="shared" ca="1" si="21"/>
        <v>3162621.6030997885</v>
      </c>
    </row>
    <row r="134" spans="1:23" x14ac:dyDescent="0.25">
      <c r="A134" s="3">
        <v>46023</v>
      </c>
      <c r="B134" s="1">
        <f t="shared" si="19"/>
        <v>2026</v>
      </c>
      <c r="C134" s="1">
        <f t="shared" si="20"/>
        <v>1</v>
      </c>
      <c r="D134" s="268"/>
      <c r="E134" s="278">
        <f t="shared" ref="E134:F145" ca="1" si="22">E122</f>
        <v>387.33418478260865</v>
      </c>
      <c r="F134" s="278">
        <f t="shared" ca="1" si="22"/>
        <v>0</v>
      </c>
      <c r="G134" s="278"/>
      <c r="H134" s="278"/>
      <c r="I134" s="278">
        <f t="shared" si="16"/>
        <v>133</v>
      </c>
      <c r="J134" s="278">
        <f t="shared" si="17"/>
        <v>31</v>
      </c>
      <c r="K134" s="278"/>
      <c r="L134" s="278">
        <f t="shared" si="18"/>
        <v>0</v>
      </c>
      <c r="M134" s="278">
        <f>Economic!S133</f>
        <v>4358.7306679999456</v>
      </c>
      <c r="O134" s="18">
        <f>'Large Use Predicted Monthly'!$Z$10</f>
        <v>877619.90234118199</v>
      </c>
      <c r="P134" s="18">
        <f ca="1">E134*'Large Use Predicted Monthly'!$Z$11</f>
        <v>164031.6076914196</v>
      </c>
      <c r="Q134" s="18">
        <f ca="1">F134*'Large Use Predicted Monthly'!$Z$12</f>
        <v>0</v>
      </c>
      <c r="R134" s="18">
        <f>I134*'Large Use Predicted Monthly'!$Z$13</f>
        <v>0</v>
      </c>
      <c r="S134" s="18">
        <f>J134*'Large Use Predicted Monthly'!$Z$14</f>
        <v>2169588.3068179414</v>
      </c>
      <c r="T134" s="18">
        <f>K134*'Large Use Predicted Monthly'!$Z$15</f>
        <v>0</v>
      </c>
      <c r="U134" s="18">
        <f>L134*'Large Use Predicted Monthly'!$Z$16</f>
        <v>0</v>
      </c>
      <c r="V134" s="18">
        <f>M134*'Large Use Predicted Monthly'!$Z$17</f>
        <v>9045.8602304182205</v>
      </c>
      <c r="W134" s="18">
        <f t="shared" ca="1" si="21"/>
        <v>3220285.6770809614</v>
      </c>
    </row>
    <row r="135" spans="1:23" x14ac:dyDescent="0.25">
      <c r="A135" s="3">
        <v>46054</v>
      </c>
      <c r="B135" s="1">
        <f t="shared" si="19"/>
        <v>2026</v>
      </c>
      <c r="C135" s="1">
        <f t="shared" si="20"/>
        <v>2</v>
      </c>
      <c r="D135" s="268"/>
      <c r="E135" s="278">
        <f t="shared" ca="1" si="22"/>
        <v>341.39751811594203</v>
      </c>
      <c r="F135" s="278">
        <f t="shared" ca="1" si="22"/>
        <v>0</v>
      </c>
      <c r="G135" s="278"/>
      <c r="H135" s="278"/>
      <c r="I135" s="278">
        <f t="shared" si="16"/>
        <v>134</v>
      </c>
      <c r="J135" s="278">
        <f t="shared" si="17"/>
        <v>28</v>
      </c>
      <c r="K135" s="278"/>
      <c r="L135" s="278">
        <f t="shared" si="18"/>
        <v>0</v>
      </c>
      <c r="M135" s="278">
        <f>Economic!S134</f>
        <v>4358.7306679999456</v>
      </c>
      <c r="O135" s="18">
        <f>'Large Use Predicted Monthly'!$Z$10</f>
        <v>877619.90234118199</v>
      </c>
      <c r="P135" s="18">
        <f ca="1">E135*'Large Use Predicted Monthly'!$Z$11</f>
        <v>144577.95350505537</v>
      </c>
      <c r="Q135" s="18">
        <f ca="1">F135*'Large Use Predicted Monthly'!$Z$12</f>
        <v>0</v>
      </c>
      <c r="R135" s="18">
        <f>I135*'Large Use Predicted Monthly'!$Z$13</f>
        <v>0</v>
      </c>
      <c r="S135" s="18">
        <f>J135*'Large Use Predicted Monthly'!$Z$14</f>
        <v>1959628.1480936245</v>
      </c>
      <c r="T135" s="18">
        <f>K135*'Large Use Predicted Monthly'!$Z$15</f>
        <v>0</v>
      </c>
      <c r="U135" s="18">
        <f>L135*'Large Use Predicted Monthly'!$Z$16</f>
        <v>0</v>
      </c>
      <c r="V135" s="18">
        <f>M135*'Large Use Predicted Monthly'!$Z$17</f>
        <v>9045.8602304182205</v>
      </c>
      <c r="W135" s="18">
        <f t="shared" ca="1" si="21"/>
        <v>2990871.8641702803</v>
      </c>
    </row>
    <row r="136" spans="1:23" x14ac:dyDescent="0.25">
      <c r="A136" s="3">
        <v>46082</v>
      </c>
      <c r="B136" s="1">
        <f t="shared" si="19"/>
        <v>2026</v>
      </c>
      <c r="C136" s="1">
        <f t="shared" si="20"/>
        <v>3</v>
      </c>
      <c r="D136" s="268"/>
      <c r="E136" s="278">
        <f t="shared" ca="1" si="22"/>
        <v>238.57840579710145</v>
      </c>
      <c r="F136" s="278">
        <f t="shared" ca="1" si="22"/>
        <v>0</v>
      </c>
      <c r="G136" s="278"/>
      <c r="H136" s="278"/>
      <c r="I136" s="278">
        <f t="shared" si="16"/>
        <v>135</v>
      </c>
      <c r="J136" s="278">
        <f t="shared" si="17"/>
        <v>31</v>
      </c>
      <c r="K136" s="278"/>
      <c r="L136" s="278">
        <f t="shared" si="18"/>
        <v>1</v>
      </c>
      <c r="M136" s="278">
        <f>Economic!S135</f>
        <v>4358.7306679999456</v>
      </c>
      <c r="O136" s="18">
        <f>'Large Use Predicted Monthly'!$Z$10</f>
        <v>877619.90234118199</v>
      </c>
      <c r="P136" s="18">
        <f ca="1">E136*'Large Use Predicted Monthly'!$Z$11</f>
        <v>101035.23262559084</v>
      </c>
      <c r="Q136" s="18">
        <f ca="1">F136*'Large Use Predicted Monthly'!$Z$12</f>
        <v>0</v>
      </c>
      <c r="R136" s="18">
        <f>I136*'Large Use Predicted Monthly'!$Z$13</f>
        <v>0</v>
      </c>
      <c r="S136" s="18">
        <f>J136*'Large Use Predicted Monthly'!$Z$14</f>
        <v>2169588.3068179414</v>
      </c>
      <c r="T136" s="18">
        <f>K136*'Large Use Predicted Monthly'!$Z$15</f>
        <v>0</v>
      </c>
      <c r="U136" s="18">
        <f>L136*'Large Use Predicted Monthly'!$Z$16</f>
        <v>177799.47475552099</v>
      </c>
      <c r="V136" s="18">
        <f>M136*'Large Use Predicted Monthly'!$Z$17</f>
        <v>9045.8602304182205</v>
      </c>
      <c r="W136" s="18">
        <f t="shared" ca="1" si="21"/>
        <v>3335088.7767706537</v>
      </c>
    </row>
    <row r="137" spans="1:23" x14ac:dyDescent="0.25">
      <c r="A137" s="3">
        <v>46113</v>
      </c>
      <c r="B137" s="1">
        <f t="shared" si="19"/>
        <v>2026</v>
      </c>
      <c r="C137" s="1">
        <f t="shared" si="20"/>
        <v>4</v>
      </c>
      <c r="D137" s="268"/>
      <c r="E137" s="278">
        <f t="shared" ca="1" si="22"/>
        <v>79.984412878787879</v>
      </c>
      <c r="F137" s="278">
        <f t="shared" ca="1" si="22"/>
        <v>2.1908333333333347</v>
      </c>
      <c r="G137" s="278"/>
      <c r="H137" s="278"/>
      <c r="I137" s="278">
        <f t="shared" si="16"/>
        <v>136</v>
      </c>
      <c r="J137" s="278">
        <f t="shared" si="17"/>
        <v>30</v>
      </c>
      <c r="K137" s="278"/>
      <c r="L137" s="278">
        <f t="shared" si="18"/>
        <v>1</v>
      </c>
      <c r="M137" s="278">
        <f>Economic!S136</f>
        <v>87.546893999911845</v>
      </c>
      <c r="O137" s="18">
        <f>'Large Use Predicted Monthly'!$Z$10</f>
        <v>877619.90234118199</v>
      </c>
      <c r="P137" s="18">
        <f ca="1">E137*'Large Use Predicted Monthly'!$Z$11</f>
        <v>33872.4862152961</v>
      </c>
      <c r="Q137" s="18">
        <f ca="1">F137*'Large Use Predicted Monthly'!$Z$12</f>
        <v>3957.1480571265488</v>
      </c>
      <c r="R137" s="18">
        <f>I137*'Large Use Predicted Monthly'!$Z$13</f>
        <v>0</v>
      </c>
      <c r="S137" s="18">
        <f>J137*'Large Use Predicted Monthly'!$Z$14</f>
        <v>2099601.5872431691</v>
      </c>
      <c r="T137" s="18">
        <f>K137*'Large Use Predicted Monthly'!$Z$15</f>
        <v>0</v>
      </c>
      <c r="U137" s="18">
        <f>L137*'Large Use Predicted Monthly'!$Z$16</f>
        <v>177799.47475552099</v>
      </c>
      <c r="V137" s="18">
        <f>M137*'Large Use Predicted Monthly'!$Z$17</f>
        <v>181.68981454727771</v>
      </c>
      <c r="W137" s="18">
        <f t="shared" ca="1" si="21"/>
        <v>3193032.2884268416</v>
      </c>
    </row>
    <row r="138" spans="1:23" x14ac:dyDescent="0.25">
      <c r="A138" s="3">
        <v>46143</v>
      </c>
      <c r="B138" s="1">
        <f t="shared" si="19"/>
        <v>2026</v>
      </c>
      <c r="C138" s="1">
        <f t="shared" si="20"/>
        <v>5</v>
      </c>
      <c r="D138" s="268"/>
      <c r="E138" s="278">
        <f t="shared" ca="1" si="22"/>
        <v>7.2018333333333331</v>
      </c>
      <c r="F138" s="278">
        <f t="shared" ca="1" si="22"/>
        <v>52.487435064935063</v>
      </c>
      <c r="G138" s="278"/>
      <c r="H138" s="278"/>
      <c r="I138" s="278">
        <f t="shared" si="16"/>
        <v>137</v>
      </c>
      <c r="J138" s="278">
        <f t="shared" si="17"/>
        <v>31</v>
      </c>
      <c r="K138" s="278"/>
      <c r="L138" s="278">
        <f t="shared" si="18"/>
        <v>1</v>
      </c>
      <c r="M138" s="278">
        <f>Economic!S137</f>
        <v>87.546893999911845</v>
      </c>
      <c r="O138" s="18">
        <f>'Large Use Predicted Monthly'!$Z$10</f>
        <v>877619.90234118199</v>
      </c>
      <c r="P138" s="18">
        <f ca="1">E138*'Large Use Predicted Monthly'!$Z$11</f>
        <v>3049.8942422428909</v>
      </c>
      <c r="Q138" s="18">
        <f ca="1">F138*'Large Use Predicted Monthly'!$Z$12</f>
        <v>94804.359843634942</v>
      </c>
      <c r="R138" s="18">
        <f>I138*'Large Use Predicted Monthly'!$Z$13</f>
        <v>0</v>
      </c>
      <c r="S138" s="18">
        <f>J138*'Large Use Predicted Monthly'!$Z$14</f>
        <v>2169588.3068179414</v>
      </c>
      <c r="T138" s="18">
        <f>K138*'Large Use Predicted Monthly'!$Z$15</f>
        <v>0</v>
      </c>
      <c r="U138" s="18">
        <f>L138*'Large Use Predicted Monthly'!$Z$16</f>
        <v>177799.47475552099</v>
      </c>
      <c r="V138" s="18">
        <f>M138*'Large Use Predicted Monthly'!$Z$17</f>
        <v>181.68981454727771</v>
      </c>
      <c r="W138" s="18">
        <f t="shared" ca="1" si="21"/>
        <v>3323043.6278150692</v>
      </c>
    </row>
    <row r="139" spans="1:23" x14ac:dyDescent="0.25">
      <c r="A139" s="3">
        <v>46174</v>
      </c>
      <c r="B139" s="1">
        <f t="shared" si="19"/>
        <v>2026</v>
      </c>
      <c r="C139" s="1">
        <f t="shared" si="20"/>
        <v>6</v>
      </c>
      <c r="D139" s="268"/>
      <c r="E139" s="278">
        <f t="shared" ca="1" si="22"/>
        <v>0</v>
      </c>
      <c r="F139" s="278">
        <f t="shared" ca="1" si="22"/>
        <v>137.65451754405018</v>
      </c>
      <c r="G139" s="278"/>
      <c r="H139" s="278"/>
      <c r="I139" s="278">
        <f t="shared" si="16"/>
        <v>138</v>
      </c>
      <c r="J139" s="278">
        <f t="shared" si="17"/>
        <v>30</v>
      </c>
      <c r="K139" s="278"/>
      <c r="L139" s="278">
        <f t="shared" si="18"/>
        <v>0</v>
      </c>
      <c r="M139" s="278">
        <f>Economic!S138</f>
        <v>87.546893999911845</v>
      </c>
      <c r="O139" s="18">
        <f>'Large Use Predicted Monthly'!$Z$10</f>
        <v>877619.90234118199</v>
      </c>
      <c r="P139" s="18">
        <f ca="1">E139*'Large Use Predicted Monthly'!$Z$11</f>
        <v>0</v>
      </c>
      <c r="Q139" s="18">
        <f ca="1">F139*'Large Use Predicted Monthly'!$Z$12</f>
        <v>248635.66678773539</v>
      </c>
      <c r="R139" s="18">
        <f>I139*'Large Use Predicted Monthly'!$Z$13</f>
        <v>0</v>
      </c>
      <c r="S139" s="18">
        <f>J139*'Large Use Predicted Monthly'!$Z$14</f>
        <v>2099601.5872431691</v>
      </c>
      <c r="T139" s="18">
        <f>K139*'Large Use Predicted Monthly'!$Z$15</f>
        <v>0</v>
      </c>
      <c r="U139" s="18">
        <f>L139*'Large Use Predicted Monthly'!$Z$16</f>
        <v>0</v>
      </c>
      <c r="V139" s="18">
        <f>M139*'Large Use Predicted Monthly'!$Z$17</f>
        <v>181.68981454727771</v>
      </c>
      <c r="W139" s="18">
        <f t="shared" ca="1" si="21"/>
        <v>3226038.8461866332</v>
      </c>
    </row>
    <row r="140" spans="1:23" x14ac:dyDescent="0.25">
      <c r="A140" s="3">
        <v>46204</v>
      </c>
      <c r="B140" s="1">
        <f t="shared" si="19"/>
        <v>2026</v>
      </c>
      <c r="C140" s="1">
        <f t="shared" si="20"/>
        <v>7</v>
      </c>
      <c r="D140" s="268"/>
      <c r="E140" s="278">
        <f t="shared" ca="1" si="22"/>
        <v>0</v>
      </c>
      <c r="F140" s="278">
        <f t="shared" ca="1" si="22"/>
        <v>235.94737858727848</v>
      </c>
      <c r="G140" s="278"/>
      <c r="H140" s="278"/>
      <c r="I140" s="278">
        <f t="shared" si="16"/>
        <v>139</v>
      </c>
      <c r="J140" s="278">
        <f t="shared" si="17"/>
        <v>31</v>
      </c>
      <c r="K140" s="278"/>
      <c r="L140" s="278">
        <f t="shared" si="18"/>
        <v>0</v>
      </c>
      <c r="M140" s="278">
        <f>Economic!S139</f>
        <v>2782.4153730000835</v>
      </c>
      <c r="O140" s="18">
        <f>'Large Use Predicted Monthly'!$Z$10</f>
        <v>877619.90234118199</v>
      </c>
      <c r="P140" s="18">
        <f ca="1">E140*'Large Use Predicted Monthly'!$Z$11</f>
        <v>0</v>
      </c>
      <c r="Q140" s="18">
        <f ca="1">F140*'Large Use Predicted Monthly'!$Z$12</f>
        <v>426175.14374777518</v>
      </c>
      <c r="R140" s="18">
        <f>I140*'Large Use Predicted Monthly'!$Z$13</f>
        <v>0</v>
      </c>
      <c r="S140" s="18">
        <f>J140*'Large Use Predicted Monthly'!$Z$14</f>
        <v>2169588.3068179414</v>
      </c>
      <c r="T140" s="18">
        <f>K140*'Large Use Predicted Monthly'!$Z$15</f>
        <v>0</v>
      </c>
      <c r="U140" s="18">
        <f>L140*'Large Use Predicted Monthly'!$Z$16</f>
        <v>0</v>
      </c>
      <c r="V140" s="18">
        <f>M140*'Large Use Predicted Monthly'!$Z$17</f>
        <v>5774.4656608193181</v>
      </c>
      <c r="W140" s="18">
        <f t="shared" ca="1" si="21"/>
        <v>3479157.8185677179</v>
      </c>
    </row>
    <row r="141" spans="1:23" x14ac:dyDescent="0.25">
      <c r="A141" s="3">
        <v>46235</v>
      </c>
      <c r="B141" s="1">
        <f t="shared" si="19"/>
        <v>2026</v>
      </c>
      <c r="C141" s="1">
        <f t="shared" si="20"/>
        <v>8</v>
      </c>
      <c r="D141" s="268"/>
      <c r="E141" s="278">
        <f t="shared" ca="1" si="22"/>
        <v>0</v>
      </c>
      <c r="F141" s="278">
        <f t="shared" ca="1" si="22"/>
        <v>210.96558794466404</v>
      </c>
      <c r="G141" s="278"/>
      <c r="H141" s="278"/>
      <c r="I141" s="278">
        <f t="shared" si="16"/>
        <v>140</v>
      </c>
      <c r="J141" s="278">
        <f t="shared" si="17"/>
        <v>31</v>
      </c>
      <c r="K141" s="278"/>
      <c r="L141" s="278">
        <f t="shared" si="18"/>
        <v>0</v>
      </c>
      <c r="M141" s="278">
        <f>Economic!S140</f>
        <v>2782.4153730000835</v>
      </c>
      <c r="O141" s="18">
        <f>'Large Use Predicted Monthly'!$Z$10</f>
        <v>877619.90234118199</v>
      </c>
      <c r="P141" s="18">
        <f ca="1">E141*'Large Use Predicted Monthly'!$Z$11</f>
        <v>0</v>
      </c>
      <c r="Q141" s="18">
        <f ca="1">F141*'Large Use Predicted Monthly'!$Z$12</f>
        <v>381052.29355151928</v>
      </c>
      <c r="R141" s="18">
        <f>I141*'Large Use Predicted Monthly'!$Z$13</f>
        <v>0</v>
      </c>
      <c r="S141" s="18">
        <f>J141*'Large Use Predicted Monthly'!$Z$14</f>
        <v>2169588.3068179414</v>
      </c>
      <c r="T141" s="18">
        <f>K141*'Large Use Predicted Monthly'!$Z$15</f>
        <v>0</v>
      </c>
      <c r="U141" s="18">
        <f>L141*'Large Use Predicted Monthly'!$Z$16</f>
        <v>0</v>
      </c>
      <c r="V141" s="18">
        <f>M141*'Large Use Predicted Monthly'!$Z$17</f>
        <v>5774.4656608193181</v>
      </c>
      <c r="W141" s="18">
        <f t="shared" ca="1" si="21"/>
        <v>3434034.9683714621</v>
      </c>
    </row>
    <row r="142" spans="1:23" x14ac:dyDescent="0.25">
      <c r="A142" s="3">
        <v>46266</v>
      </c>
      <c r="B142" s="1">
        <f t="shared" si="19"/>
        <v>2026</v>
      </c>
      <c r="C142" s="1">
        <f t="shared" si="20"/>
        <v>9</v>
      </c>
      <c r="D142" s="268"/>
      <c r="E142" s="278">
        <f t="shared" ca="1" si="22"/>
        <v>0</v>
      </c>
      <c r="F142" s="278">
        <f t="shared" ca="1" si="22"/>
        <v>106.4160119047619</v>
      </c>
      <c r="G142" s="278"/>
      <c r="H142" s="278"/>
      <c r="I142" s="278">
        <f t="shared" si="16"/>
        <v>141</v>
      </c>
      <c r="J142" s="278">
        <f t="shared" si="17"/>
        <v>30</v>
      </c>
      <c r="K142" s="278"/>
      <c r="L142" s="278">
        <f t="shared" si="18"/>
        <v>1</v>
      </c>
      <c r="M142" s="278">
        <f>Economic!S141</f>
        <v>2782.4153730000835</v>
      </c>
      <c r="O142" s="18">
        <f>'Large Use Predicted Monthly'!$Z$10</f>
        <v>877619.90234118199</v>
      </c>
      <c r="P142" s="18">
        <f ca="1">E142*'Large Use Predicted Monthly'!$Z$11</f>
        <v>0</v>
      </c>
      <c r="Q142" s="18">
        <f ca="1">F142*'Large Use Predicted Monthly'!$Z$12</f>
        <v>192211.75264636773</v>
      </c>
      <c r="R142" s="18">
        <f>I142*'Large Use Predicted Monthly'!$Z$13</f>
        <v>0</v>
      </c>
      <c r="S142" s="18">
        <f>J142*'Large Use Predicted Monthly'!$Z$14</f>
        <v>2099601.5872431691</v>
      </c>
      <c r="T142" s="18">
        <f>K142*'Large Use Predicted Monthly'!$Z$15</f>
        <v>0</v>
      </c>
      <c r="U142" s="18">
        <f>L142*'Large Use Predicted Monthly'!$Z$16</f>
        <v>177799.47475552099</v>
      </c>
      <c r="V142" s="18">
        <f>M142*'Large Use Predicted Monthly'!$Z$17</f>
        <v>5774.4656608193181</v>
      </c>
      <c r="W142" s="18">
        <f t="shared" ca="1" si="21"/>
        <v>3353007.1826470592</v>
      </c>
    </row>
    <row r="143" spans="1:23" x14ac:dyDescent="0.25">
      <c r="A143" s="3">
        <v>46296</v>
      </c>
      <c r="B143" s="1">
        <f t="shared" si="19"/>
        <v>2026</v>
      </c>
      <c r="C143" s="1">
        <f t="shared" si="20"/>
        <v>10</v>
      </c>
      <c r="D143" s="268"/>
      <c r="E143" s="278">
        <f t="shared" ca="1" si="22"/>
        <v>24.76139492753623</v>
      </c>
      <c r="F143" s="278">
        <f t="shared" ca="1" si="22"/>
        <v>17.987083333333334</v>
      </c>
      <c r="G143" s="278"/>
      <c r="H143" s="278"/>
      <c r="I143" s="278">
        <f t="shared" si="16"/>
        <v>142</v>
      </c>
      <c r="J143" s="278">
        <f t="shared" si="17"/>
        <v>31</v>
      </c>
      <c r="K143" s="278"/>
      <c r="L143" s="278">
        <f t="shared" si="18"/>
        <v>1</v>
      </c>
      <c r="M143" s="278">
        <f>Economic!S142</f>
        <v>743.1991299999645</v>
      </c>
      <c r="O143" s="18">
        <f>'Large Use Predicted Monthly'!$Z$10</f>
        <v>877619.90234118199</v>
      </c>
      <c r="P143" s="18">
        <f ca="1">E143*'Large Use Predicted Monthly'!$Z$11</f>
        <v>10486.168219119447</v>
      </c>
      <c r="Q143" s="18">
        <f ca="1">F143*'Large Use Predicted Monthly'!$Z$12</f>
        <v>32488.802677462132</v>
      </c>
      <c r="R143" s="18">
        <f>I143*'Large Use Predicted Monthly'!$Z$13</f>
        <v>0</v>
      </c>
      <c r="S143" s="18">
        <f>J143*'Large Use Predicted Monthly'!$Z$14</f>
        <v>2169588.3068179414</v>
      </c>
      <c r="T143" s="18">
        <f>K143*'Large Use Predicted Monthly'!$Z$15</f>
        <v>0</v>
      </c>
      <c r="U143" s="18">
        <f>L143*'Large Use Predicted Monthly'!$Z$16</f>
        <v>177799.47475552099</v>
      </c>
      <c r="V143" s="18">
        <f>M143*'Large Use Predicted Monthly'!$Z$17</f>
        <v>1542.3929500174804</v>
      </c>
      <c r="W143" s="18">
        <f t="shared" ca="1" si="21"/>
        <v>3269525.0477612433</v>
      </c>
    </row>
    <row r="144" spans="1:23" x14ac:dyDescent="0.25">
      <c r="A144" s="3">
        <v>46327</v>
      </c>
      <c r="B144" s="1">
        <f t="shared" si="19"/>
        <v>2026</v>
      </c>
      <c r="C144" s="1">
        <f t="shared" si="20"/>
        <v>11</v>
      </c>
      <c r="D144" s="268"/>
      <c r="E144" s="278">
        <f t="shared" ca="1" si="22"/>
        <v>140.02366389045739</v>
      </c>
      <c r="F144" s="278">
        <f t="shared" ca="1" si="22"/>
        <v>0.8083333333333329</v>
      </c>
      <c r="G144" s="278"/>
      <c r="H144" s="278"/>
      <c r="I144" s="278">
        <f t="shared" si="16"/>
        <v>143</v>
      </c>
      <c r="J144" s="278">
        <f t="shared" si="17"/>
        <v>30</v>
      </c>
      <c r="K144" s="278"/>
      <c r="L144" s="278">
        <f t="shared" si="18"/>
        <v>1</v>
      </c>
      <c r="M144" s="278">
        <f>Economic!S143</f>
        <v>743.1991299999645</v>
      </c>
      <c r="O144" s="18">
        <f>'Large Use Predicted Monthly'!$Z$10</f>
        <v>877619.90234118199</v>
      </c>
      <c r="P144" s="18">
        <f ca="1">E144*'Large Use Predicted Monthly'!$Z$11</f>
        <v>59298.423958333726</v>
      </c>
      <c r="Q144" s="18">
        <f ca="1">F144*'Large Use Predicted Monthly'!$Z$12</f>
        <v>1460.0356087534226</v>
      </c>
      <c r="R144" s="18">
        <f>I144*'Large Use Predicted Monthly'!$Z$13</f>
        <v>0</v>
      </c>
      <c r="S144" s="18">
        <f>J144*'Large Use Predicted Monthly'!$Z$14</f>
        <v>2099601.5872431691</v>
      </c>
      <c r="T144" s="18">
        <f>K144*'Large Use Predicted Monthly'!$Z$15</f>
        <v>0</v>
      </c>
      <c r="U144" s="18">
        <f>L144*'Large Use Predicted Monthly'!$Z$16</f>
        <v>177799.47475552099</v>
      </c>
      <c r="V144" s="18">
        <f>M144*'Large Use Predicted Monthly'!$Z$17</f>
        <v>1542.3929500174804</v>
      </c>
      <c r="W144" s="18">
        <f t="shared" ca="1" si="21"/>
        <v>3217321.8168569766</v>
      </c>
    </row>
    <row r="145" spans="1:23" x14ac:dyDescent="0.25">
      <c r="A145" s="3">
        <v>46357</v>
      </c>
      <c r="B145" s="1">
        <f t="shared" si="19"/>
        <v>2026</v>
      </c>
      <c r="C145" s="1">
        <f t="shared" si="20"/>
        <v>12</v>
      </c>
      <c r="D145" s="268"/>
      <c r="E145" s="278">
        <f t="shared" ca="1" si="22"/>
        <v>268.92048913043476</v>
      </c>
      <c r="F145" s="278">
        <f t="shared" ca="1" si="22"/>
        <v>0</v>
      </c>
      <c r="G145" s="278"/>
      <c r="H145" s="278"/>
      <c r="I145" s="278">
        <f t="shared" si="16"/>
        <v>144</v>
      </c>
      <c r="J145" s="278">
        <f t="shared" si="17"/>
        <v>31</v>
      </c>
      <c r="K145" s="278"/>
      <c r="L145" s="278">
        <f t="shared" si="18"/>
        <v>0</v>
      </c>
      <c r="M145" s="278">
        <f>Economic!S144</f>
        <v>743.1991299999645</v>
      </c>
      <c r="O145" s="18">
        <f>'Large Use Predicted Monthly'!$Z$10</f>
        <v>877619.90234118199</v>
      </c>
      <c r="P145" s="18">
        <f ca="1">E145*'Large Use Predicted Monthly'!$Z$11</f>
        <v>113884.75870774408</v>
      </c>
      <c r="Q145" s="18">
        <f ca="1">F145*'Large Use Predicted Monthly'!$Z$12</f>
        <v>0</v>
      </c>
      <c r="R145" s="18">
        <f>I145*'Large Use Predicted Monthly'!$Z$13</f>
        <v>0</v>
      </c>
      <c r="S145" s="18">
        <f>J145*'Large Use Predicted Monthly'!$Z$14</f>
        <v>2169588.3068179414</v>
      </c>
      <c r="T145" s="18">
        <f>K145*'Large Use Predicted Monthly'!$Z$15</f>
        <v>0</v>
      </c>
      <c r="U145" s="18">
        <f>L145*'Large Use Predicted Monthly'!$Z$16</f>
        <v>0</v>
      </c>
      <c r="V145" s="18">
        <f>M145*'Large Use Predicted Monthly'!$Z$17</f>
        <v>1542.3929500174804</v>
      </c>
      <c r="W145" s="18">
        <f t="shared" ca="1" si="21"/>
        <v>3162635.3608168848</v>
      </c>
    </row>
    <row r="195" spans="9:26" x14ac:dyDescent="0.25">
      <c r="I195" s="18"/>
      <c r="J195" s="18"/>
      <c r="K195" s="18"/>
      <c r="L195" s="18"/>
      <c r="M195" s="18"/>
      <c r="P195" s="18"/>
      <c r="Q195" s="18"/>
      <c r="R195" s="18"/>
      <c r="S195" s="18"/>
      <c r="T195" s="18"/>
      <c r="U195" s="18"/>
      <c r="V195" s="18"/>
      <c r="W195" s="18"/>
      <c r="X195" s="18"/>
      <c r="Y195" s="18"/>
      <c r="Z195" s="18"/>
    </row>
    <row r="196" spans="9:26" x14ac:dyDescent="0.25">
      <c r="I196" s="18"/>
      <c r="J196" s="18"/>
      <c r="K196" s="18"/>
      <c r="L196" s="18"/>
      <c r="M196" s="18"/>
      <c r="P196" s="18"/>
      <c r="Q196" s="18"/>
      <c r="R196" s="18"/>
      <c r="S196" s="18"/>
      <c r="T196" s="18"/>
      <c r="U196" s="18"/>
      <c r="V196" s="18"/>
      <c r="W196" s="18"/>
      <c r="X196" s="18"/>
      <c r="Y196" s="18"/>
      <c r="Z196" s="18"/>
    </row>
    <row r="197" spans="9:26" x14ac:dyDescent="0.25">
      <c r="I197" s="18"/>
      <c r="J197" s="18"/>
      <c r="K197" s="18"/>
      <c r="L197" s="18"/>
      <c r="M197" s="18"/>
      <c r="P197" s="18"/>
      <c r="Q197" s="18"/>
      <c r="R197" s="18"/>
      <c r="S197" s="18"/>
      <c r="T197" s="18"/>
      <c r="U197" s="18"/>
      <c r="V197" s="18"/>
      <c r="W197" s="18"/>
      <c r="X197" s="18"/>
      <c r="Y197" s="18"/>
      <c r="Z197" s="18"/>
    </row>
    <row r="198" spans="9:26" x14ac:dyDescent="0.25">
      <c r="I198" s="18"/>
      <c r="J198" s="18"/>
      <c r="K198" s="18"/>
      <c r="L198" s="18"/>
      <c r="M198" s="18"/>
      <c r="P198" s="18"/>
      <c r="Q198" s="18"/>
      <c r="R198" s="18"/>
      <c r="S198" s="18"/>
      <c r="T198" s="18"/>
      <c r="U198" s="18"/>
      <c r="V198" s="18"/>
      <c r="W198" s="18"/>
      <c r="X198" s="18"/>
      <c r="Y198" s="18"/>
      <c r="Z198" s="18"/>
    </row>
    <row r="199" spans="9:26" x14ac:dyDescent="0.25">
      <c r="I199" s="18"/>
      <c r="J199" s="18"/>
      <c r="K199" s="18"/>
      <c r="L199" s="18"/>
      <c r="M199" s="18"/>
      <c r="P199" s="18"/>
      <c r="Q199" s="18"/>
      <c r="R199" s="18"/>
      <c r="S199" s="18"/>
      <c r="T199" s="18"/>
      <c r="U199" s="18"/>
      <c r="V199" s="18"/>
      <c r="W199" s="18"/>
      <c r="X199" s="18"/>
      <c r="Y199" s="18"/>
      <c r="Z199" s="18"/>
    </row>
    <row r="200" spans="9:26" x14ac:dyDescent="0.25">
      <c r="I200" s="18"/>
      <c r="J200" s="18"/>
      <c r="K200" s="18"/>
      <c r="L200" s="18"/>
      <c r="M200" s="18"/>
      <c r="P200" s="18"/>
      <c r="Q200" s="18"/>
      <c r="R200" s="18"/>
      <c r="S200" s="18"/>
      <c r="T200" s="18"/>
      <c r="U200" s="18"/>
      <c r="V200" s="18"/>
      <c r="W200" s="18"/>
      <c r="X200" s="18"/>
      <c r="Y200" s="18"/>
      <c r="Z200" s="18"/>
    </row>
    <row r="201" spans="9:26" x14ac:dyDescent="0.25">
      <c r="I201" s="18"/>
      <c r="J201" s="18"/>
      <c r="K201" s="18"/>
      <c r="L201" s="18"/>
      <c r="M201" s="18"/>
      <c r="P201" s="18"/>
      <c r="Q201" s="18"/>
      <c r="R201" s="18"/>
      <c r="S201" s="18"/>
      <c r="T201" s="18"/>
      <c r="U201" s="18"/>
      <c r="V201" s="18"/>
      <c r="W201" s="18"/>
      <c r="X201" s="18"/>
      <c r="Y201" s="18"/>
      <c r="Z201" s="18"/>
    </row>
    <row r="202" spans="9:26" x14ac:dyDescent="0.25">
      <c r="I202" s="18"/>
      <c r="J202" s="18"/>
      <c r="K202" s="18"/>
      <c r="L202" s="18"/>
      <c r="M202" s="18"/>
      <c r="P202" s="18"/>
      <c r="Q202" s="18"/>
      <c r="R202" s="18"/>
      <c r="S202" s="18"/>
      <c r="T202" s="18"/>
      <c r="U202" s="18"/>
      <c r="V202" s="18"/>
      <c r="W202" s="18"/>
      <c r="X202" s="18"/>
      <c r="Y202" s="18"/>
      <c r="Z202" s="18"/>
    </row>
    <row r="204" spans="9:26" x14ac:dyDescent="0.25">
      <c r="O204" s="24"/>
      <c r="P204" s="24"/>
      <c r="Q204" s="24"/>
      <c r="R204" s="24"/>
      <c r="S204" s="24"/>
      <c r="T204" s="24"/>
      <c r="U204" s="24"/>
      <c r="V204" s="24"/>
      <c r="W204" s="24"/>
      <c r="X204" s="24"/>
      <c r="Y204" s="24"/>
      <c r="Z204" s="24"/>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9">
    <tabColor rgb="FF0070C0"/>
  </sheetPr>
  <dimension ref="B1:P62"/>
  <sheetViews>
    <sheetView workbookViewId="0">
      <selection activeCell="L24" sqref="L24"/>
    </sheetView>
  </sheetViews>
  <sheetFormatPr defaultColWidth="9.109375" defaultRowHeight="13.2" x14ac:dyDescent="0.25"/>
  <cols>
    <col min="1" max="1" width="3" style="267" customWidth="1"/>
    <col min="2" max="2" width="25.44140625" style="267" bestFit="1" customWidth="1"/>
    <col min="3" max="3" width="16.77734375" style="267" bestFit="1" customWidth="1"/>
    <col min="4" max="6" width="13.77734375" style="267" bestFit="1" customWidth="1"/>
    <col min="7" max="7" width="16.109375" style="267" bestFit="1" customWidth="1"/>
    <col min="8" max="8" width="14.33203125" style="267" bestFit="1" customWidth="1"/>
    <col min="9" max="9" width="13.77734375" style="267" bestFit="1" customWidth="1"/>
    <col min="10" max="10" width="14.33203125" style="267" bestFit="1" customWidth="1"/>
    <col min="11" max="11" width="14.33203125" style="267" customWidth="1"/>
    <col min="12" max="12" width="14.44140625" style="267" customWidth="1"/>
    <col min="13" max="13" width="15.6640625" style="267" customWidth="1"/>
    <col min="14" max="14" width="14.33203125" style="267" bestFit="1" customWidth="1"/>
    <col min="15" max="15" width="15.77734375" style="267" customWidth="1"/>
    <col min="16" max="16" width="10.77734375" style="267" bestFit="1" customWidth="1"/>
    <col min="17" max="17" width="9.109375" style="267"/>
    <col min="18" max="18" width="17.33203125" style="267" customWidth="1"/>
    <col min="19" max="19" width="17" style="267" customWidth="1"/>
    <col min="20" max="20" width="21" style="267" bestFit="1" customWidth="1"/>
    <col min="21" max="21" width="17.6640625" style="267" customWidth="1"/>
    <col min="22" max="16384" width="9.109375" style="267"/>
  </cols>
  <sheetData>
    <row r="1" spans="2:16" ht="16.2" thickBot="1" x14ac:dyDescent="0.35">
      <c r="B1" s="19" t="s">
        <v>430</v>
      </c>
    </row>
    <row r="2" spans="2:16" x14ac:dyDescent="0.25">
      <c r="B2" s="147" t="s">
        <v>401</v>
      </c>
      <c r="C2" s="148" t="s">
        <v>536</v>
      </c>
      <c r="D2" s="148" t="s">
        <v>537</v>
      </c>
      <c r="E2" s="148" t="s">
        <v>538</v>
      </c>
      <c r="F2" s="148" t="s">
        <v>539</v>
      </c>
      <c r="G2" s="148" t="s">
        <v>540</v>
      </c>
      <c r="H2" s="148" t="s">
        <v>541</v>
      </c>
      <c r="I2" s="148" t="s">
        <v>542</v>
      </c>
      <c r="J2" s="148" t="s">
        <v>543</v>
      </c>
      <c r="K2" s="148" t="s">
        <v>544</v>
      </c>
      <c r="L2" s="148" t="s">
        <v>528</v>
      </c>
      <c r="M2" s="148" t="s">
        <v>508</v>
      </c>
      <c r="N2" s="148" t="s">
        <v>509</v>
      </c>
    </row>
    <row r="3" spans="2:16" x14ac:dyDescent="0.25">
      <c r="B3" s="20" t="str">
        <f>'Summary Tables'!B3</f>
        <v>Residential</v>
      </c>
      <c r="C3" s="269">
        <f ca="1">OFFSET('Normalized Annual Summary'!$I$47,COLUMN(C3)-COLUMN($C3),0)</f>
        <v>476186220.87261242</v>
      </c>
      <c r="D3" s="269">
        <f ca="1">OFFSET('Normalized Annual Summary'!$I$47,COLUMN(D3)-COLUMN($C3),0)</f>
        <v>471846098.78116345</v>
      </c>
      <c r="E3" s="269">
        <f ca="1">OFFSET('Normalized Annual Summary'!$I$47,COLUMN(E3)-COLUMN($C3),0)</f>
        <v>471973992.74837273</v>
      </c>
      <c r="F3" s="269">
        <f ca="1">OFFSET('Normalized Annual Summary'!$I$47,COLUMN(F3)-COLUMN($C3),0)</f>
        <v>468828252.54254735</v>
      </c>
      <c r="G3" s="269">
        <f ca="1">OFFSET('Normalized Annual Summary'!$I$47,COLUMN(G3)-COLUMN($C3),0)</f>
        <v>479397652.63115829</v>
      </c>
      <c r="H3" s="269">
        <f ca="1">OFFSET('Normalized Annual Summary'!$I$47,COLUMN(H3)-COLUMN($C3),0)</f>
        <v>517528512.10344827</v>
      </c>
      <c r="I3" s="269">
        <f ca="1">OFFSET('Normalized Annual Summary'!$I$47,COLUMN(I3)-COLUMN($C3),0)</f>
        <v>512540884.04728943</v>
      </c>
      <c r="J3" s="269">
        <f ca="1">OFFSET('Normalized Annual Summary'!$I$47,COLUMN(J3)-COLUMN($C3),0)</f>
        <v>504696772.94099098</v>
      </c>
      <c r="K3" s="269">
        <f ca="1">OFFSET('Normalized Annual Summary'!$I$47,COLUMN(K3)-COLUMN($C3),0)</f>
        <v>525605681.37417781</v>
      </c>
      <c r="L3" s="269">
        <f ca="1">OFFSET('Normalized Annual Summary'!$I$47,COLUMN(L3)-COLUMN($C3),0)</f>
        <v>531048221.80823934</v>
      </c>
      <c r="M3" s="269">
        <f ca="1">OFFSET('Normalized Annual Summary'!$K$14,COLUMN(M3)-COLUMN($L3),0)</f>
        <v>542522400.52712142</v>
      </c>
      <c r="N3" s="168">
        <f ca="1">OFFSET('Normalized Annual Summary'!$K$14,COLUMN(N3)-COLUMN($L3),0)</f>
        <v>555745807.87612331</v>
      </c>
      <c r="O3" s="269"/>
      <c r="P3" s="269"/>
    </row>
    <row r="4" spans="2:16" x14ac:dyDescent="0.25">
      <c r="B4" s="21" t="str">
        <f>'Summary Tables'!B4</f>
        <v>GS &lt; 50</v>
      </c>
      <c r="C4" s="269">
        <f ca="1">OFFSET('Normalized Annual Summary'!$T$47,COLUMN(C4)-COLUMN($C4),0)</f>
        <v>134316532.99994633</v>
      </c>
      <c r="D4" s="269">
        <f ca="1">OFFSET('Normalized Annual Summary'!$T$47,COLUMN(D4)-COLUMN($C4),0)</f>
        <v>130783391.4852733</v>
      </c>
      <c r="E4" s="269">
        <f ca="1">OFFSET('Normalized Annual Summary'!$T$47,COLUMN(E4)-COLUMN($C4),0)</f>
        <v>130219033.23949316</v>
      </c>
      <c r="F4" s="269">
        <f ca="1">OFFSET('Normalized Annual Summary'!$T$47,COLUMN(F4)-COLUMN($C4),0)</f>
        <v>131490955.23950523</v>
      </c>
      <c r="G4" s="269">
        <f ca="1">OFFSET('Normalized Annual Summary'!$T$47,COLUMN(G4)-COLUMN($C4),0)</f>
        <v>116488830.8657264</v>
      </c>
      <c r="H4" s="269">
        <f ca="1">OFFSET('Normalized Annual Summary'!$T$47,COLUMN(H4)-COLUMN($C4),0)</f>
        <v>114543981.2326937</v>
      </c>
      <c r="I4" s="269">
        <f ca="1">OFFSET('Normalized Annual Summary'!$T$47,COLUMN(I4)-COLUMN($C4),0)</f>
        <v>119342438.39328903</v>
      </c>
      <c r="J4" s="269">
        <f ca="1">OFFSET('Normalized Annual Summary'!$T$47,COLUMN(J4)-COLUMN($C4),0)</f>
        <v>125730132.55096622</v>
      </c>
      <c r="K4" s="269">
        <f ca="1">OFFSET('Normalized Annual Summary'!$T$47,COLUMN(K4)-COLUMN($C4),0)</f>
        <v>128732682.84519167</v>
      </c>
      <c r="L4" s="269">
        <f ca="1">OFFSET('Normalized Annual Summary'!$T$47,COLUMN(L4)-COLUMN($C4),0)</f>
        <v>133215283.27791496</v>
      </c>
      <c r="M4" s="269">
        <f ca="1">OFFSET('Normalized Annual Summary'!$V$14,COLUMN(M4)-COLUMN($L4),0)</f>
        <v>130535766.83894302</v>
      </c>
      <c r="N4" s="168">
        <f ca="1">OFFSET('Normalized Annual Summary'!$V$14,COLUMN(N4)-COLUMN($L4),0)</f>
        <v>132753100.44242442</v>
      </c>
      <c r="O4" s="269"/>
    </row>
    <row r="5" spans="2:16" x14ac:dyDescent="0.25">
      <c r="B5" s="21" t="str">
        <f>'Summary Tables'!B5</f>
        <v>GS 50-999</v>
      </c>
      <c r="C5" s="269">
        <f ca="1">OFFSET('Normalized Annual Summary'!$AE$47,COLUMN(C5)-COLUMN($C5),0)</f>
        <v>321176586.78788906</v>
      </c>
      <c r="D5" s="269">
        <f ca="1">OFFSET('Normalized Annual Summary'!$AE$47,COLUMN(D5)-COLUMN($C5),0)</f>
        <v>325394172.78355217</v>
      </c>
      <c r="E5" s="269">
        <f ca="1">OFFSET('Normalized Annual Summary'!$AE$47,COLUMN(E5)-COLUMN($C5),0)</f>
        <v>338950609.62895352</v>
      </c>
      <c r="F5" s="269">
        <f ca="1">OFFSET('Normalized Annual Summary'!$AE$47,COLUMN(F5)-COLUMN($C5),0)</f>
        <v>309118638.67248392</v>
      </c>
      <c r="G5" s="269">
        <f ca="1">OFFSET('Normalized Annual Summary'!$AE$47,COLUMN(G5)-COLUMN($C5),0)</f>
        <v>316953746.79513741</v>
      </c>
      <c r="H5" s="269">
        <f ca="1">OFFSET('Normalized Annual Summary'!$AE$47,COLUMN(H5)-COLUMN($C5),0)</f>
        <v>295867668.66366297</v>
      </c>
      <c r="I5" s="269">
        <f ca="1">OFFSET('Normalized Annual Summary'!$AE$47,COLUMN(I5)-COLUMN($C5),0)</f>
        <v>303429656.26865733</v>
      </c>
      <c r="J5" s="269">
        <f ca="1">OFFSET('Normalized Annual Summary'!$AE$47,COLUMN(J5)-COLUMN($C5),0)</f>
        <v>332007435.25271553</v>
      </c>
      <c r="K5" s="269">
        <f ca="1">OFFSET('Normalized Annual Summary'!$AE$47,COLUMN(K5)-COLUMN($C5),0)</f>
        <v>319101390.95906198</v>
      </c>
      <c r="L5" s="269">
        <f ca="1">OFFSET('Normalized Annual Summary'!$AE$47,COLUMN(L5)-COLUMN($C5),0)</f>
        <v>308276781.99462986</v>
      </c>
      <c r="M5" s="269">
        <f ca="1">OFFSET('Normalized Annual Summary'!$AG$14,COLUMN(M5)-COLUMN($L5),0)</f>
        <v>331001039.08814591</v>
      </c>
      <c r="N5" s="168">
        <f ca="1">OFFSET('Normalized Annual Summary'!$AG$14,COLUMN(N5)-COLUMN($L5),0)</f>
        <v>332269497.42468482</v>
      </c>
      <c r="O5" s="269"/>
    </row>
    <row r="6" spans="2:16" x14ac:dyDescent="0.25">
      <c r="B6" s="21" t="str">
        <f>'Summary Tables'!B6</f>
        <v>GS 1,000-4,999</v>
      </c>
      <c r="C6" s="269">
        <f ca="1">OFFSET('Normalized Annual Summary'!$AP$47,COLUMN(C6)-COLUMN($C6),0)</f>
        <v>82077253.216182187</v>
      </c>
      <c r="D6" s="269">
        <f ca="1">OFFSET('Normalized Annual Summary'!$AP$47,COLUMN(D6)-COLUMN($C6),0)</f>
        <v>83578332.09277688</v>
      </c>
      <c r="E6" s="269">
        <f ca="1">OFFSET('Normalized Annual Summary'!$AP$47,COLUMN(E6)-COLUMN($C6),0)</f>
        <v>83428613.553358078</v>
      </c>
      <c r="F6" s="269">
        <f ca="1">OFFSET('Normalized Annual Summary'!$AP$47,COLUMN(F6)-COLUMN($C6),0)</f>
        <v>75749049.66363132</v>
      </c>
      <c r="G6" s="269">
        <f ca="1">OFFSET('Normalized Annual Summary'!$AP$47,COLUMN(G6)-COLUMN($C6),0)</f>
        <v>77532778.508297324</v>
      </c>
      <c r="H6" s="269">
        <f ca="1">OFFSET('Normalized Annual Summary'!$AP$47,COLUMN(H6)-COLUMN($C6),0)</f>
        <v>70178820.395205915</v>
      </c>
      <c r="I6" s="269">
        <f ca="1">OFFSET('Normalized Annual Summary'!$AP$47,COLUMN(I6)-COLUMN($C6),0)</f>
        <v>69773884.276297808</v>
      </c>
      <c r="J6" s="269">
        <f ca="1">OFFSET('Normalized Annual Summary'!$AP$47,COLUMN(J6)-COLUMN($C6),0)</f>
        <v>81981212.955545619</v>
      </c>
      <c r="K6" s="269">
        <f ca="1">OFFSET('Normalized Annual Summary'!$AP$47,COLUMN(K6)-COLUMN($C6),0)</f>
        <v>77551619.056607962</v>
      </c>
      <c r="L6" s="269">
        <f ca="1">OFFSET('Normalized Annual Summary'!$AP$47,COLUMN(L6)-COLUMN($C6),0)</f>
        <v>81519302.822465807</v>
      </c>
      <c r="M6" s="269">
        <f ca="1">OFFSET('Normalized Annual Summary'!$AR$14,COLUMN(M6)-COLUMN($L6),0)</f>
        <v>80415845.859158918</v>
      </c>
      <c r="N6" s="168">
        <f ca="1">OFFSET('Normalized Annual Summary'!$AR$14,COLUMN(N6)-COLUMN($L6),0)</f>
        <v>81008539.989905819</v>
      </c>
      <c r="O6" s="269"/>
    </row>
    <row r="7" spans="2:16" x14ac:dyDescent="0.25">
      <c r="B7" s="21" t="str">
        <f>'Summary Tables'!B7</f>
        <v>Large Use</v>
      </c>
      <c r="C7" s="269">
        <f ca="1">OFFSET('Normalized Annual Summary'!$BA$47,COLUMN(C7)-COLUMN($C7),0)</f>
        <v>42009045.545392573</v>
      </c>
      <c r="D7" s="269">
        <f ca="1">OFFSET('Normalized Annual Summary'!$BA$47,COLUMN(D7)-COLUMN($C7),0)</f>
        <v>41251215.956856966</v>
      </c>
      <c r="E7" s="269">
        <f ca="1">OFFSET('Normalized Annual Summary'!$BA$47,COLUMN(E7)-COLUMN($C7),0)</f>
        <v>37758434.261844181</v>
      </c>
      <c r="F7" s="269">
        <f ca="1">OFFSET('Normalized Annual Summary'!$BA$47,COLUMN(F7)-COLUMN($C7),0)</f>
        <v>44576988.84829139</v>
      </c>
      <c r="G7" s="269">
        <f ca="1">OFFSET('Normalized Annual Summary'!$BA$47,COLUMN(G7)-COLUMN($C7),0)</f>
        <v>38946317.287820905</v>
      </c>
      <c r="H7" s="269">
        <f ca="1">OFFSET('Normalized Annual Summary'!$BA$47,COLUMN(H7)-COLUMN($C7),0)</f>
        <v>30750789.25930303</v>
      </c>
      <c r="I7" s="269">
        <f ca="1">OFFSET('Normalized Annual Summary'!$BA$47,COLUMN(I7)-COLUMN($C7),0)</f>
        <v>36067652.390691258</v>
      </c>
      <c r="J7" s="269">
        <f ca="1">OFFSET('Normalized Annual Summary'!$BA$47,COLUMN(J7)-COLUMN($C7),0)</f>
        <v>33833884.008035399</v>
      </c>
      <c r="K7" s="269">
        <f ca="1">OFFSET('Normalized Annual Summary'!$BA$47,COLUMN(K7)-COLUMN($C7),0)</f>
        <v>34024426.307801425</v>
      </c>
      <c r="L7" s="269">
        <f ca="1">OFFSET('Normalized Annual Summary'!$BA$47,COLUMN(L7)-COLUMN($C7),0)</f>
        <v>39820723.133962877</v>
      </c>
      <c r="M7" s="269">
        <f ca="1">OFFSET('Normalized Annual Summary'!$BC$14,COLUMN(M7)-COLUMN($L7),0)</f>
        <v>38486029.709961563</v>
      </c>
      <c r="N7" s="168">
        <f ca="1">OFFSET('Normalized Annual Summary'!$BC$14,COLUMN(N7)-COLUMN($L7),0)</f>
        <v>38511369.103293002</v>
      </c>
      <c r="O7" s="269"/>
    </row>
    <row r="8" spans="2:16" x14ac:dyDescent="0.25">
      <c r="B8" s="21" t="str">
        <f>'Summary Tables'!B8</f>
        <v>Street Light</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269">
        <f ca="1">OFFSET('Normalized Annual Summary'!$BI$14,COLUMN(M8)-COLUMN($L8),0)</f>
        <v>4601999.7364925863</v>
      </c>
      <c r="N8" s="168">
        <f ca="1">OFFSET('Normalized Annual Summary'!$BI$14,COLUMN(N8)-COLUMN($L8),0)</f>
        <v>4665081.9792804932</v>
      </c>
      <c r="O8" s="269"/>
    </row>
    <row r="9" spans="2:16" x14ac:dyDescent="0.25">
      <c r="B9" s="21" t="str">
        <f>'Summary Tables'!B9</f>
        <v>Sentinel Lights</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269">
        <f ca="1">OFFSET('Normalized Annual Summary'!$BO$14,COLUMN(M9)-COLUMN($L9),0)</f>
        <v>26717.919999999998</v>
      </c>
      <c r="N9" s="168">
        <f ca="1">OFFSET('Normalized Annual Summary'!$BO$14,COLUMN(N9)-COLUMN($L9),0)</f>
        <v>26717.919999999998</v>
      </c>
      <c r="O9" s="269"/>
    </row>
    <row r="10" spans="2:16" x14ac:dyDescent="0.25">
      <c r="B10" s="21" t="str">
        <f>'Summary Tables'!B10</f>
        <v>USL</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269">
        <f ca="1">OFFSET('Normalized Annual Summary'!$BU$14,COLUMN(M10)-COLUMN($L10),0)</f>
        <v>2848080.5289589334</v>
      </c>
      <c r="N10" s="287">
        <f ca="1">OFFSET('Normalized Annual Summary'!$BU$14,COLUMN(N10)-COLUMN($L10),0)</f>
        <v>2866800.061490498</v>
      </c>
      <c r="O10" s="269"/>
    </row>
    <row r="11" spans="2:16" ht="13.8" thickBot="1" x14ac:dyDescent="0.3">
      <c r="B11" s="144" t="s">
        <v>326</v>
      </c>
      <c r="C11" s="145">
        <f t="shared" ref="C11:L11" ca="1" si="0">SUM(C3:C10)</f>
        <v>1067502811.7683891</v>
      </c>
      <c r="D11" s="145">
        <f t="shared" ca="1" si="0"/>
        <v>1064776164.074065</v>
      </c>
      <c r="E11" s="145">
        <f t="shared" ca="1" si="0"/>
        <v>1069854496.0841292</v>
      </c>
      <c r="F11" s="145">
        <f t="shared" ca="1" si="0"/>
        <v>1036533985.3629879</v>
      </c>
      <c r="G11" s="145">
        <f t="shared" ca="1" si="0"/>
        <v>1036191471.9156094</v>
      </c>
      <c r="H11" s="145">
        <f t="shared" ca="1" si="0"/>
        <v>1035819596.494314</v>
      </c>
      <c r="I11" s="145">
        <f t="shared" ca="1" si="0"/>
        <v>1048149158.4762249</v>
      </c>
      <c r="J11" s="145">
        <f t="shared" ca="1" si="0"/>
        <v>1085459152.8082538</v>
      </c>
      <c r="K11" s="145">
        <f t="shared" ca="1" si="0"/>
        <v>1092349348.6828408</v>
      </c>
      <c r="L11" s="145">
        <f t="shared" ca="1" si="0"/>
        <v>1101353006.0891228</v>
      </c>
      <c r="M11" s="145">
        <f ca="1">SUM(M3:M10)</f>
        <v>1130437880.2087827</v>
      </c>
      <c r="N11" s="145">
        <f ca="1">SUM(N3:N10)</f>
        <v>1147846914.7972023</v>
      </c>
      <c r="O11" s="269"/>
    </row>
    <row r="13" spans="2:16" ht="16.2" thickBot="1" x14ac:dyDescent="0.35">
      <c r="B13" s="19" t="s">
        <v>529</v>
      </c>
      <c r="C13" s="19"/>
      <c r="G13" s="269"/>
      <c r="H13" s="269"/>
      <c r="I13" s="269"/>
      <c r="J13" s="269"/>
      <c r="K13" s="269"/>
      <c r="L13" s="269"/>
    </row>
    <row r="14" spans="2:16" ht="55.2" customHeight="1" x14ac:dyDescent="0.25">
      <c r="B14" s="141" t="s">
        <v>401</v>
      </c>
      <c r="C14" s="142" t="s">
        <v>530</v>
      </c>
      <c r="D14" s="142" t="s">
        <v>531</v>
      </c>
      <c r="E14" s="143" t="s">
        <v>532</v>
      </c>
      <c r="G14" s="269"/>
      <c r="H14" s="269"/>
      <c r="I14" s="269"/>
      <c r="J14" s="269"/>
      <c r="K14" s="269"/>
    </row>
    <row r="15" spans="2:16" x14ac:dyDescent="0.25">
      <c r="B15" s="20" t="str">
        <f>B3</f>
        <v>Residential</v>
      </c>
      <c r="C15" s="269">
        <f ca="1">N3</f>
        <v>555745807.87612331</v>
      </c>
      <c r="D15" s="269">
        <f>'CDM Adjustment'!O7</f>
        <v>4241501.5366910845</v>
      </c>
      <c r="E15" s="287">
        <f ca="1">C15-D15</f>
        <v>551504306.33943224</v>
      </c>
      <c r="F15" s="134"/>
      <c r="G15" s="269"/>
      <c r="H15" s="269"/>
      <c r="I15" s="269"/>
      <c r="J15" s="269"/>
      <c r="K15" s="269"/>
    </row>
    <row r="16" spans="2:16" x14ac:dyDescent="0.25">
      <c r="B16" s="21" t="str">
        <f>B4</f>
        <v>GS &lt; 50</v>
      </c>
      <c r="C16" s="269">
        <f ca="1">N4</f>
        <v>132753100.44242442</v>
      </c>
      <c r="D16" s="269">
        <f>'CDM Adjustment'!O8</f>
        <v>4476961.4820903465</v>
      </c>
      <c r="E16" s="287">
        <f ca="1">C16-D16</f>
        <v>128276138.96033406</v>
      </c>
      <c r="G16" s="269"/>
      <c r="H16" s="269"/>
      <c r="I16" s="269"/>
      <c r="J16" s="269"/>
      <c r="K16" s="269"/>
    </row>
    <row r="17" spans="2:14" x14ac:dyDescent="0.25">
      <c r="B17" s="21" t="str">
        <f>B5</f>
        <v>GS 50-999</v>
      </c>
      <c r="C17" s="269">
        <f ca="1">N5</f>
        <v>332269497.42468482</v>
      </c>
      <c r="D17" s="269">
        <f>'CDM Adjustment'!O9</f>
        <v>6208993.7517589377</v>
      </c>
      <c r="E17" s="287">
        <f ca="1">C17-D17</f>
        <v>326060503.67292589</v>
      </c>
      <c r="G17" s="269"/>
      <c r="H17" s="269"/>
      <c r="I17" s="269"/>
      <c r="J17" s="269"/>
      <c r="K17" s="269"/>
    </row>
    <row r="18" spans="2:14" x14ac:dyDescent="0.25">
      <c r="B18" s="21" t="str">
        <f t="shared" ref="B18:B20" si="1">B6</f>
        <v>GS 1,000-4,999</v>
      </c>
      <c r="C18" s="269">
        <f t="shared" ref="C18:C19" ca="1" si="2">N6</f>
        <v>81008539.989905819</v>
      </c>
      <c r="D18" s="269">
        <f>'CDM Adjustment'!O10</f>
        <v>6343945.0278245956</v>
      </c>
      <c r="E18" s="287">
        <f t="shared" ref="E18:E19" ca="1" si="3">C18-D18</f>
        <v>74664594.962081224</v>
      </c>
      <c r="G18" s="269"/>
      <c r="H18" s="269"/>
      <c r="I18" s="269"/>
      <c r="J18" s="269"/>
      <c r="K18" s="269"/>
    </row>
    <row r="19" spans="2:14" x14ac:dyDescent="0.25">
      <c r="B19" s="21" t="str">
        <f t="shared" si="1"/>
        <v>Large Use</v>
      </c>
      <c r="C19" s="269">
        <f t="shared" ca="1" si="2"/>
        <v>38511369.103293002</v>
      </c>
      <c r="D19" s="269">
        <f>'CDM Adjustment'!O11</f>
        <v>897026.14911224286</v>
      </c>
      <c r="E19" s="287">
        <f t="shared" ca="1" si="3"/>
        <v>37614342.954180762</v>
      </c>
      <c r="G19" s="269"/>
      <c r="H19" s="269"/>
      <c r="I19" s="269"/>
      <c r="J19" s="269"/>
      <c r="K19" s="269"/>
    </row>
    <row r="20" spans="2:14" x14ac:dyDescent="0.25">
      <c r="B20" s="21" t="str">
        <f t="shared" si="1"/>
        <v>Street Light</v>
      </c>
      <c r="C20" s="269">
        <f ca="1">N8</f>
        <v>4665081.9792804932</v>
      </c>
      <c r="D20" s="269"/>
      <c r="E20" s="287">
        <f ca="1">C20-D20</f>
        <v>4665081.9792804932</v>
      </c>
      <c r="G20" s="269"/>
      <c r="H20" s="269"/>
      <c r="I20" s="269"/>
      <c r="J20" s="269"/>
      <c r="K20" s="269"/>
    </row>
    <row r="21" spans="2:14" x14ac:dyDescent="0.25">
      <c r="B21" s="21" t="str">
        <f>B9</f>
        <v>Sentinel Lights</v>
      </c>
      <c r="C21" s="269">
        <f ca="1">N9</f>
        <v>26717.919999999998</v>
      </c>
      <c r="D21" s="269"/>
      <c r="E21" s="287">
        <f ca="1">C21-D21</f>
        <v>26717.919999999998</v>
      </c>
      <c r="G21" s="269"/>
      <c r="H21" s="269"/>
      <c r="I21" s="269"/>
      <c r="J21" s="269"/>
      <c r="K21" s="269"/>
    </row>
    <row r="22" spans="2:14" x14ac:dyDescent="0.25">
      <c r="B22" s="21" t="str">
        <f>B10</f>
        <v>USL</v>
      </c>
      <c r="C22" s="269">
        <f ca="1">N10</f>
        <v>2866800.061490498</v>
      </c>
      <c r="D22" s="269"/>
      <c r="E22" s="287">
        <f ca="1">C22-D22</f>
        <v>2866800.061490498</v>
      </c>
      <c r="G22" s="269"/>
      <c r="H22" s="269"/>
      <c r="I22" s="269"/>
      <c r="J22" s="269"/>
      <c r="K22" s="269"/>
    </row>
    <row r="23" spans="2:14" ht="13.8" thickBot="1" x14ac:dyDescent="0.3">
      <c r="B23" s="144" t="s">
        <v>326</v>
      </c>
      <c r="C23" s="145">
        <f ca="1">SUM(C15:C22)</f>
        <v>1147846914.7972023</v>
      </c>
      <c r="D23" s="145">
        <f>SUM(D15:D22)</f>
        <v>22168427.947477207</v>
      </c>
      <c r="E23" s="146">
        <f ca="1">SUM(E15:E22)</f>
        <v>1125678486.8497252</v>
      </c>
      <c r="F23" s="139"/>
      <c r="G23" s="269"/>
      <c r="H23" s="269"/>
      <c r="I23" s="269"/>
      <c r="J23" s="269"/>
      <c r="K23" s="269"/>
    </row>
    <row r="24" spans="2:14" x14ac:dyDescent="0.25">
      <c r="G24" s="138"/>
    </row>
    <row r="25" spans="2:14" ht="16.2" thickBot="1" x14ac:dyDescent="0.35">
      <c r="B25" s="19" t="s">
        <v>430</v>
      </c>
    </row>
    <row r="26" spans="2:14" x14ac:dyDescent="0.25">
      <c r="B26" s="147" t="s">
        <v>402</v>
      </c>
      <c r="C26" s="148" t="s">
        <v>536</v>
      </c>
      <c r="D26" s="148" t="s">
        <v>537</v>
      </c>
      <c r="E26" s="148" t="s">
        <v>538</v>
      </c>
      <c r="F26" s="148" t="s">
        <v>539</v>
      </c>
      <c r="G26" s="148" t="s">
        <v>540</v>
      </c>
      <c r="H26" s="148" t="s">
        <v>541</v>
      </c>
      <c r="I26" s="148" t="s">
        <v>542</v>
      </c>
      <c r="J26" s="148" t="s">
        <v>543</v>
      </c>
      <c r="K26" s="148" t="s">
        <v>544</v>
      </c>
      <c r="L26" s="148" t="s">
        <v>528</v>
      </c>
      <c r="M26" s="148" t="s">
        <v>508</v>
      </c>
      <c r="N26" s="151" t="s">
        <v>509</v>
      </c>
    </row>
    <row r="27" spans="2:14" x14ac:dyDescent="0.25">
      <c r="B27" s="21" t="str">
        <f>B17</f>
        <v>GS 50-999</v>
      </c>
      <c r="C27" s="269">
        <f ca="1">OFFSET('kW Forecast (Weather Normal)'!$D$18,COLUMN()-COLUMN($C$27),0)</f>
        <v>836376.99983428977</v>
      </c>
      <c r="D27" s="269">
        <f ca="1">OFFSET('kW Forecast (Weather Normal)'!$D$18,COLUMN()-COLUMN($C$27),0)</f>
        <v>838028.74740342039</v>
      </c>
      <c r="E27" s="269">
        <f ca="1">OFFSET('kW Forecast (Weather Normal)'!$D$18,COLUMN()-COLUMN($C$27),0)</f>
        <v>834031.8679607535</v>
      </c>
      <c r="F27" s="269">
        <f ca="1">OFFSET('kW Forecast (Weather Normal)'!$D$18,COLUMN()-COLUMN($C$27),0)</f>
        <v>833403.95762777445</v>
      </c>
      <c r="G27" s="269">
        <f ca="1">OFFSET('kW Forecast (Weather Normal)'!$D$18,COLUMN()-COLUMN($C$27),0)</f>
        <v>835778.03711066919</v>
      </c>
      <c r="H27" s="269">
        <f ca="1">OFFSET('kW Forecast (Weather Normal)'!$D$18,COLUMN()-COLUMN($C$27),0)</f>
        <v>786415.46406930208</v>
      </c>
      <c r="I27" s="269">
        <f ca="1">OFFSET('kW Forecast (Weather Normal)'!$D$18,COLUMN()-COLUMN($C$27),0)</f>
        <v>793168.87098822405</v>
      </c>
      <c r="J27" s="269">
        <f ca="1">OFFSET('kW Forecast (Weather Normal)'!$D$18,COLUMN()-COLUMN($C$27),0)</f>
        <v>817719.23533557483</v>
      </c>
      <c r="K27" s="269">
        <f ca="1">OFFSET('kW Forecast (Weather Normal)'!$D$18,COLUMN()-COLUMN($C$27),0)</f>
        <v>837045.79555426817</v>
      </c>
      <c r="L27" s="269">
        <f ca="1">OFFSET('kW Forecast (Weather Normal)'!$D$18,COLUMN()-COLUMN($C$27),0)</f>
        <v>835846.91812427889</v>
      </c>
      <c r="M27" s="269">
        <f ca="1">OFFSET('kW Forecast (Weather Normal)'!$H$18,COLUMN()-COLUMN($C$27),0)</f>
        <v>837900.73822669976</v>
      </c>
      <c r="N27" s="287">
        <f ca="1">OFFSET('kW Forecast (Weather Normal)'!$H$18,COLUMN()-COLUMN($C$27),0)</f>
        <v>842134.79457199015</v>
      </c>
    </row>
    <row r="28" spans="2:14" x14ac:dyDescent="0.25">
      <c r="B28" s="21" t="str">
        <f t="shared" ref="B28:B31" si="4">B18</f>
        <v>GS 1,000-4,999</v>
      </c>
      <c r="C28" s="269">
        <f ca="1">OFFSET('kW Forecast (Weather Normal)'!$L$18,COLUMN()-COLUMN($C$27),0)</f>
        <v>196154.57314042503</v>
      </c>
      <c r="D28" s="269">
        <f ca="1">OFFSET('kW Forecast (Weather Normal)'!$L$18,COLUMN()-COLUMN($C$27),0)</f>
        <v>189909.75513152187</v>
      </c>
      <c r="E28" s="269">
        <f ca="1">OFFSET('kW Forecast (Weather Normal)'!$L$18,COLUMN()-COLUMN($C$27),0)</f>
        <v>188366.09151949082</v>
      </c>
      <c r="F28" s="269">
        <f ca="1">OFFSET('kW Forecast (Weather Normal)'!$L$18,COLUMN()-COLUMN($C$27),0)</f>
        <v>190915.8791980143</v>
      </c>
      <c r="G28" s="269">
        <f ca="1">OFFSET('kW Forecast (Weather Normal)'!$L$18,COLUMN()-COLUMN($C$27),0)</f>
        <v>190955.91500471134</v>
      </c>
      <c r="H28" s="269">
        <f ca="1">OFFSET('kW Forecast (Weather Normal)'!$L$18,COLUMN()-COLUMN($C$27),0)</f>
        <v>168052.82915491657</v>
      </c>
      <c r="I28" s="269">
        <f ca="1">OFFSET('kW Forecast (Weather Normal)'!$L$18,COLUMN()-COLUMN($C$27),0)</f>
        <v>169245.84988470995</v>
      </c>
      <c r="J28" s="269">
        <f ca="1">OFFSET('kW Forecast (Weather Normal)'!$L$18,COLUMN()-COLUMN($C$27),0)</f>
        <v>183799.85019295549</v>
      </c>
      <c r="K28" s="269">
        <f ca="1">OFFSET('kW Forecast (Weather Normal)'!$L$18,COLUMN()-COLUMN($C$27),0)</f>
        <v>190610.09282562777</v>
      </c>
      <c r="L28" s="269">
        <f ca="1">OFFSET('kW Forecast (Weather Normal)'!$P$18,COLUMN()-COLUMN($C$27),0)</f>
        <v>188159.3398285677</v>
      </c>
      <c r="M28" s="269">
        <f ca="1">OFFSET('kW Forecast (Weather Normal)'!$P$18,COLUMN()-COLUMN($C$27),0)</f>
        <v>191066.02798620216</v>
      </c>
      <c r="N28" s="287">
        <f ca="1">OFFSET('kW Forecast (Weather Normal)'!$P$18,COLUMN()-COLUMN($C$27),0)</f>
        <v>193544.53206020067</v>
      </c>
    </row>
    <row r="29" spans="2:14" x14ac:dyDescent="0.25">
      <c r="B29" s="21" t="str">
        <f t="shared" si="4"/>
        <v>Large Use</v>
      </c>
      <c r="C29" s="269">
        <f ca="1">OFFSET('kW Forecast (Weather Normal)'!$U$18,COLUMN()-COLUMN($C$27),0)</f>
        <v>87372.349989339476</v>
      </c>
      <c r="D29" s="269">
        <f ca="1">OFFSET('kW Forecast (Weather Normal)'!$U$18,COLUMN()-COLUMN($C$27),0)</f>
        <v>87367.36348910864</v>
      </c>
      <c r="E29" s="269">
        <f ca="1">OFFSET('kW Forecast (Weather Normal)'!$U$18,COLUMN()-COLUMN($C$27),0)</f>
        <v>87157.37032979184</v>
      </c>
      <c r="F29" s="269">
        <f ca="1">OFFSET('kW Forecast (Weather Normal)'!$U$18,COLUMN()-COLUMN($C$27),0)</f>
        <v>86876.261912469126</v>
      </c>
      <c r="G29" s="269">
        <f ca="1">OFFSET('kW Forecast (Weather Normal)'!$U$18,COLUMN()-COLUMN($C$27),0)</f>
        <v>86649.400976587378</v>
      </c>
      <c r="H29" s="269">
        <f ca="1">OFFSET('kW Forecast (Weather Normal)'!$U$18,COLUMN()-COLUMN($C$27),0)</f>
        <v>77227.70751046238</v>
      </c>
      <c r="I29" s="269">
        <f ca="1">OFFSET('kW Forecast (Weather Normal)'!$U$18,COLUMN()-COLUMN($C$27),0)</f>
        <v>77795.78301583312</v>
      </c>
      <c r="J29" s="269">
        <f ca="1">OFFSET('kW Forecast (Weather Normal)'!$U$18,COLUMN()-COLUMN($C$27),0)</f>
        <v>81825.616810328531</v>
      </c>
      <c r="K29" s="269">
        <f ca="1">OFFSET('kW Forecast (Weather Normal)'!$U$18,COLUMN()-COLUMN($C$27),0)</f>
        <v>86158.953961152336</v>
      </c>
      <c r="L29" s="269">
        <f ca="1">OFFSET('kW Forecast (Weather Normal)'!$Y$18,COLUMN()-COLUMN($C$27),0)</f>
        <v>85819.795167002958</v>
      </c>
      <c r="M29" s="269">
        <f ca="1">OFFSET('kW Forecast (Weather Normal)'!$Y$18,COLUMN()-COLUMN($C$27),0)</f>
        <v>85659.21836624002</v>
      </c>
      <c r="N29" s="287">
        <f ca="1">OFFSET('kW Forecast (Weather Normal)'!$Y$18,COLUMN()-COLUMN($C$27),0)</f>
        <v>85799.26194210742</v>
      </c>
    </row>
    <row r="30" spans="2:14" x14ac:dyDescent="0.25">
      <c r="B30" s="21" t="str">
        <f t="shared" si="4"/>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Forecast'!$AC$19,COLUMN()-COLUMN($L30),0)</f>
        <v>13019.547179159843</v>
      </c>
      <c r="N30" s="287">
        <f ca="1">OFFSET('kW Forecast'!$AC$19,COLUMN()-COLUMN($L30),0)</f>
        <v>13198.013559683872</v>
      </c>
    </row>
    <row r="31" spans="2:14" x14ac:dyDescent="0.25">
      <c r="B31" s="21" t="str">
        <f t="shared" si="4"/>
        <v>Sentinel Lights</v>
      </c>
      <c r="C31" s="269">
        <f ca="1">OFFSET('kW Forecast (Weather Normal)'!$AK$18,COLUMN()-COLUMN($C$27),0)</f>
        <v>86.755510293508848</v>
      </c>
      <c r="D31" s="269">
        <f ca="1">OFFSET('kW Forecast (Weather Normal)'!$AK$18,COLUMN()-COLUMN($C$27),0)</f>
        <v>81.5277810773986</v>
      </c>
      <c r="E31" s="269">
        <f ca="1">OFFSET('kW Forecast (Weather Normal)'!$AK$18,COLUMN()-COLUMN($C$27),0)</f>
        <v>81.305027577187133</v>
      </c>
      <c r="F31" s="269">
        <f ca="1">OFFSET('kW Forecast (Weather Normal)'!$AK$18,COLUMN()-COLUMN($C$27),0)</f>
        <v>81.240865869233616</v>
      </c>
      <c r="G31" s="269">
        <f ca="1">OFFSET('kW Forecast (Weather Normal)'!$AK$18,COLUMN()-COLUMN($C$27),0)</f>
        <v>81.774388849390164</v>
      </c>
      <c r="H31" s="269">
        <f ca="1">OFFSET('kW Forecast (Weather Normal)'!$AK$18,COLUMN()-COLUMN($C$27),0)</f>
        <v>85.490031237760164</v>
      </c>
      <c r="I31" s="269">
        <f ca="1">OFFSET('kW Forecast (Weather Normal)'!$AK$18,COLUMN()-COLUMN($C$27),0)</f>
        <v>85.256451917438426</v>
      </c>
      <c r="J31" s="269">
        <f ca="1">OFFSET('kW Forecast (Weather Normal)'!$AK$18,COLUMN()-COLUMN($C$27),0)</f>
        <v>85.256451917438426</v>
      </c>
      <c r="K31" s="269">
        <f ca="1">OFFSET('kW Forecast (Weather Normal)'!$AK$18,COLUMN()-COLUMN($C$27),0)</f>
        <v>85.256451917438426</v>
      </c>
      <c r="L31" s="269">
        <f ca="1">OFFSET('kW Forecast (Weather Normal)'!$AK$18,COLUMN()-COLUMN($C$27),0)</f>
        <v>83.3826858319607</v>
      </c>
      <c r="M31" s="269">
        <f ca="1">OFFSET('kW Forecast (Weather Normal)'!$AK$18,COLUMN()-COLUMN($C$27),0)</f>
        <v>84.631863222279179</v>
      </c>
      <c r="N31" s="287">
        <f ca="1">OFFSET('kW Forecast (Weather Normal)'!$AK$18,COLUMN()-COLUMN($C$27),0)</f>
        <v>84.631863222279179</v>
      </c>
    </row>
    <row r="32" spans="2:14" ht="13.8" thickBot="1" x14ac:dyDescent="0.3">
      <c r="B32" s="144" t="s">
        <v>326</v>
      </c>
      <c r="C32" s="145">
        <f t="shared" ref="C32:L32" ca="1" si="5">SUM(C27:C31)</f>
        <v>1146098.6784743476</v>
      </c>
      <c r="D32" s="145">
        <f t="shared" ca="1" si="5"/>
        <v>1141911.3938051283</v>
      </c>
      <c r="E32" s="145">
        <f t="shared" ca="1" si="5"/>
        <v>1123581.6098376133</v>
      </c>
      <c r="F32" s="145">
        <f t="shared" ca="1" si="5"/>
        <v>1123388.339604127</v>
      </c>
      <c r="G32" s="145">
        <f t="shared" ca="1" si="5"/>
        <v>1125689.9674808176</v>
      </c>
      <c r="H32" s="145">
        <f t="shared" ca="1" si="5"/>
        <v>1044057.3747285743</v>
      </c>
      <c r="I32" s="145">
        <f t="shared" ca="1" si="5"/>
        <v>1052627.773506731</v>
      </c>
      <c r="J32" s="145">
        <f t="shared" ca="1" si="5"/>
        <v>1096017.0276600707</v>
      </c>
      <c r="K32" s="145">
        <f t="shared" ca="1" si="5"/>
        <v>1126668.6987929656</v>
      </c>
      <c r="L32" s="145">
        <f t="shared" ca="1" si="5"/>
        <v>1122726.2358056817</v>
      </c>
      <c r="M32" s="145">
        <f t="shared" ref="M32" ca="1" si="6">SUM(M27:M31)</f>
        <v>1127730.1636215241</v>
      </c>
      <c r="N32" s="146">
        <f t="shared" ref="N32" ca="1" si="7">SUM(N27:N31)</f>
        <v>1134761.2339972043</v>
      </c>
    </row>
    <row r="34" spans="2:14" ht="16.2" thickBot="1" x14ac:dyDescent="0.35">
      <c r="B34" s="19" t="s">
        <v>529</v>
      </c>
      <c r="C34" s="19"/>
    </row>
    <row r="35" spans="2:14" ht="39.6" x14ac:dyDescent="0.25">
      <c r="B35" s="141" t="s">
        <v>402</v>
      </c>
      <c r="C35" s="142" t="s">
        <v>530</v>
      </c>
      <c r="D35" s="142" t="s">
        <v>531</v>
      </c>
      <c r="E35" s="143" t="s">
        <v>532</v>
      </c>
    </row>
    <row r="36" spans="2:14" x14ac:dyDescent="0.25">
      <c r="B36" s="21" t="str">
        <f>B27</f>
        <v>GS 50-999</v>
      </c>
      <c r="C36" s="269">
        <f ca="1">N27</f>
        <v>842134.79457199015</v>
      </c>
      <c r="D36" s="269">
        <f ca="1">'CDM Adjustment'!O23</f>
        <v>15736.652681522452</v>
      </c>
      <c r="E36" s="287">
        <f ca="1">C36-D36</f>
        <v>826398.14189046773</v>
      </c>
    </row>
    <row r="37" spans="2:14" x14ac:dyDescent="0.25">
      <c r="B37" s="21" t="str">
        <f>B30</f>
        <v>Street Light</v>
      </c>
      <c r="C37" s="269">
        <f ca="1">N30</f>
        <v>13198.013559683872</v>
      </c>
      <c r="D37" s="269"/>
      <c r="E37" s="287">
        <f ca="1">C37-D37</f>
        <v>13198.013559683872</v>
      </c>
    </row>
    <row r="38" spans="2:14" ht="13.8" thickBot="1" x14ac:dyDescent="0.3">
      <c r="B38" s="144" t="s">
        <v>326</v>
      </c>
      <c r="C38" s="145">
        <f ca="1">SUM(C36:C37)</f>
        <v>855332.80813167407</v>
      </c>
      <c r="D38" s="145">
        <f ca="1">SUM(D36:D37)</f>
        <v>15736.652681522452</v>
      </c>
      <c r="E38" s="146">
        <f ca="1">SUM(E36:E37)</f>
        <v>839596.15545015165</v>
      </c>
    </row>
    <row r="40" spans="2:14" ht="16.2" thickBot="1" x14ac:dyDescent="0.35">
      <c r="B40" s="19" t="s">
        <v>545</v>
      </c>
    </row>
    <row r="41" spans="2:14" x14ac:dyDescent="0.25">
      <c r="B41" s="147" t="s">
        <v>441</v>
      </c>
      <c r="C41" s="148" t="s">
        <v>518</v>
      </c>
      <c r="D41" s="148" t="s">
        <v>519</v>
      </c>
      <c r="E41" s="148" t="s">
        <v>520</v>
      </c>
      <c r="F41" s="148" t="s">
        <v>521</v>
      </c>
      <c r="G41" s="148" t="s">
        <v>522</v>
      </c>
      <c r="H41" s="148" t="s">
        <v>523</v>
      </c>
      <c r="I41" s="148" t="s">
        <v>524</v>
      </c>
      <c r="J41" s="148" t="s">
        <v>525</v>
      </c>
      <c r="K41" s="148" t="s">
        <v>526</v>
      </c>
      <c r="L41" s="148" t="s">
        <v>527</v>
      </c>
      <c r="M41" s="148" t="s">
        <v>508</v>
      </c>
      <c r="N41" s="151" t="s">
        <v>509</v>
      </c>
    </row>
    <row r="42" spans="2:14" x14ac:dyDescent="0.25">
      <c r="B42" s="20" t="str">
        <f>B3</f>
        <v>Residential</v>
      </c>
      <c r="C42" s="269">
        <f ca="1">OFFSET('Customer Count'!$C$4,COLUMN()-COLUMN($C42),0)</f>
        <v>48571.666666666664</v>
      </c>
      <c r="D42" s="269">
        <f ca="1">OFFSET('Customer Count'!$C$4,COLUMN()-COLUMN($C42),0)</f>
        <v>49247.25</v>
      </c>
      <c r="E42" s="269">
        <f ca="1">OFFSET('Customer Count'!$C$4,COLUMN()-COLUMN($C42),0)</f>
        <v>52735.5</v>
      </c>
      <c r="F42" s="269">
        <f ca="1">OFFSET('Customer Count'!$C$4,COLUMN()-COLUMN($C42),0)</f>
        <v>53780.083333333336</v>
      </c>
      <c r="G42" s="269">
        <f ca="1">OFFSET('Customer Count'!$C$4,COLUMN()-COLUMN($C42),0)</f>
        <v>54576.5</v>
      </c>
      <c r="H42" s="269">
        <f ca="1">OFFSET('Customer Count'!$C$4,COLUMN()-COLUMN($C42),0)</f>
        <v>54548.583333333336</v>
      </c>
      <c r="I42" s="269">
        <f ca="1">OFFSET('Customer Count'!$C$4,COLUMN()-COLUMN($C42),0)</f>
        <v>55127.166666666664</v>
      </c>
      <c r="J42" s="269">
        <f ca="1">OFFSET('Customer Count'!$C$4,COLUMN()-COLUMN($C42),0)</f>
        <v>55761.75</v>
      </c>
      <c r="K42" s="269">
        <f ca="1">OFFSET('Customer Count'!$C$4,COLUMN()-COLUMN($C42),0)</f>
        <v>56980.916666666664</v>
      </c>
      <c r="L42" s="269">
        <f ca="1">OFFSET('Customer Count'!$C$17,COLUMN()-COLUMN($L42),0)</f>
        <v>57937</v>
      </c>
      <c r="M42" s="269">
        <f ca="1">OFFSET('Customer Count'!$C$17,COLUMN()-COLUMN($L42),0)</f>
        <v>58720.958472024264</v>
      </c>
      <c r="N42" s="287">
        <f ca="1">OFFSET('Customer Count'!$C$17,COLUMN()-COLUMN($L42),0)</f>
        <v>59515.388016844554</v>
      </c>
    </row>
    <row r="43" spans="2:14" x14ac:dyDescent="0.25">
      <c r="B43" s="21" t="str">
        <f>B4</f>
        <v>GS &lt; 50</v>
      </c>
      <c r="C43" s="269">
        <f ca="1">OFFSET('Customer Count'!$G$4,COLUMN()-COLUMN($C43),0)</f>
        <v>4020</v>
      </c>
      <c r="D43" s="269">
        <f ca="1">OFFSET('Customer Count'!$G$4,COLUMN()-COLUMN($C43),0)</f>
        <v>4149.75</v>
      </c>
      <c r="E43" s="269">
        <f ca="1">OFFSET('Customer Count'!$G$4,COLUMN()-COLUMN($C43),0)</f>
        <v>4161.916666666667</v>
      </c>
      <c r="F43" s="269">
        <f ca="1">OFFSET('Customer Count'!$G$4,COLUMN()-COLUMN($C43),0)</f>
        <v>4199.333333333333</v>
      </c>
      <c r="G43" s="269">
        <f ca="1">OFFSET('Customer Count'!$G$4,COLUMN()-COLUMN($C43),0)</f>
        <v>4194.833333333333</v>
      </c>
      <c r="H43" s="269">
        <f ca="1">OFFSET('Customer Count'!$G$4,COLUMN()-COLUMN($C43),0)</f>
        <v>4211.666666666667</v>
      </c>
      <c r="I43" s="269">
        <f ca="1">OFFSET('Customer Count'!$G$4,COLUMN()-COLUMN($C43),0)</f>
        <v>4271.083333333333</v>
      </c>
      <c r="J43" s="269">
        <f ca="1">OFFSET('Customer Count'!$G$4,COLUMN()-COLUMN($C43),0)</f>
        <v>4304.833333333333</v>
      </c>
      <c r="K43" s="269">
        <f ca="1">OFFSET('Customer Count'!$G$4,COLUMN()-COLUMN($C43),0)</f>
        <v>4393.416666666667</v>
      </c>
      <c r="L43" s="269">
        <f ca="1">OFFSET('Customer Count'!$G$17,COLUMN()-COLUMN($L43),0)</f>
        <v>4427.25</v>
      </c>
      <c r="M43" s="269">
        <f ca="1">OFFSET('Customer Count'!$G$17,COLUMN()-COLUMN($L43),0)</f>
        <v>4474.9765485843118</v>
      </c>
      <c r="N43" s="287">
        <f ca="1">OFFSET('Customer Count'!$G$17,COLUMN()-COLUMN($L43),0)</f>
        <v>4523.2147507424133</v>
      </c>
    </row>
    <row r="44" spans="2:14" ht="13.5" customHeight="1" x14ac:dyDescent="0.25">
      <c r="B44" s="21" t="str">
        <f>B5</f>
        <v>GS 50-999</v>
      </c>
      <c r="C44" s="269">
        <f ca="1">OFFSET('Customer Count'!$K$4,COLUMN()-COLUMN($C44),0)</f>
        <v>509.25</v>
      </c>
      <c r="D44" s="269">
        <f ca="1">OFFSET('Customer Count'!$K$4,COLUMN()-COLUMN($C44),0)</f>
        <v>517.58333333333337</v>
      </c>
      <c r="E44" s="269">
        <f ca="1">OFFSET('Customer Count'!$K$4,COLUMN()-COLUMN($C44),0)</f>
        <v>524</v>
      </c>
      <c r="F44" s="269">
        <f ca="1">OFFSET('Customer Count'!$K$4,COLUMN()-COLUMN($C44),0)</f>
        <v>515.41666666666663</v>
      </c>
      <c r="G44" s="269">
        <f ca="1">OFFSET('Customer Count'!$K$4,COLUMN()-COLUMN($C44),0)</f>
        <v>525.25</v>
      </c>
      <c r="H44" s="269">
        <f ca="1">OFFSET('Customer Count'!$K$4,COLUMN()-COLUMN($C44),0)</f>
        <v>537.83333333333337</v>
      </c>
      <c r="I44" s="269">
        <f ca="1">OFFSET('Customer Count'!$K$4,COLUMN()-COLUMN($C44),0)</f>
        <v>538.41666666666663</v>
      </c>
      <c r="J44" s="269">
        <f ca="1">OFFSET('Customer Count'!$K$4,COLUMN()-COLUMN($C44),0)</f>
        <v>543.08333333333337</v>
      </c>
      <c r="K44" s="269">
        <f ca="1">OFFSET('Customer Count'!$K$4,COLUMN()-COLUMN($C44),0)</f>
        <v>521.16666666666663</v>
      </c>
      <c r="L44" s="269">
        <f ca="1">OFFSET('Customer Count'!$K$17,COLUMN()-COLUMN($L44),0)</f>
        <v>516.66666666666663</v>
      </c>
      <c r="M44" s="269">
        <f ca="1">OFFSET('Customer Count'!$K$17,COLUMN()-COLUMN($L44),0)</f>
        <v>517.49711503370111</v>
      </c>
      <c r="N44" s="287">
        <f ca="1">OFFSET('Customer Count'!$K$17,COLUMN()-COLUMN($L44),0)</f>
        <v>518.3291633826384</v>
      </c>
    </row>
    <row r="45" spans="2:14" ht="13.5" customHeight="1" x14ac:dyDescent="0.25">
      <c r="B45" s="21"/>
      <c r="C45" s="269"/>
      <c r="D45" s="269"/>
      <c r="E45" s="269"/>
      <c r="F45" s="269"/>
      <c r="G45" s="269"/>
      <c r="H45" s="269"/>
      <c r="I45" s="269"/>
      <c r="J45" s="269"/>
      <c r="K45" s="269"/>
      <c r="L45" s="269"/>
      <c r="M45" s="269"/>
      <c r="N45" s="287"/>
    </row>
    <row r="46" spans="2:14" ht="13.5" customHeight="1" x14ac:dyDescent="0.25">
      <c r="B46" s="21"/>
      <c r="C46" s="269"/>
      <c r="D46" s="269"/>
      <c r="E46" s="269"/>
      <c r="F46" s="269"/>
      <c r="G46" s="269"/>
      <c r="H46" s="269"/>
      <c r="I46" s="269"/>
      <c r="J46" s="269"/>
      <c r="K46" s="269"/>
      <c r="L46" s="269"/>
      <c r="M46" s="269"/>
      <c r="N46" s="287"/>
    </row>
    <row r="47" spans="2:14" x14ac:dyDescent="0.25">
      <c r="B47" s="21" t="str">
        <f>B8</f>
        <v>Street Light</v>
      </c>
      <c r="C47" s="269">
        <f ca="1">OFFSET('Customer Count'!$W$4,COLUMN()-COLUMN($C47),0)</f>
        <v>12676.166666666666</v>
      </c>
      <c r="D47" s="269">
        <f ca="1">OFFSET('Customer Count'!$W$4,COLUMN()-COLUMN($C47),0)</f>
        <v>12955.333333333334</v>
      </c>
      <c r="E47" s="269">
        <f ca="1">OFFSET('Customer Count'!$W$4,COLUMN()-COLUMN($C47),0)</f>
        <v>13171.25</v>
      </c>
      <c r="F47" s="269">
        <f ca="1">OFFSET('Customer Count'!$W$4,COLUMN()-COLUMN($C47),0)</f>
        <v>13827.666666666666</v>
      </c>
      <c r="G47" s="269">
        <f ca="1">OFFSET('Customer Count'!$W$4,COLUMN()-COLUMN($C47),0)</f>
        <v>13934</v>
      </c>
      <c r="H47" s="269">
        <f ca="1">OFFSET('Customer Count'!$W$4,COLUMN()-COLUMN($C47),0)</f>
        <v>13979.416666666666</v>
      </c>
      <c r="I47" s="269">
        <f ca="1">OFFSET('Customer Count'!$W$4,COLUMN()-COLUMN($C47),0)</f>
        <v>14037.833333333334</v>
      </c>
      <c r="J47" s="269">
        <f ca="1">OFFSET('Customer Count'!$W$4,COLUMN()-COLUMN($C47),0)</f>
        <v>14204</v>
      </c>
      <c r="K47" s="269">
        <f ca="1">OFFSET('Customer Count'!$W$4,COLUMN()-COLUMN($C47),0)</f>
        <v>14384.333333333334</v>
      </c>
      <c r="L47" s="269">
        <f ca="1">OFFSET('Customer Count'!$W$17,COLUMN()-COLUMN($L47),0)</f>
        <v>14446.083333333334</v>
      </c>
      <c r="M47" s="269">
        <f ca="1">OFFSET('Customer Count'!$W$17,COLUMN()-COLUMN($L47),0)</f>
        <v>14644.139628111909</v>
      </c>
      <c r="N47" s="287">
        <f ca="1">OFFSET('Customer Count'!$W$17,COLUMN()-COLUMN($L47),0)</f>
        <v>14844.875226620359</v>
      </c>
    </row>
    <row r="48" spans="2:14" x14ac:dyDescent="0.25">
      <c r="B48" s="21" t="str">
        <f>B9</f>
        <v>Sentinel Lights</v>
      </c>
      <c r="C48" s="269">
        <f ca="1">OFFSET('Customer Count'!$AE$4,COLUMN()-COLUMN($C48),0)</f>
        <v>257.83333333333331</v>
      </c>
      <c r="D48" s="269">
        <f ca="1">OFFSET('Customer Count'!$AE$4,COLUMN()-COLUMN($C48),0)</f>
        <v>246.25</v>
      </c>
      <c r="E48" s="269">
        <f ca="1">OFFSET('Customer Count'!$AE$4,COLUMN()-COLUMN($C48),0)</f>
        <v>246.08333333333334</v>
      </c>
      <c r="F48" s="269">
        <f ca="1">OFFSET('Customer Count'!$AE$4,COLUMN()-COLUMN($C48),0)</f>
        <v>247.91666666666666</v>
      </c>
      <c r="G48" s="269">
        <f ca="1">OFFSET('Customer Count'!$AE$4,COLUMN()-COLUMN($C48),0)</f>
        <v>246.75</v>
      </c>
      <c r="H48" s="269">
        <f ca="1">OFFSET('Customer Count'!$AE$4,COLUMN()-COLUMN($C48),0)</f>
        <v>253.16666666666666</v>
      </c>
      <c r="I48" s="269">
        <f ca="1">OFFSET('Customer Count'!$AE$4,COLUMN()-COLUMN($C48),0)</f>
        <v>251.41666666666666</v>
      </c>
      <c r="J48" s="269">
        <f ca="1">OFFSET('Customer Count'!$AE$4,COLUMN()-COLUMN($C48),0)</f>
        <v>252.66666666666666</v>
      </c>
      <c r="K48" s="269">
        <f ca="1">OFFSET('Customer Count'!$AE$4,COLUMN()-COLUMN($C48),0)</f>
        <v>259.25</v>
      </c>
      <c r="L48" s="269">
        <f ca="1">OFFSET('Customer Count'!$AE$17,COLUMN()-COLUMN($L48),0)</f>
        <v>259.5</v>
      </c>
      <c r="M48" s="269">
        <f ca="1">OFFSET('Customer Count'!$AE$17,COLUMN()-COLUMN($L48),0)</f>
        <v>261.20541658257201</v>
      </c>
      <c r="N48" s="287">
        <f ca="1">OFFSET('Customer Count'!$AE$17,COLUMN()-COLUMN($L48),0)</f>
        <v>262.92223717223618</v>
      </c>
    </row>
    <row r="49" spans="2:14" x14ac:dyDescent="0.25">
      <c r="B49" s="21"/>
      <c r="C49" s="269"/>
      <c r="D49" s="269"/>
      <c r="E49" s="269"/>
      <c r="F49" s="269"/>
      <c r="G49" s="269"/>
      <c r="H49" s="269"/>
      <c r="I49" s="269"/>
      <c r="J49" s="269"/>
      <c r="K49" s="269"/>
      <c r="L49" s="269"/>
      <c r="M49" s="269"/>
      <c r="N49" s="287"/>
    </row>
    <row r="50" spans="2:14" ht="13.8" thickBot="1" x14ac:dyDescent="0.3">
      <c r="B50" s="144" t="s">
        <v>326</v>
      </c>
      <c r="C50" s="145">
        <f t="shared" ref="C50:J50" ca="1" si="8">SUM(C42:C48)</f>
        <v>66034.916666666657</v>
      </c>
      <c r="D50" s="145">
        <f t="shared" ca="1" si="8"/>
        <v>67116.166666666672</v>
      </c>
      <c r="E50" s="145">
        <f t="shared" ca="1" si="8"/>
        <v>70838.749999999985</v>
      </c>
      <c r="F50" s="145">
        <f t="shared" ca="1" si="8"/>
        <v>72570.416666666672</v>
      </c>
      <c r="G50" s="145">
        <f t="shared" ca="1" si="8"/>
        <v>73477.333333333343</v>
      </c>
      <c r="H50" s="145">
        <f t="shared" ca="1" si="8"/>
        <v>73530.666666666672</v>
      </c>
      <c r="I50" s="145">
        <f t="shared" ca="1" si="8"/>
        <v>74225.916666666672</v>
      </c>
      <c r="J50" s="145">
        <f t="shared" ca="1" si="8"/>
        <v>75066.333333333343</v>
      </c>
      <c r="K50" s="145">
        <f ca="1">SUM(K42:K48)</f>
        <v>76539.083333333328</v>
      </c>
      <c r="L50" s="150">
        <f ca="1">SUM(L42:L48)</f>
        <v>77586.5</v>
      </c>
      <c r="M50" s="145">
        <f ca="1">SUM(M42:M48)</f>
        <v>78618.77718033675</v>
      </c>
      <c r="N50" s="146">
        <f ca="1">SUM(N42:N48)</f>
        <v>79664.729394762209</v>
      </c>
    </row>
    <row r="52" spans="2:14" ht="16.2" thickBot="1" x14ac:dyDescent="0.35">
      <c r="B52" s="19" t="s">
        <v>535</v>
      </c>
      <c r="C52" s="140"/>
    </row>
    <row r="53" spans="2:14" ht="26.4" x14ac:dyDescent="0.25">
      <c r="B53" s="141">
        <v>2026</v>
      </c>
      <c r="C53" s="142" t="s">
        <v>401</v>
      </c>
      <c r="D53" s="142" t="s">
        <v>402</v>
      </c>
      <c r="E53" s="143" t="s">
        <v>545</v>
      </c>
    </row>
    <row r="54" spans="2:14" x14ac:dyDescent="0.25">
      <c r="B54" s="21" t="str">
        <f>B42</f>
        <v>Residential</v>
      </c>
      <c r="C54" s="269">
        <f ca="1">E15</f>
        <v>551504306.33943224</v>
      </c>
      <c r="D54" s="269"/>
      <c r="E54" s="287">
        <f ca="1">N42</f>
        <v>59515.388016844554</v>
      </c>
    </row>
    <row r="55" spans="2:14" x14ac:dyDescent="0.25">
      <c r="B55" s="21" t="str">
        <f>B43</f>
        <v>GS &lt; 50</v>
      </c>
      <c r="C55" s="269">
        <f ca="1">E16</f>
        <v>128276138.96033406</v>
      </c>
      <c r="D55" s="269"/>
      <c r="E55" s="287">
        <f ca="1">N43</f>
        <v>4523.2147507424133</v>
      </c>
    </row>
    <row r="56" spans="2:14" x14ac:dyDescent="0.25">
      <c r="B56" s="21" t="str">
        <f>B44</f>
        <v>GS 50-999</v>
      </c>
      <c r="C56" s="269">
        <f ca="1">E17</f>
        <v>326060503.67292589</v>
      </c>
      <c r="D56" s="269">
        <f ca="1">E36</f>
        <v>826398.14189046773</v>
      </c>
      <c r="E56" s="287">
        <f ca="1">N44</f>
        <v>518.3291633826384</v>
      </c>
    </row>
    <row r="57" spans="2:14" x14ac:dyDescent="0.25">
      <c r="B57" s="21"/>
      <c r="C57" s="269"/>
      <c r="D57" s="269"/>
      <c r="E57" s="287"/>
    </row>
    <row r="58" spans="2:14" x14ac:dyDescent="0.25">
      <c r="B58" s="21"/>
      <c r="C58" s="269"/>
      <c r="D58" s="269"/>
      <c r="E58" s="287"/>
    </row>
    <row r="59" spans="2:14" x14ac:dyDescent="0.25">
      <c r="B59" s="21" t="str">
        <f>B47</f>
        <v>Street Light</v>
      </c>
      <c r="C59" s="269">
        <f ca="1">E20</f>
        <v>4665081.9792804932</v>
      </c>
      <c r="D59" s="269">
        <f ca="1">E37</f>
        <v>13198.013559683872</v>
      </c>
      <c r="E59" s="287">
        <f ca="1">N47</f>
        <v>14844.875226620359</v>
      </c>
    </row>
    <row r="60" spans="2:14" x14ac:dyDescent="0.25">
      <c r="B60" s="21" t="str">
        <f>B48</f>
        <v>Sentinel Lights</v>
      </c>
      <c r="C60" s="269">
        <f ca="1">E21</f>
        <v>26717.919999999998</v>
      </c>
      <c r="D60" s="269"/>
      <c r="E60" s="287">
        <f ca="1">N48</f>
        <v>262.92223717223618</v>
      </c>
    </row>
    <row r="61" spans="2:14" x14ac:dyDescent="0.25">
      <c r="B61" s="21"/>
      <c r="C61" s="269"/>
      <c r="D61" s="269"/>
      <c r="E61" s="287"/>
    </row>
    <row r="62" spans="2:14" ht="13.8" thickBot="1" x14ac:dyDescent="0.3">
      <c r="B62" s="144" t="s">
        <v>326</v>
      </c>
      <c r="C62" s="145">
        <f ca="1">SUM(C54:C60)</f>
        <v>1010532748.8719727</v>
      </c>
      <c r="D62" s="145">
        <f ca="1">SUM(D54:D60)</f>
        <v>839596.15545015165</v>
      </c>
      <c r="E62" s="146">
        <f ca="1">SUM(E54:E60)</f>
        <v>79664.729394762209</v>
      </c>
    </row>
  </sheetData>
  <phoneticPr fontId="3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79998168889431442"/>
  </sheetPr>
  <dimension ref="A1:FG3286"/>
  <sheetViews>
    <sheetView workbookViewId="0">
      <pane xSplit="3" ySplit="1" topLeftCell="DX2" activePane="bottomRight" state="frozen"/>
      <selection activeCell="G45" sqref="G45"/>
      <selection pane="topRight" activeCell="G45" sqref="G45"/>
      <selection pane="bottomLeft" activeCell="G45" sqref="G45"/>
      <selection pane="bottomRight" activeCell="G45" sqref="G45"/>
    </sheetView>
  </sheetViews>
  <sheetFormatPr defaultColWidth="8.88671875" defaultRowHeight="13.2" x14ac:dyDescent="0.25"/>
  <cols>
    <col min="1" max="1" width="11.109375" style="1" customWidth="1"/>
    <col min="2" max="3" width="9.109375" style="1" bestFit="1" customWidth="1"/>
    <col min="4" max="4" width="11.88671875" style="1" bestFit="1" customWidth="1"/>
    <col min="5" max="6" width="11.33203125" style="1" customWidth="1"/>
    <col min="7" max="18" width="9.109375" style="1" bestFit="1" customWidth="1"/>
    <col min="19" max="19" width="14.77734375" style="24" bestFit="1" customWidth="1"/>
    <col min="20" max="20" width="16" style="24" customWidth="1"/>
    <col min="21" max="21" width="8.6640625" style="24" customWidth="1"/>
    <col min="22" max="32" width="8.6640625" style="1" customWidth="1"/>
    <col min="33" max="33" width="8.77734375" style="1" customWidth="1"/>
    <col min="34" max="34" width="16" style="24" customWidth="1"/>
    <col min="35" max="35" width="8.88671875" style="1"/>
    <col min="36" max="48" width="9.109375" style="1" bestFit="1" customWidth="1"/>
    <col min="49" max="49" width="9.5546875" style="1" bestFit="1" customWidth="1"/>
    <col min="50" max="62" width="9.109375" style="1" bestFit="1" customWidth="1"/>
    <col min="63" max="63" width="8.88671875" style="1"/>
    <col min="64" max="76" width="9.109375" style="1" bestFit="1" customWidth="1"/>
    <col min="77" max="77" width="8.88671875" style="1"/>
    <col min="78" max="90" width="9.109375" style="1" bestFit="1" customWidth="1"/>
    <col min="91" max="91" width="8.88671875" style="1"/>
    <col min="92" max="104" width="9.109375" style="1" bestFit="1" customWidth="1"/>
    <col min="105" max="105" width="8.88671875" style="1"/>
    <col min="106" max="118" width="9.109375" style="1" bestFit="1" customWidth="1"/>
    <col min="119" max="119" width="8.88671875" style="1"/>
    <col min="120" max="122" width="14.109375" style="1" bestFit="1" customWidth="1"/>
    <col min="123" max="123" width="16.44140625" style="1" customWidth="1"/>
    <col min="124" max="124" width="14" style="1" customWidth="1"/>
    <col min="125" max="127" width="14.109375" style="1" bestFit="1" customWidth="1"/>
    <col min="128" max="128" width="17" style="1" customWidth="1"/>
    <col min="129" max="129" width="12.77734375" style="1" bestFit="1" customWidth="1"/>
    <col min="130" max="141" width="8.88671875" style="1"/>
    <col min="142" max="142" width="12.33203125" style="1" bestFit="1" customWidth="1"/>
    <col min="143" max="143" width="10" style="1" bestFit="1" customWidth="1"/>
    <col min="144" max="144" width="11.109375" style="1" bestFit="1" customWidth="1"/>
    <col min="145" max="145" width="9.109375" style="1" bestFit="1" customWidth="1"/>
    <col min="146" max="147" width="8.88671875" style="1"/>
    <col min="148" max="152" width="9" style="1" bestFit="1" customWidth="1"/>
    <col min="153" max="16384" width="8.88671875" style="1"/>
  </cols>
  <sheetData>
    <row r="1" spans="1:163" x14ac:dyDescent="0.25">
      <c r="A1" s="3"/>
      <c r="D1" s="1" t="s">
        <v>50</v>
      </c>
      <c r="E1" s="1" t="s">
        <v>51</v>
      </c>
      <c r="F1" s="1" t="s">
        <v>52</v>
      </c>
      <c r="G1" s="1" t="s">
        <v>53</v>
      </c>
      <c r="H1" s="1" t="s">
        <v>54</v>
      </c>
      <c r="I1" s="1" t="s">
        <v>55</v>
      </c>
      <c r="J1" s="1" t="s">
        <v>56</v>
      </c>
      <c r="K1" s="1" t="s">
        <v>57</v>
      </c>
      <c r="L1" s="1" t="s">
        <v>58</v>
      </c>
      <c r="M1" s="1" t="s">
        <v>59</v>
      </c>
      <c r="N1" s="1" t="s">
        <v>60</v>
      </c>
      <c r="O1" s="1" t="s">
        <v>61</v>
      </c>
      <c r="P1" s="1" t="s">
        <v>62</v>
      </c>
      <c r="Q1" s="1" t="s">
        <v>63</v>
      </c>
      <c r="R1" s="1" t="s">
        <v>64</v>
      </c>
      <c r="DP1" s="1" t="str">
        <f>'Monthly Data'!F1</f>
        <v>Res_NoCDM</v>
      </c>
      <c r="DQ1" s="1" t="str">
        <f>'Monthly Data'!J1</f>
        <v>GS_lt_50_NoCDM</v>
      </c>
      <c r="DR1" s="4" t="str">
        <f>'Monthly Data'!N1</f>
        <v>GS_50_999_NoCDM</v>
      </c>
      <c r="DS1" s="4" t="str">
        <f>'Monthly Data'!S1</f>
        <v>GS_1000_4999_NoCDM</v>
      </c>
      <c r="DT1" s="4" t="str">
        <f>'Monthly Data'!V1</f>
        <v>GS_LU_kWh</v>
      </c>
      <c r="DU1" s="1" t="str">
        <f>DP1</f>
        <v>Res_NoCDM</v>
      </c>
      <c r="DV1" s="1" t="str">
        <f>DQ1</f>
        <v>GS_lt_50_NoCDM</v>
      </c>
      <c r="DW1" s="1" t="str">
        <f>DR1</f>
        <v>GS_50_999_NoCDM</v>
      </c>
      <c r="DX1" s="1" t="str">
        <f>DS1</f>
        <v>GS_1000_4999_NoCDM</v>
      </c>
      <c r="DY1" s="1" t="str">
        <f>DT1</f>
        <v>GS_LU_kWh</v>
      </c>
      <c r="ER1" s="24" t="str">
        <f>'Monthly Data'!F1</f>
        <v>Res_NoCDM</v>
      </c>
      <c r="ES1" s="24" t="str">
        <f>'Monthly Data'!J1</f>
        <v>GS_lt_50_NoCDM</v>
      </c>
      <c r="ET1" s="24" t="str">
        <f>'Monthly Data'!N1</f>
        <v>GS_50_999_NoCDM</v>
      </c>
      <c r="EU1" s="24" t="str">
        <f>'Monthly Data'!Q1</f>
        <v>GS_1000_4999_kWh</v>
      </c>
      <c r="EV1" s="24" t="str">
        <f>'Monthly Data'!V1</f>
        <v>GS_LU_kWh</v>
      </c>
      <c r="EW1" s="4"/>
      <c r="FF1" s="272"/>
      <c r="FG1" s="24"/>
    </row>
    <row r="2" spans="1:163" x14ac:dyDescent="0.25">
      <c r="A2" s="3">
        <v>42005</v>
      </c>
      <c r="B2" s="1">
        <v>2015</v>
      </c>
      <c r="C2" s="1">
        <v>1</v>
      </c>
      <c r="D2" s="272">
        <v>-7.7384467040673215</v>
      </c>
      <c r="E2" s="272">
        <v>859.89184782608675</v>
      </c>
      <c r="F2" s="272">
        <v>0</v>
      </c>
      <c r="G2" s="272">
        <v>797.89184782608675</v>
      </c>
      <c r="H2" s="272">
        <v>0</v>
      </c>
      <c r="I2" s="272">
        <v>735.89184782608675</v>
      </c>
      <c r="J2" s="272">
        <v>0</v>
      </c>
      <c r="K2" s="272">
        <v>673.89184782608697</v>
      </c>
      <c r="L2" s="272">
        <v>0</v>
      </c>
      <c r="M2" s="272">
        <v>611.89184782608697</v>
      </c>
      <c r="N2" s="272">
        <v>0</v>
      </c>
      <c r="O2" s="272">
        <v>549.89184782608709</v>
      </c>
      <c r="P2" s="272">
        <v>0</v>
      </c>
      <c r="Q2" s="272">
        <v>487.89184782608703</v>
      </c>
      <c r="R2" s="272">
        <v>0</v>
      </c>
      <c r="V2" s="1">
        <v>1</v>
      </c>
      <c r="W2" s="1">
        <f>V2+1</f>
        <v>2</v>
      </c>
      <c r="X2" s="1">
        <f t="shared" ref="X2:AG2" si="0">W2+1</f>
        <v>3</v>
      </c>
      <c r="Y2" s="1">
        <f>X2+1</f>
        <v>4</v>
      </c>
      <c r="Z2" s="1">
        <f t="shared" si="0"/>
        <v>5</v>
      </c>
      <c r="AA2" s="1">
        <f t="shared" si="0"/>
        <v>6</v>
      </c>
      <c r="AB2" s="1">
        <f t="shared" si="0"/>
        <v>7</v>
      </c>
      <c r="AC2" s="1">
        <f t="shared" si="0"/>
        <v>8</v>
      </c>
      <c r="AD2" s="1">
        <f t="shared" si="0"/>
        <v>9</v>
      </c>
      <c r="AE2" s="1">
        <f t="shared" si="0"/>
        <v>10</v>
      </c>
      <c r="AF2" s="1">
        <f t="shared" si="0"/>
        <v>11</v>
      </c>
      <c r="AG2" s="1">
        <f t="shared" si="0"/>
        <v>12</v>
      </c>
      <c r="AK2" s="1">
        <v>1</v>
      </c>
      <c r="AL2" s="1">
        <f>AK2+1</f>
        <v>2</v>
      </c>
      <c r="AM2" s="1">
        <f t="shared" ref="AM2:AV2" si="1">AL2+1</f>
        <v>3</v>
      </c>
      <c r="AN2" s="1">
        <f t="shared" si="1"/>
        <v>4</v>
      </c>
      <c r="AO2" s="1">
        <f t="shared" si="1"/>
        <v>5</v>
      </c>
      <c r="AP2" s="1">
        <f t="shared" si="1"/>
        <v>6</v>
      </c>
      <c r="AQ2" s="1">
        <f t="shared" si="1"/>
        <v>7</v>
      </c>
      <c r="AR2" s="1">
        <f t="shared" si="1"/>
        <v>8</v>
      </c>
      <c r="AS2" s="1">
        <f t="shared" si="1"/>
        <v>9</v>
      </c>
      <c r="AT2" s="1">
        <f t="shared" si="1"/>
        <v>10</v>
      </c>
      <c r="AU2" s="1">
        <f t="shared" si="1"/>
        <v>11</v>
      </c>
      <c r="AV2" s="1">
        <f t="shared" si="1"/>
        <v>12</v>
      </c>
      <c r="AY2" s="1">
        <v>1</v>
      </c>
      <c r="AZ2" s="1">
        <f>AY2+1</f>
        <v>2</v>
      </c>
      <c r="BA2" s="1">
        <f t="shared" ref="BA2:BJ2" si="2">AZ2+1</f>
        <v>3</v>
      </c>
      <c r="BB2" s="1">
        <f t="shared" si="2"/>
        <v>4</v>
      </c>
      <c r="BC2" s="1">
        <f t="shared" si="2"/>
        <v>5</v>
      </c>
      <c r="BD2" s="1">
        <f t="shared" si="2"/>
        <v>6</v>
      </c>
      <c r="BE2" s="1">
        <f t="shared" si="2"/>
        <v>7</v>
      </c>
      <c r="BF2" s="1">
        <f t="shared" si="2"/>
        <v>8</v>
      </c>
      <c r="BG2" s="1">
        <f t="shared" si="2"/>
        <v>9</v>
      </c>
      <c r="BH2" s="1">
        <f t="shared" si="2"/>
        <v>10</v>
      </c>
      <c r="BI2" s="1">
        <f t="shared" si="2"/>
        <v>11</v>
      </c>
      <c r="BJ2" s="1">
        <f t="shared" si="2"/>
        <v>12</v>
      </c>
      <c r="BM2" s="1">
        <v>1</v>
      </c>
      <c r="BN2" s="1">
        <f>BM2+1</f>
        <v>2</v>
      </c>
      <c r="BO2" s="1">
        <f t="shared" ref="BO2:BX2" si="3">BN2+1</f>
        <v>3</v>
      </c>
      <c r="BP2" s="1">
        <f t="shared" si="3"/>
        <v>4</v>
      </c>
      <c r="BQ2" s="1">
        <f t="shared" si="3"/>
        <v>5</v>
      </c>
      <c r="BR2" s="1">
        <f t="shared" si="3"/>
        <v>6</v>
      </c>
      <c r="BS2" s="1">
        <f t="shared" si="3"/>
        <v>7</v>
      </c>
      <c r="BT2" s="1">
        <f t="shared" si="3"/>
        <v>8</v>
      </c>
      <c r="BU2" s="1">
        <f t="shared" si="3"/>
        <v>9</v>
      </c>
      <c r="BV2" s="1">
        <f t="shared" si="3"/>
        <v>10</v>
      </c>
      <c r="BW2" s="1">
        <f t="shared" si="3"/>
        <v>11</v>
      </c>
      <c r="BX2" s="1">
        <f t="shared" si="3"/>
        <v>12</v>
      </c>
      <c r="CA2" s="1">
        <v>1</v>
      </c>
      <c r="CB2" s="1">
        <f>CA2+1</f>
        <v>2</v>
      </c>
      <c r="CC2" s="1">
        <f t="shared" ref="CC2:CL2" si="4">CB2+1</f>
        <v>3</v>
      </c>
      <c r="CD2" s="1">
        <f t="shared" si="4"/>
        <v>4</v>
      </c>
      <c r="CE2" s="1">
        <f t="shared" si="4"/>
        <v>5</v>
      </c>
      <c r="CF2" s="1">
        <f t="shared" si="4"/>
        <v>6</v>
      </c>
      <c r="CG2" s="1">
        <f t="shared" si="4"/>
        <v>7</v>
      </c>
      <c r="CH2" s="1">
        <f t="shared" si="4"/>
        <v>8</v>
      </c>
      <c r="CI2" s="1">
        <f t="shared" si="4"/>
        <v>9</v>
      </c>
      <c r="CJ2" s="1">
        <f t="shared" si="4"/>
        <v>10</v>
      </c>
      <c r="CK2" s="1">
        <f t="shared" si="4"/>
        <v>11</v>
      </c>
      <c r="CL2" s="1">
        <f t="shared" si="4"/>
        <v>12</v>
      </c>
      <c r="CO2" s="1">
        <v>1</v>
      </c>
      <c r="CP2" s="1">
        <f>CO2+1</f>
        <v>2</v>
      </c>
      <c r="CQ2" s="1">
        <f t="shared" ref="CQ2:CZ2" si="5">CP2+1</f>
        <v>3</v>
      </c>
      <c r="CR2" s="1">
        <f t="shared" si="5"/>
        <v>4</v>
      </c>
      <c r="CS2" s="1">
        <f t="shared" si="5"/>
        <v>5</v>
      </c>
      <c r="CT2" s="1">
        <f t="shared" si="5"/>
        <v>6</v>
      </c>
      <c r="CU2" s="1">
        <f t="shared" si="5"/>
        <v>7</v>
      </c>
      <c r="CV2" s="1">
        <f t="shared" si="5"/>
        <v>8</v>
      </c>
      <c r="CW2" s="1">
        <f t="shared" si="5"/>
        <v>9</v>
      </c>
      <c r="CX2" s="1">
        <f t="shared" si="5"/>
        <v>10</v>
      </c>
      <c r="CY2" s="1">
        <f t="shared" si="5"/>
        <v>11</v>
      </c>
      <c r="CZ2" s="1">
        <f t="shared" si="5"/>
        <v>12</v>
      </c>
      <c r="DC2" s="1">
        <v>1</v>
      </c>
      <c r="DD2" s="1">
        <f>DC2+1</f>
        <v>2</v>
      </c>
      <c r="DE2" s="1">
        <f t="shared" ref="DE2:DN2" si="6">DD2+1</f>
        <v>3</v>
      </c>
      <c r="DF2" s="1">
        <f t="shared" si="6"/>
        <v>4</v>
      </c>
      <c r="DG2" s="1">
        <f t="shared" si="6"/>
        <v>5</v>
      </c>
      <c r="DH2" s="1">
        <f t="shared" si="6"/>
        <v>6</v>
      </c>
      <c r="DI2" s="1">
        <f t="shared" si="6"/>
        <v>7</v>
      </c>
      <c r="DJ2" s="1">
        <f t="shared" si="6"/>
        <v>8</v>
      </c>
      <c r="DK2" s="1">
        <f t="shared" si="6"/>
        <v>9</v>
      </c>
      <c r="DL2" s="1">
        <f t="shared" si="6"/>
        <v>10</v>
      </c>
      <c r="DM2" s="1">
        <f t="shared" si="6"/>
        <v>11</v>
      </c>
      <c r="DN2" s="1">
        <f t="shared" si="6"/>
        <v>12</v>
      </c>
      <c r="DO2" s="24"/>
      <c r="DP2" s="18">
        <f>'Monthly Data'!F2</f>
        <v>49452804.208921209</v>
      </c>
      <c r="DQ2" s="18">
        <f>'Monthly Data'!J2</f>
        <v>13822388.796796555</v>
      </c>
      <c r="DR2" s="18">
        <f>'Monthly Data'!N2</f>
        <v>32704294.381073207</v>
      </c>
      <c r="DS2" s="4">
        <f>'Monthly Data'!S2</f>
        <v>6697602.8367803404</v>
      </c>
      <c r="DT2" s="4">
        <f>'Monthly Data'!V2</f>
        <v>3310187.7147286441</v>
      </c>
      <c r="DU2" s="18">
        <f>$EL$17+K2*$EL$18+N2*$EL$19</f>
        <v>50723562.852158681</v>
      </c>
      <c r="DV2" s="18">
        <f>$EL$37+I2*$EL$38+L2*$EL$39</f>
        <v>12760752.530177468</v>
      </c>
      <c r="DW2" s="18">
        <f>$EL$56+O2*$EL$57+N2*$EL$58</f>
        <v>33844576.620209962</v>
      </c>
      <c r="DX2" s="18">
        <f>$EL$75+M2*$EL$76+L2*$EL$77</f>
        <v>6894957.8328533489</v>
      </c>
      <c r="DY2" s="18">
        <f>$EL$93+M2*$EL$94+L2*$EL$95</f>
        <v>3227026.2028917666</v>
      </c>
      <c r="ER2" s="24">
        <f>'Monthly Data'!F2/'Monthly Data'!G2/'Monthly Data'!CD2</f>
        <v>34.567417466789699</v>
      </c>
      <c r="ES2" s="268">
        <f>'Monthly Data'!J2/'Monthly Data'!K2/'Monthly Data'!CD2</f>
        <v>111.66629340698282</v>
      </c>
      <c r="ET2" s="24">
        <f>'Monthly Data'!N2/'Monthly Data'!P2/'Monthly Data'!CD2</f>
        <v>2089.0638378200706</v>
      </c>
      <c r="EU2" s="24">
        <f>'Monthly Data'!Q2/'Monthly Data'!U2/'Monthly Data'!CD2</f>
        <v>17380.676255561295</v>
      </c>
      <c r="EV2" s="24">
        <f>'Monthly Data'!V2/'Monthly Data'!Z2/'Monthly Data'!CD2</f>
        <v>106780.24886221433</v>
      </c>
      <c r="EW2" s="24"/>
      <c r="FG2" s="24"/>
    </row>
    <row r="3" spans="1:163" x14ac:dyDescent="0.25">
      <c r="A3" s="3">
        <v>42036</v>
      </c>
      <c r="B3" s="1">
        <v>2015</v>
      </c>
      <c r="C3" s="1">
        <v>2</v>
      </c>
      <c r="D3" s="272">
        <v>-12.92336956521739</v>
      </c>
      <c r="E3" s="272">
        <v>921.85434782608706</v>
      </c>
      <c r="F3" s="272">
        <v>0</v>
      </c>
      <c r="G3" s="272">
        <v>865.85434782608706</v>
      </c>
      <c r="H3" s="272">
        <v>0</v>
      </c>
      <c r="I3" s="272">
        <v>809.85434782608706</v>
      </c>
      <c r="J3" s="272">
        <v>0</v>
      </c>
      <c r="K3" s="272">
        <v>753.85434782608695</v>
      </c>
      <c r="L3" s="272">
        <v>0</v>
      </c>
      <c r="M3" s="272">
        <v>697.85434782608695</v>
      </c>
      <c r="N3" s="272">
        <v>0</v>
      </c>
      <c r="O3" s="272">
        <v>641.85434782608695</v>
      </c>
      <c r="P3" s="272">
        <v>0</v>
      </c>
      <c r="Q3" s="272">
        <v>585.85434782608695</v>
      </c>
      <c r="R3" s="272">
        <v>0</v>
      </c>
      <c r="U3" s="418" t="s">
        <v>51</v>
      </c>
      <c r="V3" s="419" t="s">
        <v>65</v>
      </c>
      <c r="W3" s="419" t="s">
        <v>66</v>
      </c>
      <c r="X3" s="419" t="s">
        <v>67</v>
      </c>
      <c r="Y3" s="419" t="s">
        <v>68</v>
      </c>
      <c r="Z3" s="419" t="s">
        <v>69</v>
      </c>
      <c r="AA3" s="419" t="s">
        <v>142</v>
      </c>
      <c r="AB3" s="419" t="s">
        <v>143</v>
      </c>
      <c r="AC3" s="419" t="s">
        <v>144</v>
      </c>
      <c r="AD3" s="419" t="s">
        <v>73</v>
      </c>
      <c r="AE3" s="419" t="s">
        <v>74</v>
      </c>
      <c r="AF3" s="419" t="s">
        <v>75</v>
      </c>
      <c r="AG3" s="419" t="s">
        <v>76</v>
      </c>
      <c r="AJ3" s="418" t="s">
        <v>53</v>
      </c>
      <c r="AK3" s="419" t="s">
        <v>65</v>
      </c>
      <c r="AL3" s="419" t="s">
        <v>66</v>
      </c>
      <c r="AM3" s="419" t="s">
        <v>67</v>
      </c>
      <c r="AN3" s="419" t="s">
        <v>68</v>
      </c>
      <c r="AO3" s="419" t="s">
        <v>69</v>
      </c>
      <c r="AP3" s="419" t="s">
        <v>142</v>
      </c>
      <c r="AQ3" s="419" t="s">
        <v>143</v>
      </c>
      <c r="AR3" s="419" t="s">
        <v>144</v>
      </c>
      <c r="AS3" s="419" t="s">
        <v>73</v>
      </c>
      <c r="AT3" s="419" t="s">
        <v>74</v>
      </c>
      <c r="AU3" s="419" t="s">
        <v>75</v>
      </c>
      <c r="AV3" s="419" t="s">
        <v>76</v>
      </c>
      <c r="AX3" s="418" t="s">
        <v>55</v>
      </c>
      <c r="AY3" s="419" t="s">
        <v>65</v>
      </c>
      <c r="AZ3" s="419" t="s">
        <v>66</v>
      </c>
      <c r="BA3" s="419" t="s">
        <v>67</v>
      </c>
      <c r="BB3" s="419" t="s">
        <v>68</v>
      </c>
      <c r="BC3" s="419" t="s">
        <v>69</v>
      </c>
      <c r="BD3" s="419" t="s">
        <v>142</v>
      </c>
      <c r="BE3" s="419" t="s">
        <v>143</v>
      </c>
      <c r="BF3" s="419" t="s">
        <v>144</v>
      </c>
      <c r="BG3" s="419" t="s">
        <v>73</v>
      </c>
      <c r="BH3" s="419" t="s">
        <v>74</v>
      </c>
      <c r="BI3" s="419" t="s">
        <v>75</v>
      </c>
      <c r="BJ3" s="419" t="s">
        <v>76</v>
      </c>
      <c r="BL3" s="418" t="s">
        <v>57</v>
      </c>
      <c r="BM3" s="419" t="s">
        <v>65</v>
      </c>
      <c r="BN3" s="419" t="s">
        <v>66</v>
      </c>
      <c r="BO3" s="419" t="s">
        <v>67</v>
      </c>
      <c r="BP3" s="419" t="s">
        <v>68</v>
      </c>
      <c r="BQ3" s="419" t="s">
        <v>69</v>
      </c>
      <c r="BR3" s="419" t="s">
        <v>142</v>
      </c>
      <c r="BS3" s="419" t="s">
        <v>143</v>
      </c>
      <c r="BT3" s="419" t="s">
        <v>144</v>
      </c>
      <c r="BU3" s="419" t="s">
        <v>73</v>
      </c>
      <c r="BV3" s="419" t="s">
        <v>74</v>
      </c>
      <c r="BW3" s="419" t="s">
        <v>75</v>
      </c>
      <c r="BX3" s="419" t="s">
        <v>76</v>
      </c>
      <c r="BZ3" s="418" t="s">
        <v>59</v>
      </c>
      <c r="CA3" s="419" t="s">
        <v>65</v>
      </c>
      <c r="CB3" s="419" t="s">
        <v>66</v>
      </c>
      <c r="CC3" s="419" t="s">
        <v>67</v>
      </c>
      <c r="CD3" s="419" t="s">
        <v>68</v>
      </c>
      <c r="CE3" s="419" t="s">
        <v>69</v>
      </c>
      <c r="CF3" s="419" t="s">
        <v>142</v>
      </c>
      <c r="CG3" s="419" t="s">
        <v>143</v>
      </c>
      <c r="CH3" s="419" t="s">
        <v>144</v>
      </c>
      <c r="CI3" s="419" t="s">
        <v>73</v>
      </c>
      <c r="CJ3" s="419" t="s">
        <v>74</v>
      </c>
      <c r="CK3" s="419" t="s">
        <v>75</v>
      </c>
      <c r="CL3" s="419" t="s">
        <v>76</v>
      </c>
      <c r="CN3" s="418" t="s">
        <v>61</v>
      </c>
      <c r="CO3" s="419" t="s">
        <v>65</v>
      </c>
      <c r="CP3" s="419" t="s">
        <v>66</v>
      </c>
      <c r="CQ3" s="419" t="s">
        <v>67</v>
      </c>
      <c r="CR3" s="419" t="s">
        <v>68</v>
      </c>
      <c r="CS3" s="419" t="s">
        <v>69</v>
      </c>
      <c r="CT3" s="419" t="s">
        <v>142</v>
      </c>
      <c r="CU3" s="419" t="s">
        <v>143</v>
      </c>
      <c r="CV3" s="419" t="s">
        <v>144</v>
      </c>
      <c r="CW3" s="419" t="s">
        <v>73</v>
      </c>
      <c r="CX3" s="419" t="s">
        <v>74</v>
      </c>
      <c r="CY3" s="419" t="s">
        <v>75</v>
      </c>
      <c r="CZ3" s="419" t="s">
        <v>76</v>
      </c>
      <c r="DB3" s="418" t="s">
        <v>63</v>
      </c>
      <c r="DC3" s="419" t="s">
        <v>65</v>
      </c>
      <c r="DD3" s="419" t="s">
        <v>66</v>
      </c>
      <c r="DE3" s="419" t="s">
        <v>67</v>
      </c>
      <c r="DF3" s="419" t="s">
        <v>68</v>
      </c>
      <c r="DG3" s="419" t="s">
        <v>69</v>
      </c>
      <c r="DH3" s="419" t="s">
        <v>142</v>
      </c>
      <c r="DI3" s="419" t="s">
        <v>143</v>
      </c>
      <c r="DJ3" s="419" t="s">
        <v>144</v>
      </c>
      <c r="DK3" s="419" t="s">
        <v>73</v>
      </c>
      <c r="DL3" s="419" t="s">
        <v>74</v>
      </c>
      <c r="DM3" s="419" t="s">
        <v>75</v>
      </c>
      <c r="DN3" s="419" t="s">
        <v>76</v>
      </c>
      <c r="DP3" s="18">
        <f>'Monthly Data'!F3</f>
        <v>50302916.673507825</v>
      </c>
      <c r="DQ3" s="18">
        <f>'Monthly Data'!J3</f>
        <v>12768909.645815352</v>
      </c>
      <c r="DR3" s="18">
        <f>'Monthly Data'!N3</f>
        <v>34105863.490816332</v>
      </c>
      <c r="DS3" s="4">
        <f>'Monthly Data'!S3</f>
        <v>6292256.0165867163</v>
      </c>
      <c r="DT3" s="4">
        <f>'Monthly Data'!V3</f>
        <v>3180175.3551415652</v>
      </c>
      <c r="DU3" s="18">
        <f t="shared" ref="DU3:DU66" si="7">$EL$17+K3*$EL$18+N3*$EL$19</f>
        <v>53193008.933252774</v>
      </c>
      <c r="DV3" s="18">
        <f t="shared" ref="DV3:DV66" si="8">$EL$37+I3*$EL$38+L3*$EL$39</f>
        <v>13174413.317765638</v>
      </c>
      <c r="DW3" s="18">
        <f t="shared" ref="DW3:DW66" si="9">$EL$56+O3*$EL$57+N3*$EL$58</f>
        <v>35687457.658336587</v>
      </c>
      <c r="DX3" s="18">
        <f t="shared" ref="DX3:DX66" si="10">$EL$75+M3*$EL$76+L3*$EL$77</f>
        <v>6909803.7643912965</v>
      </c>
      <c r="DY3" s="18">
        <f t="shared" ref="DY3:DY66" si="11">$EL$93+M3*$EL$94+L3*$EL$95</f>
        <v>3245416.0114970752</v>
      </c>
      <c r="ER3" s="24">
        <f>'Monthly Data'!F3/'Monthly Data'!G3/'Monthly Data'!CD3</f>
        <v>38.809546960306868</v>
      </c>
      <c r="ES3" s="268">
        <f>'Monthly Data'!J3/'Monthly Data'!K3/'Monthly Data'!CD3</f>
        <v>114.2079858128095</v>
      </c>
      <c r="ET3" s="24">
        <f>'Monthly Data'!N3/'Monthly Data'!P3/'Monthly Data'!CD3</f>
        <v>2412.012976719684</v>
      </c>
      <c r="EU3" s="24">
        <f>'Monthly Data'!Q3/'Monthly Data'!U3/'Monthly Data'!CD3</f>
        <v>17944.442195179483</v>
      </c>
      <c r="EV3" s="24">
        <f>'Monthly Data'!V3/'Monthly Data'!Z3/'Monthly Data'!CD3</f>
        <v>113577.69125505591</v>
      </c>
      <c r="EW3" s="24"/>
      <c r="FG3" s="24"/>
    </row>
    <row r="4" spans="1:163" x14ac:dyDescent="0.25">
      <c r="A4" s="3">
        <v>42064</v>
      </c>
      <c r="B4" s="1">
        <v>2015</v>
      </c>
      <c r="C4" s="1">
        <v>3</v>
      </c>
      <c r="D4" s="272">
        <v>-2.5741935483870972</v>
      </c>
      <c r="E4" s="272">
        <v>699.80000000000007</v>
      </c>
      <c r="F4" s="272">
        <v>0</v>
      </c>
      <c r="G4" s="272">
        <v>637.79999999999995</v>
      </c>
      <c r="H4" s="272">
        <v>0</v>
      </c>
      <c r="I4" s="272">
        <v>575.79999999999995</v>
      </c>
      <c r="J4" s="272">
        <v>0</v>
      </c>
      <c r="K4" s="272">
        <v>513.79999999999995</v>
      </c>
      <c r="L4" s="272">
        <v>0</v>
      </c>
      <c r="M4" s="272">
        <v>451.8</v>
      </c>
      <c r="N4" s="272">
        <v>0</v>
      </c>
      <c r="O4" s="272">
        <v>389.8</v>
      </c>
      <c r="P4" s="272">
        <v>0</v>
      </c>
      <c r="Q4" s="272">
        <v>327.79999999999995</v>
      </c>
      <c r="R4" s="272">
        <v>0</v>
      </c>
      <c r="U4" s="1">
        <v>2015</v>
      </c>
      <c r="V4" s="280">
        <f t="shared" ref="V4:AG13" si="12">SUMIFS($E:$E,$B:$B,$U4,$C:$C,V$2)</f>
        <v>859.89184782608675</v>
      </c>
      <c r="W4" s="280">
        <f t="shared" si="12"/>
        <v>921.85434782608706</v>
      </c>
      <c r="X4" s="280">
        <f t="shared" si="12"/>
        <v>699.80000000000007</v>
      </c>
      <c r="Y4" s="280">
        <f t="shared" si="12"/>
        <v>406.75037878787873</v>
      </c>
      <c r="Z4" s="280">
        <f t="shared" si="12"/>
        <v>159.09689440993785</v>
      </c>
      <c r="AA4" s="280">
        <f t="shared" si="12"/>
        <v>93.137500000000045</v>
      </c>
      <c r="AB4" s="280">
        <f t="shared" si="12"/>
        <v>25.987500000000004</v>
      </c>
      <c r="AC4" s="280">
        <f t="shared" si="12"/>
        <v>40.1875</v>
      </c>
      <c r="AD4" s="280">
        <f t="shared" si="12"/>
        <v>78.99404761904762</v>
      </c>
      <c r="AE4" s="280">
        <f t="shared" si="12"/>
        <v>338.98750000000007</v>
      </c>
      <c r="AF4" s="280">
        <f t="shared" si="12"/>
        <v>431.77083333333331</v>
      </c>
      <c r="AG4" s="280">
        <f t="shared" si="12"/>
        <v>499.62590579710155</v>
      </c>
      <c r="AJ4" s="1">
        <v>2015</v>
      </c>
      <c r="AK4" s="280">
        <f t="shared" ref="AK4:AV13" si="13">SUMIFS($G:$G,$B:$B,$AJ4,$C:$C,AK$2)</f>
        <v>797.89184782608675</v>
      </c>
      <c r="AL4" s="280">
        <f t="shared" si="13"/>
        <v>865.85434782608706</v>
      </c>
      <c r="AM4" s="280">
        <f t="shared" si="13"/>
        <v>637.79999999999995</v>
      </c>
      <c r="AN4" s="280">
        <f t="shared" si="13"/>
        <v>346.75037878787867</v>
      </c>
      <c r="AO4" s="280">
        <f t="shared" si="13"/>
        <v>108.22189440993786</v>
      </c>
      <c r="AP4" s="280">
        <f t="shared" si="13"/>
        <v>44.925000000000004</v>
      </c>
      <c r="AQ4" s="280">
        <f t="shared" si="13"/>
        <v>6.0874999999999986</v>
      </c>
      <c r="AR4" s="280">
        <f t="shared" si="13"/>
        <v>9.4166666666666572</v>
      </c>
      <c r="AS4" s="280">
        <f t="shared" si="13"/>
        <v>42.631547619047623</v>
      </c>
      <c r="AT4" s="280">
        <f t="shared" si="13"/>
        <v>276.98750000000001</v>
      </c>
      <c r="AU4" s="280">
        <f t="shared" si="13"/>
        <v>371.77083333333326</v>
      </c>
      <c r="AV4" s="280">
        <f t="shared" si="13"/>
        <v>437.62590579710155</v>
      </c>
      <c r="AW4" s="420">
        <f t="shared" ref="AW4:AW13" si="14">SUM(AK4:AV4)</f>
        <v>3945.9634222661393</v>
      </c>
      <c r="AX4" s="1">
        <v>2015</v>
      </c>
      <c r="AY4" s="280">
        <f t="shared" ref="AY4:BJ13" si="15">SUMIFS($I:$I,$B:$B,$AX4,$C:$C,AY$2)</f>
        <v>735.89184782608675</v>
      </c>
      <c r="AZ4" s="280">
        <f t="shared" si="15"/>
        <v>809.85434782608706</v>
      </c>
      <c r="BA4" s="280">
        <f t="shared" si="15"/>
        <v>575.79999999999995</v>
      </c>
      <c r="BB4" s="280">
        <f t="shared" si="15"/>
        <v>286.75037878787873</v>
      </c>
      <c r="BC4" s="280">
        <f t="shared" si="15"/>
        <v>67.211775362318832</v>
      </c>
      <c r="BD4" s="280">
        <f t="shared" si="15"/>
        <v>17.725000000000009</v>
      </c>
      <c r="BE4" s="280">
        <f t="shared" si="15"/>
        <v>0</v>
      </c>
      <c r="BF4" s="280">
        <f t="shared" si="15"/>
        <v>0.49166666666666714</v>
      </c>
      <c r="BG4" s="280">
        <f t="shared" si="15"/>
        <v>18.695833333333333</v>
      </c>
      <c r="BH4" s="280">
        <f t="shared" si="15"/>
        <v>215.98749999999998</v>
      </c>
      <c r="BI4" s="280">
        <f t="shared" si="15"/>
        <v>311.77083333333331</v>
      </c>
      <c r="BJ4" s="280">
        <f t="shared" si="15"/>
        <v>375.6259057971015</v>
      </c>
      <c r="BL4" s="1">
        <v>2015</v>
      </c>
      <c r="BM4" s="280">
        <f t="shared" ref="BM4:BX13" si="16">SUMIFS($K:$K,$B:$B,$BL4,$C:$C,BM$2)</f>
        <v>673.89184782608697</v>
      </c>
      <c r="BN4" s="280">
        <f t="shared" si="16"/>
        <v>753.85434782608695</v>
      </c>
      <c r="BO4" s="280">
        <f t="shared" si="16"/>
        <v>513.79999999999995</v>
      </c>
      <c r="BP4" s="280">
        <f t="shared" si="16"/>
        <v>226.75037878787884</v>
      </c>
      <c r="BQ4" s="280">
        <f t="shared" si="16"/>
        <v>35.578442028985506</v>
      </c>
      <c r="BR4" s="280">
        <f t="shared" si="16"/>
        <v>5.9875000000000078</v>
      </c>
      <c r="BS4" s="280">
        <f t="shared" si="16"/>
        <v>0</v>
      </c>
      <c r="BT4" s="280">
        <f t="shared" si="16"/>
        <v>0</v>
      </c>
      <c r="BU4" s="280">
        <f t="shared" si="16"/>
        <v>6.0041666666666682</v>
      </c>
      <c r="BV4" s="280">
        <f t="shared" si="16"/>
        <v>157.34583333333333</v>
      </c>
      <c r="BW4" s="280">
        <f t="shared" si="16"/>
        <v>252.04166666666663</v>
      </c>
      <c r="BX4" s="280">
        <f t="shared" si="16"/>
        <v>313.62590579710144</v>
      </c>
      <c r="BZ4" s="1">
        <v>2015</v>
      </c>
      <c r="CA4" s="280">
        <f t="shared" ref="CA4:CL13" si="17">SUMIFS($M:$M,$B:$B,$BZ4,$C:$C,CA$2)</f>
        <v>611.89184782608697</v>
      </c>
      <c r="CB4" s="280">
        <f t="shared" si="17"/>
        <v>697.85434782608695</v>
      </c>
      <c r="CC4" s="280">
        <f t="shared" si="17"/>
        <v>451.8</v>
      </c>
      <c r="CD4" s="280">
        <f t="shared" si="17"/>
        <v>168.28371212121215</v>
      </c>
      <c r="CE4" s="280">
        <f t="shared" si="17"/>
        <v>16.190942028985511</v>
      </c>
      <c r="CF4" s="280">
        <f t="shared" si="17"/>
        <v>0.6458333333333357</v>
      </c>
      <c r="CG4" s="280">
        <f t="shared" si="17"/>
        <v>0</v>
      </c>
      <c r="CH4" s="280">
        <f t="shared" si="17"/>
        <v>0</v>
      </c>
      <c r="CI4" s="280">
        <f t="shared" si="17"/>
        <v>3.7500000000001421E-2</v>
      </c>
      <c r="CJ4" s="280">
        <f t="shared" si="17"/>
        <v>104.88333333333331</v>
      </c>
      <c r="CK4" s="280">
        <f t="shared" si="17"/>
        <v>195.30833333333331</v>
      </c>
      <c r="CL4" s="280">
        <f t="shared" si="17"/>
        <v>251.62590579710138</v>
      </c>
      <c r="CN4" s="1">
        <v>2015</v>
      </c>
      <c r="CO4" s="280">
        <f t="shared" ref="CO4:CZ13" si="18">SUMIFS($O:$O,$B:$B,$CN4,$C:$C,CO$2)</f>
        <v>549.89184782608709</v>
      </c>
      <c r="CP4" s="280">
        <f t="shared" si="18"/>
        <v>641.85434782608695</v>
      </c>
      <c r="CQ4" s="280">
        <f t="shared" si="18"/>
        <v>389.8</v>
      </c>
      <c r="CR4" s="280">
        <f t="shared" si="18"/>
        <v>116.58371212121212</v>
      </c>
      <c r="CS4" s="280">
        <f t="shared" si="18"/>
        <v>4.3916666666666675</v>
      </c>
      <c r="CT4" s="280">
        <f t="shared" si="18"/>
        <v>0</v>
      </c>
      <c r="CU4" s="280">
        <f t="shared" si="18"/>
        <v>0</v>
      </c>
      <c r="CV4" s="280">
        <f t="shared" si="18"/>
        <v>0</v>
      </c>
      <c r="CW4" s="280">
        <f t="shared" si="18"/>
        <v>0</v>
      </c>
      <c r="CX4" s="280">
        <f t="shared" si="18"/>
        <v>61.262500000000003</v>
      </c>
      <c r="CY4" s="280">
        <f t="shared" si="18"/>
        <v>143.67916666666665</v>
      </c>
      <c r="CZ4" s="280">
        <f t="shared" si="18"/>
        <v>190.49257246376811</v>
      </c>
      <c r="DB4" s="1">
        <v>2015</v>
      </c>
      <c r="DC4" s="280">
        <f t="shared" ref="DC4:DN13" si="19">SUMIFS($Q:$Q,$B:$B,$DB4,$C:$C,DC$2)</f>
        <v>487.89184782608703</v>
      </c>
      <c r="DD4" s="280">
        <f t="shared" si="19"/>
        <v>585.85434782608695</v>
      </c>
      <c r="DE4" s="280">
        <f t="shared" si="19"/>
        <v>327.79999999999995</v>
      </c>
      <c r="DF4" s="280">
        <f t="shared" si="19"/>
        <v>72.862878787878799</v>
      </c>
      <c r="DG4" s="280">
        <f t="shared" si="19"/>
        <v>0</v>
      </c>
      <c r="DH4" s="280">
        <f t="shared" si="19"/>
        <v>0</v>
      </c>
      <c r="DI4" s="280">
        <f t="shared" si="19"/>
        <v>0</v>
      </c>
      <c r="DJ4" s="280">
        <f t="shared" si="19"/>
        <v>0</v>
      </c>
      <c r="DK4" s="280">
        <f t="shared" si="19"/>
        <v>0</v>
      </c>
      <c r="DL4" s="280">
        <f t="shared" si="19"/>
        <v>33.92916666666666</v>
      </c>
      <c r="DM4" s="280">
        <f t="shared" si="19"/>
        <v>99.970833333333317</v>
      </c>
      <c r="DN4" s="280">
        <f t="shared" si="19"/>
        <v>134.45072463768119</v>
      </c>
      <c r="DP4" s="18">
        <f>'Monthly Data'!F4</f>
        <v>41870929.863253012</v>
      </c>
      <c r="DQ4" s="18">
        <f>'Monthly Data'!J4</f>
        <v>12329126.124219459</v>
      </c>
      <c r="DR4" s="18">
        <f>'Monthly Data'!N4</f>
        <v>29483042.357302777</v>
      </c>
      <c r="DS4" s="4">
        <f>'Monthly Data'!S4</f>
        <v>6879107.4130763644</v>
      </c>
      <c r="DT4" s="4">
        <f>'Monthly Data'!V4</f>
        <v>3522503.9865684011</v>
      </c>
      <c r="DU4" s="18">
        <f t="shared" si="7"/>
        <v>45779518.003270239</v>
      </c>
      <c r="DV4" s="18">
        <f t="shared" si="8"/>
        <v>11865383.662735397</v>
      </c>
      <c r="DW4" s="18">
        <f t="shared" si="9"/>
        <v>30636418.61322505</v>
      </c>
      <c r="DX4" s="18">
        <f t="shared" si="10"/>
        <v>6867309.5837608995</v>
      </c>
      <c r="DY4" s="18">
        <f t="shared" si="11"/>
        <v>3192778.0314124362</v>
      </c>
      <c r="ER4" s="24">
        <f>'Monthly Data'!F4/'Monthly Data'!G4/'Monthly Data'!CD4</f>
        <v>28.908761544435801</v>
      </c>
      <c r="ES4" s="268">
        <f>'Monthly Data'!J4/'Monthly Data'!K4/'Monthly Data'!CD4</f>
        <v>99.777658289654582</v>
      </c>
      <c r="ET4" s="24">
        <f>'Monthly Data'!N4/'Monthly Data'!P4/'Monthly Data'!CD4</f>
        <v>1879.5768428728024</v>
      </c>
      <c r="EU4" s="24">
        <f>'Monthly Data'!Q4/'Monthly Data'!U4/'Monthly Data'!CD4</f>
        <v>17702.28979778248</v>
      </c>
      <c r="EV4" s="24">
        <f>'Monthly Data'!V4/'Monthly Data'!Z4/'Monthly Data'!CD4</f>
        <v>113629.16085704519</v>
      </c>
      <c r="EW4" s="24"/>
      <c r="FG4" s="24"/>
    </row>
    <row r="5" spans="1:163" x14ac:dyDescent="0.25">
      <c r="A5" s="3">
        <v>42095</v>
      </c>
      <c r="B5" s="1">
        <v>2015</v>
      </c>
      <c r="C5" s="1">
        <v>4</v>
      </c>
      <c r="D5" s="272">
        <v>6.4416540404040381</v>
      </c>
      <c r="E5" s="272">
        <v>406.75037878787873</v>
      </c>
      <c r="F5" s="272">
        <v>0</v>
      </c>
      <c r="G5" s="272">
        <v>346.75037878787867</v>
      </c>
      <c r="H5" s="272">
        <v>0</v>
      </c>
      <c r="I5" s="272">
        <v>286.75037878787873</v>
      </c>
      <c r="J5" s="272">
        <v>0</v>
      </c>
      <c r="K5" s="272">
        <v>226.75037878787884</v>
      </c>
      <c r="L5" s="272">
        <v>0</v>
      </c>
      <c r="M5" s="272">
        <v>168.28371212121215</v>
      </c>
      <c r="N5" s="272">
        <v>1.5333333333333332</v>
      </c>
      <c r="O5" s="272">
        <v>116.58371212121212</v>
      </c>
      <c r="P5" s="272">
        <v>9.8333333333333321</v>
      </c>
      <c r="Q5" s="272">
        <v>72.862878787878799</v>
      </c>
      <c r="R5" s="272">
        <v>26.112499999999997</v>
      </c>
      <c r="U5" s="1">
        <f t="shared" ref="U5:U15" si="20">U4+1</f>
        <v>2016</v>
      </c>
      <c r="V5" s="280">
        <f t="shared" si="12"/>
        <v>737.87916666666683</v>
      </c>
      <c r="W5" s="280">
        <f t="shared" si="12"/>
        <v>661.70833333333326</v>
      </c>
      <c r="X5" s="280">
        <f t="shared" si="12"/>
        <v>577.07934782608709</v>
      </c>
      <c r="Y5" s="280">
        <f t="shared" si="12"/>
        <v>465.98333333333341</v>
      </c>
      <c r="Z5" s="280">
        <f t="shared" si="12"/>
        <v>203.72361111111115</v>
      </c>
      <c r="AA5" s="280">
        <f t="shared" si="12"/>
        <v>56.883333333333326</v>
      </c>
      <c r="AB5" s="280">
        <f t="shared" si="12"/>
        <v>8.75416666666667</v>
      </c>
      <c r="AC5" s="280">
        <f t="shared" si="12"/>
        <v>4.029166666666665</v>
      </c>
      <c r="AD5" s="280">
        <f t="shared" si="12"/>
        <v>80.145833333333343</v>
      </c>
      <c r="AE5" s="280">
        <f t="shared" si="12"/>
        <v>283.19583333333327</v>
      </c>
      <c r="AF5" s="280">
        <f t="shared" si="12"/>
        <v>437.33511904761912</v>
      </c>
      <c r="AG5" s="280">
        <f t="shared" si="12"/>
        <v>678.67083333333323</v>
      </c>
      <c r="AJ5" s="1">
        <f t="shared" ref="AJ5:AJ15" si="21">AJ4+1</f>
        <v>2016</v>
      </c>
      <c r="AK5" s="280">
        <f t="shared" si="13"/>
        <v>675.87916666666683</v>
      </c>
      <c r="AL5" s="280">
        <f t="shared" si="13"/>
        <v>603.70833333333337</v>
      </c>
      <c r="AM5" s="280">
        <f t="shared" si="13"/>
        <v>515.07934782608686</v>
      </c>
      <c r="AN5" s="280">
        <f t="shared" si="13"/>
        <v>405.98333333333341</v>
      </c>
      <c r="AO5" s="280">
        <f t="shared" si="13"/>
        <v>154.58611111111114</v>
      </c>
      <c r="AP5" s="280">
        <f t="shared" si="13"/>
        <v>30.204166666666669</v>
      </c>
      <c r="AQ5" s="280">
        <f t="shared" si="13"/>
        <v>1.6583333333333314</v>
      </c>
      <c r="AR5" s="280">
        <f t="shared" si="13"/>
        <v>1.1291666666666664</v>
      </c>
      <c r="AS5" s="280">
        <f t="shared" si="13"/>
        <v>40.929166666666667</v>
      </c>
      <c r="AT5" s="280">
        <f t="shared" si="13"/>
        <v>222.13333333333333</v>
      </c>
      <c r="AU5" s="280">
        <f t="shared" si="13"/>
        <v>377.33511904761912</v>
      </c>
      <c r="AV5" s="280">
        <f t="shared" si="13"/>
        <v>616.67083333333335</v>
      </c>
      <c r="AW5" s="420">
        <f t="shared" si="14"/>
        <v>3645.2964113181506</v>
      </c>
      <c r="AX5" s="1">
        <f t="shared" ref="AX5:AX15" si="22">AX4+1</f>
        <v>2016</v>
      </c>
      <c r="AY5" s="280">
        <f t="shared" si="15"/>
        <v>613.87916666666683</v>
      </c>
      <c r="AZ5" s="280">
        <f t="shared" si="15"/>
        <v>545.70833333333337</v>
      </c>
      <c r="BA5" s="280">
        <f t="shared" si="15"/>
        <v>453.07934782608692</v>
      </c>
      <c r="BB5" s="280">
        <f t="shared" si="15"/>
        <v>345.98333333333335</v>
      </c>
      <c r="BC5" s="280">
        <f t="shared" si="15"/>
        <v>111.69444444444443</v>
      </c>
      <c r="BD5" s="280">
        <f t="shared" si="15"/>
        <v>14.133333333333335</v>
      </c>
      <c r="BE5" s="280">
        <f t="shared" si="15"/>
        <v>0</v>
      </c>
      <c r="BF5" s="280">
        <f t="shared" si="15"/>
        <v>0</v>
      </c>
      <c r="BG5" s="280">
        <f t="shared" si="15"/>
        <v>15.7875</v>
      </c>
      <c r="BH5" s="280">
        <f t="shared" si="15"/>
        <v>166.45</v>
      </c>
      <c r="BI5" s="280">
        <f t="shared" si="15"/>
        <v>317.335119047619</v>
      </c>
      <c r="BJ5" s="280">
        <f t="shared" si="15"/>
        <v>554.67083333333346</v>
      </c>
      <c r="BL5" s="1">
        <f t="shared" ref="BL5:BL15" si="23">BL4+1</f>
        <v>2016</v>
      </c>
      <c r="BM5" s="280">
        <f t="shared" si="16"/>
        <v>551.87916666666672</v>
      </c>
      <c r="BN5" s="280">
        <f t="shared" si="16"/>
        <v>487.70833333333337</v>
      </c>
      <c r="BO5" s="280">
        <f t="shared" si="16"/>
        <v>391.07934782608697</v>
      </c>
      <c r="BP5" s="280">
        <f t="shared" si="16"/>
        <v>286.81666666666661</v>
      </c>
      <c r="BQ5" s="280">
        <f t="shared" si="16"/>
        <v>75.344444444444463</v>
      </c>
      <c r="BR5" s="280">
        <f t="shared" si="16"/>
        <v>3.9749999999999996</v>
      </c>
      <c r="BS5" s="280">
        <f t="shared" si="16"/>
        <v>0</v>
      </c>
      <c r="BT5" s="280">
        <f t="shared" si="16"/>
        <v>0</v>
      </c>
      <c r="BU5" s="280">
        <f t="shared" si="16"/>
        <v>4.9124999999999979</v>
      </c>
      <c r="BV5" s="280">
        <f t="shared" si="16"/>
        <v>121.96666666666667</v>
      </c>
      <c r="BW5" s="280">
        <f t="shared" si="16"/>
        <v>257.33511904761906</v>
      </c>
      <c r="BX5" s="280">
        <f t="shared" si="16"/>
        <v>492.67083333333335</v>
      </c>
      <c r="BZ5" s="1">
        <f t="shared" ref="BZ5:BZ15" si="24">BZ4+1</f>
        <v>2016</v>
      </c>
      <c r="CA5" s="280">
        <f t="shared" si="17"/>
        <v>489.87916666666672</v>
      </c>
      <c r="CB5" s="280">
        <f t="shared" si="17"/>
        <v>429.70833333333337</v>
      </c>
      <c r="CC5" s="280">
        <f t="shared" si="17"/>
        <v>329.07934782608692</v>
      </c>
      <c r="CD5" s="280">
        <f t="shared" si="17"/>
        <v>229.20416666666662</v>
      </c>
      <c r="CE5" s="280">
        <f t="shared" si="17"/>
        <v>45.036111111111126</v>
      </c>
      <c r="CF5" s="280">
        <f t="shared" si="17"/>
        <v>0.65000000000000036</v>
      </c>
      <c r="CG5" s="280">
        <f t="shared" si="17"/>
        <v>0</v>
      </c>
      <c r="CH5" s="280">
        <f t="shared" si="17"/>
        <v>0</v>
      </c>
      <c r="CI5" s="280">
        <f t="shared" si="17"/>
        <v>0.8125</v>
      </c>
      <c r="CJ5" s="280">
        <f t="shared" si="17"/>
        <v>87.579166666666666</v>
      </c>
      <c r="CK5" s="280">
        <f t="shared" si="17"/>
        <v>198.66428571428571</v>
      </c>
      <c r="CL5" s="280">
        <f t="shared" si="17"/>
        <v>430.67083333333341</v>
      </c>
      <c r="CN5" s="1">
        <f t="shared" ref="CN5:CN15" si="25">CN4+1</f>
        <v>2016</v>
      </c>
      <c r="CO5" s="280">
        <f t="shared" si="18"/>
        <v>427.87916666666672</v>
      </c>
      <c r="CP5" s="280">
        <f t="shared" si="18"/>
        <v>371.70833333333337</v>
      </c>
      <c r="CQ5" s="280">
        <f t="shared" si="18"/>
        <v>267.07934782608692</v>
      </c>
      <c r="CR5" s="280">
        <f t="shared" si="18"/>
        <v>175.33749999999998</v>
      </c>
      <c r="CS5" s="280">
        <f t="shared" si="18"/>
        <v>18.829166666666676</v>
      </c>
      <c r="CT5" s="280">
        <f t="shared" si="18"/>
        <v>0</v>
      </c>
      <c r="CU5" s="280">
        <f t="shared" si="18"/>
        <v>0</v>
      </c>
      <c r="CV5" s="280">
        <f t="shared" si="18"/>
        <v>0</v>
      </c>
      <c r="CW5" s="280">
        <f t="shared" si="18"/>
        <v>0</v>
      </c>
      <c r="CX5" s="280">
        <f t="shared" si="18"/>
        <v>58.995833333333337</v>
      </c>
      <c r="CY5" s="280">
        <f t="shared" si="18"/>
        <v>141.00178571428572</v>
      </c>
      <c r="CZ5" s="280">
        <f t="shared" si="18"/>
        <v>368.67083333333341</v>
      </c>
      <c r="DB5" s="1">
        <f t="shared" ref="DB5:DB15" si="26">DB4+1</f>
        <v>2016</v>
      </c>
      <c r="DC5" s="280">
        <f t="shared" si="19"/>
        <v>365.87916666666672</v>
      </c>
      <c r="DD5" s="280">
        <f t="shared" si="19"/>
        <v>313.70833333333326</v>
      </c>
      <c r="DE5" s="280">
        <f t="shared" si="19"/>
        <v>207.6751811594203</v>
      </c>
      <c r="DF5" s="280">
        <f t="shared" si="19"/>
        <v>127.94999999999997</v>
      </c>
      <c r="DG5" s="280">
        <f t="shared" si="19"/>
        <v>4.2083333333333348</v>
      </c>
      <c r="DH5" s="280">
        <f t="shared" si="19"/>
        <v>0</v>
      </c>
      <c r="DI5" s="280">
        <f t="shared" si="19"/>
        <v>0</v>
      </c>
      <c r="DJ5" s="280">
        <f t="shared" si="19"/>
        <v>0</v>
      </c>
      <c r="DK5" s="280">
        <f t="shared" si="19"/>
        <v>0</v>
      </c>
      <c r="DL5" s="280">
        <f t="shared" si="19"/>
        <v>33.25</v>
      </c>
      <c r="DM5" s="280">
        <f t="shared" si="19"/>
        <v>89.230952380952388</v>
      </c>
      <c r="DN5" s="280">
        <f t="shared" si="19"/>
        <v>306.67083333333341</v>
      </c>
      <c r="DP5" s="18">
        <f>'Monthly Data'!F5</f>
        <v>37098204.799471788</v>
      </c>
      <c r="DQ5" s="18">
        <f>'Monthly Data'!J5</f>
        <v>10623916.171153571</v>
      </c>
      <c r="DR5" s="18">
        <f>'Monthly Data'!N5</f>
        <v>24984134.040233206</v>
      </c>
      <c r="DS5" s="4">
        <f>'Monthly Data'!S5</f>
        <v>6556816.3103235476</v>
      </c>
      <c r="DT5" s="4">
        <f>'Monthly Data'!V5</f>
        <v>3275756.0247792401</v>
      </c>
      <c r="DU5" s="18">
        <f t="shared" si="7"/>
        <v>37022524.646336846</v>
      </c>
      <c r="DV5" s="18">
        <f t="shared" si="8"/>
        <v>10248773.975898584</v>
      </c>
      <c r="DW5" s="18">
        <f t="shared" si="9"/>
        <v>25185256.504574329</v>
      </c>
      <c r="DX5" s="18">
        <f t="shared" si="10"/>
        <v>6818345.6355306637</v>
      </c>
      <c r="DY5" s="18">
        <f t="shared" si="11"/>
        <v>3132125.8834342076</v>
      </c>
      <c r="ER5" s="24">
        <f>'Monthly Data'!F5/'Monthly Data'!G5/'Monthly Data'!CD5</f>
        <v>26.313582863050531</v>
      </c>
      <c r="ES5" s="268">
        <f>'Monthly Data'!J5/'Monthly Data'!K5/'Monthly Data'!CD5</f>
        <v>88.687838476947746</v>
      </c>
      <c r="ET5" s="24">
        <f>'Monthly Data'!N5/'Monthly Data'!P5/'Monthly Data'!CD5</f>
        <v>1642.6123629344647</v>
      </c>
      <c r="EU5" s="24">
        <f>'Monthly Data'!Q5/'Monthly Data'!U5/'Monthly Data'!CD5</f>
        <v>17311.190368687203</v>
      </c>
      <c r="EV5" s="24">
        <f>'Monthly Data'!V5/'Monthly Data'!Z5/'Monthly Data'!CD5</f>
        <v>109191.86749264134</v>
      </c>
      <c r="EW5" s="24"/>
      <c r="FG5" s="24"/>
    </row>
    <row r="6" spans="1:163" x14ac:dyDescent="0.25">
      <c r="A6" s="3">
        <v>42125</v>
      </c>
      <c r="B6" s="1">
        <v>2015</v>
      </c>
      <c r="C6" s="1">
        <v>5</v>
      </c>
      <c r="D6" s="272">
        <v>14.880745341614906</v>
      </c>
      <c r="E6" s="272">
        <v>159.09689440993785</v>
      </c>
      <c r="F6" s="272">
        <v>0.39999999999999503</v>
      </c>
      <c r="G6" s="272">
        <v>108.22189440993786</v>
      </c>
      <c r="H6" s="272">
        <v>11.524999999999999</v>
      </c>
      <c r="I6" s="272">
        <v>67.211775362318832</v>
      </c>
      <c r="J6" s="272">
        <v>32.514880952380949</v>
      </c>
      <c r="K6" s="272">
        <v>35.578442028985506</v>
      </c>
      <c r="L6" s="272">
        <v>62.881547619047637</v>
      </c>
      <c r="M6" s="272">
        <v>16.190942028985511</v>
      </c>
      <c r="N6" s="272">
        <v>105.49404761904762</v>
      </c>
      <c r="O6" s="272">
        <v>4.3916666666666675</v>
      </c>
      <c r="P6" s="272">
        <v>155.69477225672881</v>
      </c>
      <c r="Q6" s="272">
        <v>0</v>
      </c>
      <c r="R6" s="272">
        <v>213.30310559006219</v>
      </c>
      <c r="U6" s="1">
        <f t="shared" si="20"/>
        <v>2017</v>
      </c>
      <c r="V6" s="280">
        <f t="shared" si="12"/>
        <v>682.2166666666667</v>
      </c>
      <c r="W6" s="280">
        <f t="shared" si="12"/>
        <v>586.08333333333337</v>
      </c>
      <c r="X6" s="280">
        <f t="shared" si="12"/>
        <v>661.67916666666667</v>
      </c>
      <c r="Y6" s="280">
        <f t="shared" si="12"/>
        <v>348.38749999999999</v>
      </c>
      <c r="Z6" s="280">
        <f t="shared" si="12"/>
        <v>247.16666666666663</v>
      </c>
      <c r="AA6" s="280">
        <f t="shared" si="12"/>
        <v>85.453333333333319</v>
      </c>
      <c r="AB6" s="280">
        <f t="shared" si="12"/>
        <v>14.412500000000009</v>
      </c>
      <c r="AC6" s="280">
        <f t="shared" si="12"/>
        <v>46.587500000000006</v>
      </c>
      <c r="AD6" s="280">
        <f t="shared" si="12"/>
        <v>100.06666666666666</v>
      </c>
      <c r="AE6" s="280">
        <f t="shared" si="12"/>
        <v>238.48333333333335</v>
      </c>
      <c r="AF6" s="280">
        <f t="shared" si="12"/>
        <v>502.61174242424244</v>
      </c>
      <c r="AG6" s="280">
        <f t="shared" si="12"/>
        <v>798.31250000000011</v>
      </c>
      <c r="AJ6" s="1">
        <f t="shared" si="21"/>
        <v>2017</v>
      </c>
      <c r="AK6" s="280">
        <f t="shared" si="13"/>
        <v>620.2166666666667</v>
      </c>
      <c r="AL6" s="280">
        <f t="shared" si="13"/>
        <v>530.08333333333337</v>
      </c>
      <c r="AM6" s="280">
        <f t="shared" si="13"/>
        <v>599.67916666666667</v>
      </c>
      <c r="AN6" s="280">
        <f t="shared" si="13"/>
        <v>288.73333333333335</v>
      </c>
      <c r="AO6" s="280">
        <f t="shared" si="13"/>
        <v>188.63749999999999</v>
      </c>
      <c r="AP6" s="280">
        <f t="shared" si="13"/>
        <v>47.73249999999998</v>
      </c>
      <c r="AQ6" s="280">
        <f t="shared" si="13"/>
        <v>1.8041666666666707</v>
      </c>
      <c r="AR6" s="280">
        <f t="shared" si="13"/>
        <v>17.950000000000006</v>
      </c>
      <c r="AS6" s="280">
        <f t="shared" si="13"/>
        <v>65.699999999999989</v>
      </c>
      <c r="AT6" s="280">
        <f t="shared" si="13"/>
        <v>179.70833333333334</v>
      </c>
      <c r="AU6" s="280">
        <f t="shared" si="13"/>
        <v>442.61174242424244</v>
      </c>
      <c r="AV6" s="280">
        <f t="shared" si="13"/>
        <v>736.31250000000011</v>
      </c>
      <c r="AW6" s="420">
        <f t="shared" si="14"/>
        <v>3719.1692424242428</v>
      </c>
      <c r="AX6" s="1">
        <f t="shared" si="22"/>
        <v>2017</v>
      </c>
      <c r="AY6" s="280">
        <f t="shared" si="15"/>
        <v>558.21666666666658</v>
      </c>
      <c r="AZ6" s="280">
        <f t="shared" si="15"/>
        <v>474.08333333333337</v>
      </c>
      <c r="BA6" s="280">
        <f t="shared" si="15"/>
        <v>537.67916666666656</v>
      </c>
      <c r="BB6" s="280">
        <f t="shared" si="15"/>
        <v>230.73333333333338</v>
      </c>
      <c r="BC6" s="280">
        <f t="shared" si="15"/>
        <v>134.83333333333331</v>
      </c>
      <c r="BD6" s="280">
        <f t="shared" si="15"/>
        <v>20.287499999999987</v>
      </c>
      <c r="BE6" s="280">
        <f t="shared" si="15"/>
        <v>0</v>
      </c>
      <c r="BF6" s="280">
        <f t="shared" si="15"/>
        <v>3.6416666666666693</v>
      </c>
      <c r="BG6" s="280">
        <f t="shared" si="15"/>
        <v>37.391666666666666</v>
      </c>
      <c r="BH6" s="280">
        <f t="shared" si="15"/>
        <v>124.7625</v>
      </c>
      <c r="BI6" s="280">
        <f t="shared" si="15"/>
        <v>382.61174242424244</v>
      </c>
      <c r="BJ6" s="280">
        <f t="shared" si="15"/>
        <v>674.31250000000011</v>
      </c>
      <c r="BL6" s="1">
        <f t="shared" si="23"/>
        <v>2017</v>
      </c>
      <c r="BM6" s="280">
        <f t="shared" si="16"/>
        <v>496.21666666666664</v>
      </c>
      <c r="BN6" s="280">
        <f t="shared" si="16"/>
        <v>418.08333333333331</v>
      </c>
      <c r="BO6" s="280">
        <f t="shared" si="16"/>
        <v>475.67916666666662</v>
      </c>
      <c r="BP6" s="280">
        <f t="shared" si="16"/>
        <v>174.03750000000005</v>
      </c>
      <c r="BQ6" s="280">
        <f t="shared" si="16"/>
        <v>88.129166666666677</v>
      </c>
      <c r="BR6" s="280">
        <f t="shared" si="16"/>
        <v>4.091666666666665</v>
      </c>
      <c r="BS6" s="280">
        <f t="shared" si="16"/>
        <v>0</v>
      </c>
      <c r="BT6" s="280">
        <f t="shared" si="16"/>
        <v>0</v>
      </c>
      <c r="BU6" s="280">
        <f t="shared" si="16"/>
        <v>16.833333333333329</v>
      </c>
      <c r="BV6" s="280">
        <f t="shared" si="16"/>
        <v>82.137500000000017</v>
      </c>
      <c r="BW6" s="280">
        <f t="shared" si="16"/>
        <v>322.61174242424249</v>
      </c>
      <c r="BX6" s="280">
        <f t="shared" si="16"/>
        <v>612.31250000000011</v>
      </c>
      <c r="BZ6" s="1">
        <f t="shared" si="24"/>
        <v>2017</v>
      </c>
      <c r="CA6" s="280">
        <f t="shared" si="17"/>
        <v>434.21666666666664</v>
      </c>
      <c r="CB6" s="280">
        <f t="shared" si="17"/>
        <v>362.08333333333331</v>
      </c>
      <c r="CC6" s="280">
        <f t="shared" si="17"/>
        <v>413.67916666666662</v>
      </c>
      <c r="CD6" s="280">
        <f t="shared" si="17"/>
        <v>120.79999999999997</v>
      </c>
      <c r="CE6" s="280">
        <f t="shared" si="17"/>
        <v>52.287499999999987</v>
      </c>
      <c r="CF6" s="280">
        <f t="shared" si="17"/>
        <v>0</v>
      </c>
      <c r="CG6" s="280">
        <f t="shared" si="17"/>
        <v>0</v>
      </c>
      <c r="CH6" s="280">
        <f t="shared" si="17"/>
        <v>0</v>
      </c>
      <c r="CI6" s="280">
        <f t="shared" si="17"/>
        <v>5.466666666666665</v>
      </c>
      <c r="CJ6" s="280">
        <f t="shared" si="17"/>
        <v>49.88333333333334</v>
      </c>
      <c r="CK6" s="280">
        <f t="shared" si="17"/>
        <v>262.61174242424244</v>
      </c>
      <c r="CL6" s="280">
        <f t="shared" si="17"/>
        <v>550.3125</v>
      </c>
      <c r="CN6" s="1">
        <f t="shared" si="25"/>
        <v>2017</v>
      </c>
      <c r="CO6" s="280">
        <f t="shared" si="18"/>
        <v>372.2166666666667</v>
      </c>
      <c r="CP6" s="280">
        <f t="shared" si="18"/>
        <v>306.08333333333326</v>
      </c>
      <c r="CQ6" s="280">
        <f t="shared" si="18"/>
        <v>351.67916666666656</v>
      </c>
      <c r="CR6" s="280">
        <f t="shared" si="18"/>
        <v>73.1458333333333</v>
      </c>
      <c r="CS6" s="280">
        <f t="shared" si="18"/>
        <v>26.741666666666656</v>
      </c>
      <c r="CT6" s="280">
        <f t="shared" si="18"/>
        <v>0</v>
      </c>
      <c r="CU6" s="280">
        <f t="shared" si="18"/>
        <v>0</v>
      </c>
      <c r="CV6" s="280">
        <f t="shared" si="18"/>
        <v>0</v>
      </c>
      <c r="CW6" s="280">
        <f t="shared" si="18"/>
        <v>1.3833333333333311</v>
      </c>
      <c r="CX6" s="280">
        <f t="shared" si="18"/>
        <v>26.758333333333336</v>
      </c>
      <c r="CY6" s="280">
        <f t="shared" si="18"/>
        <v>203.9075757575757</v>
      </c>
      <c r="CZ6" s="280">
        <f t="shared" si="18"/>
        <v>488.31250000000011</v>
      </c>
      <c r="DB6" s="1">
        <f t="shared" si="26"/>
        <v>2017</v>
      </c>
      <c r="DC6" s="280">
        <f t="shared" si="19"/>
        <v>310.2166666666667</v>
      </c>
      <c r="DD6" s="280">
        <f t="shared" si="19"/>
        <v>251.42499999999998</v>
      </c>
      <c r="DE6" s="280">
        <f t="shared" si="19"/>
        <v>290.67916666666662</v>
      </c>
      <c r="DF6" s="280">
        <f t="shared" si="19"/>
        <v>34.695833333333326</v>
      </c>
      <c r="DG6" s="280">
        <f t="shared" si="19"/>
        <v>10.045833333333327</v>
      </c>
      <c r="DH6" s="280">
        <f t="shared" si="19"/>
        <v>0</v>
      </c>
      <c r="DI6" s="280">
        <f t="shared" si="19"/>
        <v>0</v>
      </c>
      <c r="DJ6" s="280">
        <f t="shared" si="19"/>
        <v>0</v>
      </c>
      <c r="DK6" s="280">
        <f t="shared" si="19"/>
        <v>0</v>
      </c>
      <c r="DL6" s="280">
        <f t="shared" si="19"/>
        <v>11.620833333333334</v>
      </c>
      <c r="DM6" s="280">
        <f t="shared" si="19"/>
        <v>148.02424242424243</v>
      </c>
      <c r="DN6" s="280">
        <f t="shared" si="19"/>
        <v>426.3125</v>
      </c>
      <c r="DP6" s="18">
        <f>'Monthly Data'!F6</f>
        <v>31770390.553364351</v>
      </c>
      <c r="DQ6" s="18">
        <f>'Monthly Data'!J6</f>
        <v>10188832.832931003</v>
      </c>
      <c r="DR6" s="18">
        <f>'Monthly Data'!N6</f>
        <v>25167162.68985121</v>
      </c>
      <c r="DS6" s="4">
        <f>'Monthly Data'!S6</f>
        <v>7230750.9949512845</v>
      </c>
      <c r="DT6" s="4">
        <f>'Monthly Data'!V6</f>
        <v>3629287.263527994</v>
      </c>
      <c r="DU6" s="18">
        <f t="shared" si="7"/>
        <v>38429677.126181826</v>
      </c>
      <c r="DV6" s="18">
        <f t="shared" si="8"/>
        <v>9865936.5842065029</v>
      </c>
      <c r="DW6" s="18">
        <f t="shared" si="9"/>
        <v>24560894.668235175</v>
      </c>
      <c r="DX6" s="18">
        <f t="shared" si="10"/>
        <v>7241537.5711178398</v>
      </c>
      <c r="DY6" s="18">
        <f t="shared" si="11"/>
        <v>3186877.0536679956</v>
      </c>
      <c r="ER6" s="24">
        <f>'Monthly Data'!F6/'Monthly Data'!G6/'Monthly Data'!CD6</f>
        <v>21.589452457826916</v>
      </c>
      <c r="ES6" s="268">
        <f>'Monthly Data'!J6/'Monthly Data'!K6/'Monthly Data'!CD6</f>
        <v>82.209111272821914</v>
      </c>
      <c r="ET6" s="24">
        <f>'Monthly Data'!N6/'Monthly Data'!P6/'Monthly Data'!CD6</f>
        <v>1604.4346990852487</v>
      </c>
      <c r="EU6" s="24">
        <f>'Monthly Data'!Q6/'Monthly Data'!U6/'Monthly Data'!CD6</f>
        <v>18481.2662582265</v>
      </c>
      <c r="EV6" s="24">
        <f>'Monthly Data'!V6/'Monthly Data'!Z6/'Monthly Data'!CD6</f>
        <v>117073.78269445142</v>
      </c>
      <c r="EW6" s="24"/>
      <c r="FG6" s="24"/>
    </row>
    <row r="7" spans="1:163" x14ac:dyDescent="0.25">
      <c r="A7" s="3">
        <v>42156</v>
      </c>
      <c r="B7" s="1">
        <v>2015</v>
      </c>
      <c r="C7" s="1">
        <v>6</v>
      </c>
      <c r="D7" s="272">
        <v>16.987083333333334</v>
      </c>
      <c r="E7" s="272">
        <v>93.137500000000045</v>
      </c>
      <c r="F7" s="272">
        <v>2.7499999999999964</v>
      </c>
      <c r="G7" s="272">
        <v>44.925000000000004</v>
      </c>
      <c r="H7" s="272">
        <v>14.537499999999991</v>
      </c>
      <c r="I7" s="272">
        <v>17.725000000000009</v>
      </c>
      <c r="J7" s="272">
        <v>47.337499999999999</v>
      </c>
      <c r="K7" s="272">
        <v>5.9875000000000078</v>
      </c>
      <c r="L7" s="272">
        <v>95.599999999999966</v>
      </c>
      <c r="M7" s="272">
        <v>0.6458333333333357</v>
      </c>
      <c r="N7" s="272">
        <v>150.2583333333333</v>
      </c>
      <c r="O7" s="272">
        <v>0</v>
      </c>
      <c r="P7" s="272">
        <v>209.61250000000001</v>
      </c>
      <c r="Q7" s="272">
        <v>0</v>
      </c>
      <c r="R7" s="272">
        <v>269.61250000000001</v>
      </c>
      <c r="U7" s="1">
        <f t="shared" si="20"/>
        <v>2018</v>
      </c>
      <c r="V7" s="280">
        <f t="shared" si="12"/>
        <v>812.53750000000002</v>
      </c>
      <c r="W7" s="280">
        <f t="shared" si="12"/>
        <v>632.49583333333328</v>
      </c>
      <c r="X7" s="280">
        <f t="shared" si="12"/>
        <v>629.27916666666681</v>
      </c>
      <c r="Y7" s="280">
        <f t="shared" si="12"/>
        <v>512.51666666666677</v>
      </c>
      <c r="Z7" s="280">
        <f t="shared" si="12"/>
        <v>140.84469696969697</v>
      </c>
      <c r="AA7" s="280">
        <f t="shared" si="12"/>
        <v>63.468560606060585</v>
      </c>
      <c r="AB7" s="280">
        <f t="shared" si="12"/>
        <v>4.9668995859213254</v>
      </c>
      <c r="AC7" s="280">
        <f t="shared" si="12"/>
        <v>7.2291666666666679</v>
      </c>
      <c r="AD7" s="280">
        <f t="shared" si="12"/>
        <v>92.370833333333337</v>
      </c>
      <c r="AE7" s="280">
        <f t="shared" si="12"/>
        <v>364.80833333333339</v>
      </c>
      <c r="AF7" s="280">
        <f t="shared" si="12"/>
        <v>563.52499999999998</v>
      </c>
      <c r="AG7" s="280">
        <f t="shared" si="12"/>
        <v>646.91666666666663</v>
      </c>
      <c r="AJ7" s="1">
        <f t="shared" si="21"/>
        <v>2018</v>
      </c>
      <c r="AK7" s="280">
        <f t="shared" si="13"/>
        <v>750.53750000000002</v>
      </c>
      <c r="AL7" s="280">
        <f t="shared" si="13"/>
        <v>576.49583333333317</v>
      </c>
      <c r="AM7" s="280">
        <f t="shared" si="13"/>
        <v>567.2791666666667</v>
      </c>
      <c r="AN7" s="280">
        <f t="shared" si="13"/>
        <v>452.51666666666677</v>
      </c>
      <c r="AO7" s="280">
        <f t="shared" si="13"/>
        <v>95.407196969696969</v>
      </c>
      <c r="AP7" s="280">
        <f t="shared" si="13"/>
        <v>23.060227272727261</v>
      </c>
      <c r="AQ7" s="280">
        <f t="shared" si="13"/>
        <v>0.19999999999999574</v>
      </c>
      <c r="AR7" s="280">
        <f t="shared" si="13"/>
        <v>0.90833333333333144</v>
      </c>
      <c r="AS7" s="280">
        <f t="shared" si="13"/>
        <v>59.1875</v>
      </c>
      <c r="AT7" s="280">
        <f t="shared" si="13"/>
        <v>305.10000000000002</v>
      </c>
      <c r="AU7" s="280">
        <f t="shared" si="13"/>
        <v>503.52500000000003</v>
      </c>
      <c r="AV7" s="280">
        <f t="shared" si="13"/>
        <v>584.91666666666663</v>
      </c>
      <c r="AW7" s="420">
        <f t="shared" si="14"/>
        <v>3919.1340909090909</v>
      </c>
      <c r="AX7" s="1">
        <f t="shared" si="22"/>
        <v>2018</v>
      </c>
      <c r="AY7" s="280">
        <f t="shared" si="15"/>
        <v>688.53749999999991</v>
      </c>
      <c r="AZ7" s="280">
        <f t="shared" si="15"/>
        <v>520.49583333333328</v>
      </c>
      <c r="BA7" s="280">
        <f t="shared" si="15"/>
        <v>505.2791666666667</v>
      </c>
      <c r="BB7" s="280">
        <f t="shared" si="15"/>
        <v>392.51666666666677</v>
      </c>
      <c r="BC7" s="280">
        <f t="shared" si="15"/>
        <v>53.462500000000013</v>
      </c>
      <c r="BD7" s="280">
        <f t="shared" si="15"/>
        <v>7.645833333333325</v>
      </c>
      <c r="BE7" s="280">
        <f t="shared" si="15"/>
        <v>0</v>
      </c>
      <c r="BF7" s="280">
        <f t="shared" si="15"/>
        <v>0</v>
      </c>
      <c r="BG7" s="280">
        <f t="shared" si="15"/>
        <v>33.279166666666669</v>
      </c>
      <c r="BH7" s="280">
        <f t="shared" si="15"/>
        <v>248.88749999999993</v>
      </c>
      <c r="BI7" s="280">
        <f t="shared" si="15"/>
        <v>443.52500000000003</v>
      </c>
      <c r="BJ7" s="280">
        <f t="shared" si="15"/>
        <v>522.91666666666663</v>
      </c>
      <c r="BL7" s="1">
        <f t="shared" si="23"/>
        <v>2018</v>
      </c>
      <c r="BM7" s="280">
        <f t="shared" si="16"/>
        <v>626.53750000000002</v>
      </c>
      <c r="BN7" s="280">
        <f t="shared" si="16"/>
        <v>464.49583333333334</v>
      </c>
      <c r="BO7" s="280">
        <f t="shared" si="16"/>
        <v>443.2791666666667</v>
      </c>
      <c r="BP7" s="280">
        <f t="shared" si="16"/>
        <v>332.51666666666671</v>
      </c>
      <c r="BQ7" s="280">
        <f t="shared" si="16"/>
        <v>22.062500000000014</v>
      </c>
      <c r="BR7" s="280">
        <f t="shared" si="16"/>
        <v>3.3208333333333275</v>
      </c>
      <c r="BS7" s="280">
        <f t="shared" si="16"/>
        <v>0</v>
      </c>
      <c r="BT7" s="280">
        <f t="shared" si="16"/>
        <v>0</v>
      </c>
      <c r="BU7" s="280">
        <f t="shared" si="16"/>
        <v>13.695833333333338</v>
      </c>
      <c r="BV7" s="280">
        <f t="shared" si="16"/>
        <v>194.17916666666662</v>
      </c>
      <c r="BW7" s="280">
        <f t="shared" si="16"/>
        <v>383.52500000000003</v>
      </c>
      <c r="BX7" s="280">
        <f t="shared" si="16"/>
        <v>460.91666666666657</v>
      </c>
      <c r="BZ7" s="1">
        <f t="shared" si="24"/>
        <v>2018</v>
      </c>
      <c r="CA7" s="280">
        <f t="shared" si="17"/>
        <v>564.53750000000002</v>
      </c>
      <c r="CB7" s="280">
        <f t="shared" si="17"/>
        <v>408.49583333333334</v>
      </c>
      <c r="CC7" s="280">
        <f t="shared" si="17"/>
        <v>381.27916666666664</v>
      </c>
      <c r="CD7" s="280">
        <f t="shared" si="17"/>
        <v>272.51666666666665</v>
      </c>
      <c r="CE7" s="280">
        <f t="shared" si="17"/>
        <v>6.9291666666666698</v>
      </c>
      <c r="CF7" s="280">
        <f t="shared" si="17"/>
        <v>0</v>
      </c>
      <c r="CG7" s="280">
        <f t="shared" si="17"/>
        <v>0</v>
      </c>
      <c r="CH7" s="280">
        <f t="shared" si="17"/>
        <v>0</v>
      </c>
      <c r="CI7" s="280">
        <f t="shared" si="17"/>
        <v>2.1166666666666636</v>
      </c>
      <c r="CJ7" s="280">
        <f t="shared" si="17"/>
        <v>142.14999999999998</v>
      </c>
      <c r="CK7" s="280">
        <f t="shared" si="17"/>
        <v>323.52500000000003</v>
      </c>
      <c r="CL7" s="280">
        <f t="shared" si="17"/>
        <v>398.91666666666657</v>
      </c>
      <c r="CN7" s="1">
        <f t="shared" si="25"/>
        <v>2018</v>
      </c>
      <c r="CO7" s="280">
        <f t="shared" si="18"/>
        <v>502.53750000000002</v>
      </c>
      <c r="CP7" s="280">
        <f t="shared" si="18"/>
        <v>352.49583333333334</v>
      </c>
      <c r="CQ7" s="280">
        <f t="shared" si="18"/>
        <v>319.2791666666667</v>
      </c>
      <c r="CR7" s="280">
        <f t="shared" si="18"/>
        <v>212.57916666666659</v>
      </c>
      <c r="CS7" s="280">
        <f t="shared" si="18"/>
        <v>2.7874999999999988</v>
      </c>
      <c r="CT7" s="280">
        <f t="shared" si="18"/>
        <v>0</v>
      </c>
      <c r="CU7" s="280">
        <f t="shared" si="18"/>
        <v>0</v>
      </c>
      <c r="CV7" s="280">
        <f t="shared" si="18"/>
        <v>0</v>
      </c>
      <c r="CW7" s="280">
        <f t="shared" si="18"/>
        <v>0</v>
      </c>
      <c r="CX7" s="280">
        <f t="shared" si="18"/>
        <v>96.316666666666663</v>
      </c>
      <c r="CY7" s="280">
        <f t="shared" si="18"/>
        <v>263.86666666666662</v>
      </c>
      <c r="CZ7" s="280">
        <f t="shared" si="18"/>
        <v>336.91666666666657</v>
      </c>
      <c r="DB7" s="1">
        <f t="shared" si="26"/>
        <v>2018</v>
      </c>
      <c r="DC7" s="280">
        <f t="shared" si="19"/>
        <v>440.53750000000002</v>
      </c>
      <c r="DD7" s="280">
        <f t="shared" si="19"/>
        <v>296.49583333333334</v>
      </c>
      <c r="DE7" s="280">
        <f t="shared" si="19"/>
        <v>257.2791666666667</v>
      </c>
      <c r="DF7" s="280">
        <f t="shared" si="19"/>
        <v>158.6666666666666</v>
      </c>
      <c r="DG7" s="280">
        <f t="shared" si="19"/>
        <v>0.50416666666666554</v>
      </c>
      <c r="DH7" s="280">
        <f t="shared" si="19"/>
        <v>0</v>
      </c>
      <c r="DI7" s="280">
        <f t="shared" si="19"/>
        <v>0</v>
      </c>
      <c r="DJ7" s="280">
        <f t="shared" si="19"/>
        <v>0</v>
      </c>
      <c r="DK7" s="280">
        <f t="shared" si="19"/>
        <v>0</v>
      </c>
      <c r="DL7" s="280">
        <f t="shared" si="19"/>
        <v>55.56666666666667</v>
      </c>
      <c r="DM7" s="280">
        <f t="shared" si="19"/>
        <v>206.24583333333334</v>
      </c>
      <c r="DN7" s="280">
        <f t="shared" si="19"/>
        <v>274.91666666666663</v>
      </c>
      <c r="DP7" s="18">
        <f>'Monthly Data'!F7</f>
        <v>34887825.889012918</v>
      </c>
      <c r="DQ7" s="18">
        <f>'Monthly Data'!J7</f>
        <v>10184617.708334386</v>
      </c>
      <c r="DR7" s="18">
        <f>'Monthly Data'!N7</f>
        <v>24309134.101347797</v>
      </c>
      <c r="DS7" s="4">
        <f>'Monthly Data'!S7</f>
        <v>7609612.6560106054</v>
      </c>
      <c r="DT7" s="4">
        <f>'Monthly Data'!V7</f>
        <v>3515408.7356304238</v>
      </c>
      <c r="DU7" s="18">
        <f t="shared" si="7"/>
        <v>40663878.505782694</v>
      </c>
      <c r="DV7" s="18">
        <f t="shared" si="8"/>
        <v>10028838.266573653</v>
      </c>
      <c r="DW7" s="18">
        <f t="shared" si="9"/>
        <v>25172124.375524301</v>
      </c>
      <c r="DX7" s="18">
        <f t="shared" si="10"/>
        <v>7472714.7245308757</v>
      </c>
      <c r="DY7" s="18">
        <f t="shared" si="11"/>
        <v>3228969.1630236567</v>
      </c>
      <c r="ER7" s="24">
        <f>'Monthly Data'!F7/'Monthly Data'!G7/'Monthly Data'!CD7</f>
        <v>24.152682914157385</v>
      </c>
      <c r="ES7" s="268">
        <f>'Monthly Data'!J7/'Monthly Data'!K7/'Monthly Data'!CD7</f>
        <v>84.639056829837827</v>
      </c>
      <c r="ET7" s="24">
        <f>'Monthly Data'!N7/'Monthly Data'!P7/'Monthly Data'!CD7</f>
        <v>1595.0875394585169</v>
      </c>
      <c r="EU7" s="24">
        <f>'Monthly Data'!Q7/'Monthly Data'!U7/'Monthly Data'!CD7</f>
        <v>20063.779277290858</v>
      </c>
      <c r="EV7" s="24">
        <f>'Monthly Data'!V7/'Monthly Data'!Z7/'Monthly Data'!CD7</f>
        <v>117180.29118768079</v>
      </c>
      <c r="EW7" s="24"/>
      <c r="FG7" s="24"/>
    </row>
    <row r="8" spans="1:163" x14ac:dyDescent="0.25">
      <c r="A8" s="3">
        <v>42186</v>
      </c>
      <c r="B8" s="1">
        <v>2015</v>
      </c>
      <c r="C8" s="1">
        <v>7</v>
      </c>
      <c r="D8" s="272">
        <v>20.63024193548387</v>
      </c>
      <c r="E8" s="272">
        <v>25.987500000000004</v>
      </c>
      <c r="F8" s="272">
        <v>45.524999999999991</v>
      </c>
      <c r="G8" s="272">
        <v>6.0874999999999986</v>
      </c>
      <c r="H8" s="272">
        <v>87.624999999999986</v>
      </c>
      <c r="I8" s="272">
        <v>0</v>
      </c>
      <c r="J8" s="272">
        <v>143.53749999999999</v>
      </c>
      <c r="K8" s="272">
        <v>0</v>
      </c>
      <c r="L8" s="272">
        <v>205.53749999999997</v>
      </c>
      <c r="M8" s="272">
        <v>0</v>
      </c>
      <c r="N8" s="272">
        <v>267.53749999999997</v>
      </c>
      <c r="O8" s="272">
        <v>0</v>
      </c>
      <c r="P8" s="272">
        <v>329.53750000000002</v>
      </c>
      <c r="Q8" s="272">
        <v>0</v>
      </c>
      <c r="R8" s="272">
        <v>391.53750000000014</v>
      </c>
      <c r="U8" s="1">
        <f t="shared" si="20"/>
        <v>2019</v>
      </c>
      <c r="V8" s="280">
        <f t="shared" si="12"/>
        <v>841.93333333333351</v>
      </c>
      <c r="W8" s="280">
        <f t="shared" si="12"/>
        <v>695.30416666666645</v>
      </c>
      <c r="X8" s="280">
        <f t="shared" si="12"/>
        <v>673.45833333333326</v>
      </c>
      <c r="Y8" s="280">
        <f t="shared" si="12"/>
        <v>426.6541666666667</v>
      </c>
      <c r="Z8" s="280">
        <f t="shared" si="12"/>
        <v>267.53464912280702</v>
      </c>
      <c r="AA8" s="280">
        <f t="shared" si="12"/>
        <v>80.695833333333368</v>
      </c>
      <c r="AB8" s="280">
        <f t="shared" si="12"/>
        <v>0.97500000000000497</v>
      </c>
      <c r="AC8" s="280">
        <f t="shared" si="12"/>
        <v>19.091666666666661</v>
      </c>
      <c r="AD8" s="280">
        <f t="shared" si="12"/>
        <v>113.56666666666666</v>
      </c>
      <c r="AE8" s="280">
        <f t="shared" si="12"/>
        <v>303.96666666666664</v>
      </c>
      <c r="AF8" s="280">
        <f t="shared" si="12"/>
        <v>589.72500000000002</v>
      </c>
      <c r="AG8" s="280">
        <f t="shared" si="12"/>
        <v>676.42916666666656</v>
      </c>
      <c r="AJ8" s="1">
        <f t="shared" si="21"/>
        <v>2019</v>
      </c>
      <c r="AK8" s="280">
        <f t="shared" si="13"/>
        <v>779.93333333333351</v>
      </c>
      <c r="AL8" s="280">
        <f t="shared" si="13"/>
        <v>639.30416666666645</v>
      </c>
      <c r="AM8" s="280">
        <f t="shared" si="13"/>
        <v>611.45833333333337</v>
      </c>
      <c r="AN8" s="280">
        <f t="shared" si="13"/>
        <v>366.65416666666664</v>
      </c>
      <c r="AO8" s="280">
        <f t="shared" si="13"/>
        <v>205.53464912280697</v>
      </c>
      <c r="AP8" s="280">
        <f t="shared" si="13"/>
        <v>46.120833333333351</v>
      </c>
      <c r="AQ8" s="280">
        <f t="shared" si="13"/>
        <v>0</v>
      </c>
      <c r="AR8" s="280">
        <f t="shared" si="13"/>
        <v>4.645833333333325</v>
      </c>
      <c r="AS8" s="280">
        <f t="shared" si="13"/>
        <v>62.054166666666653</v>
      </c>
      <c r="AT8" s="280">
        <f t="shared" si="13"/>
        <v>243.77916666666664</v>
      </c>
      <c r="AU8" s="280">
        <f t="shared" si="13"/>
        <v>529.72500000000002</v>
      </c>
      <c r="AV8" s="280">
        <f t="shared" si="13"/>
        <v>614.42916666666667</v>
      </c>
      <c r="AW8" s="420">
        <f t="shared" si="14"/>
        <v>4103.6388157894735</v>
      </c>
      <c r="AX8" s="1">
        <f t="shared" si="22"/>
        <v>2019</v>
      </c>
      <c r="AY8" s="280">
        <f t="shared" si="15"/>
        <v>717.93333333333339</v>
      </c>
      <c r="AZ8" s="280">
        <f t="shared" si="15"/>
        <v>583.30416666666656</v>
      </c>
      <c r="BA8" s="280">
        <f t="shared" si="15"/>
        <v>549.45833333333326</v>
      </c>
      <c r="BB8" s="280">
        <f t="shared" si="15"/>
        <v>306.65416666666664</v>
      </c>
      <c r="BC8" s="280">
        <f t="shared" si="15"/>
        <v>145.93881578947367</v>
      </c>
      <c r="BD8" s="280">
        <f t="shared" si="15"/>
        <v>21.925000000000018</v>
      </c>
      <c r="BE8" s="280">
        <f t="shared" si="15"/>
        <v>0</v>
      </c>
      <c r="BF8" s="280">
        <f t="shared" si="15"/>
        <v>0</v>
      </c>
      <c r="BG8" s="280">
        <f t="shared" si="15"/>
        <v>21.004166666666656</v>
      </c>
      <c r="BH8" s="280">
        <f t="shared" si="15"/>
        <v>183.7791666666667</v>
      </c>
      <c r="BI8" s="280">
        <f t="shared" si="15"/>
        <v>469.72499999999997</v>
      </c>
      <c r="BJ8" s="280">
        <f t="shared" si="15"/>
        <v>552.42916666666667</v>
      </c>
      <c r="BL8" s="1">
        <f t="shared" si="23"/>
        <v>2019</v>
      </c>
      <c r="BM8" s="280">
        <f t="shared" si="16"/>
        <v>655.93333333333339</v>
      </c>
      <c r="BN8" s="280">
        <f t="shared" si="16"/>
        <v>527.30416666666656</v>
      </c>
      <c r="BO8" s="280">
        <f t="shared" si="16"/>
        <v>487.45833333333331</v>
      </c>
      <c r="BP8" s="280">
        <f t="shared" si="16"/>
        <v>246.6541666666667</v>
      </c>
      <c r="BQ8" s="280">
        <f t="shared" si="16"/>
        <v>92.742982456140368</v>
      </c>
      <c r="BR8" s="280">
        <f t="shared" si="16"/>
        <v>9.0750000000000011</v>
      </c>
      <c r="BS8" s="280">
        <f t="shared" si="16"/>
        <v>0</v>
      </c>
      <c r="BT8" s="280">
        <f t="shared" si="16"/>
        <v>0</v>
      </c>
      <c r="BU8" s="280">
        <f t="shared" si="16"/>
        <v>4.9833333333333325</v>
      </c>
      <c r="BV8" s="280">
        <f t="shared" si="16"/>
        <v>125.30000000000004</v>
      </c>
      <c r="BW8" s="280">
        <f t="shared" si="16"/>
        <v>409.72499999999997</v>
      </c>
      <c r="BX8" s="280">
        <f t="shared" si="16"/>
        <v>490.42916666666656</v>
      </c>
      <c r="BZ8" s="1">
        <f t="shared" si="24"/>
        <v>2019</v>
      </c>
      <c r="CA8" s="280">
        <f t="shared" si="17"/>
        <v>593.93333333333339</v>
      </c>
      <c r="CB8" s="280">
        <f t="shared" si="17"/>
        <v>471.30416666666662</v>
      </c>
      <c r="CC8" s="280">
        <f t="shared" si="17"/>
        <v>425.45833333333326</v>
      </c>
      <c r="CD8" s="280">
        <f t="shared" si="17"/>
        <v>187.50000000000003</v>
      </c>
      <c r="CE8" s="280">
        <f t="shared" si="17"/>
        <v>47.113815789473684</v>
      </c>
      <c r="CF8" s="280">
        <f t="shared" si="17"/>
        <v>3.9291666666666671</v>
      </c>
      <c r="CG8" s="280">
        <f t="shared" si="17"/>
        <v>0</v>
      </c>
      <c r="CH8" s="280">
        <f t="shared" si="17"/>
        <v>0</v>
      </c>
      <c r="CI8" s="280">
        <f t="shared" si="17"/>
        <v>0.4208333333333325</v>
      </c>
      <c r="CJ8" s="280">
        <f t="shared" si="17"/>
        <v>72.637500000000017</v>
      </c>
      <c r="CK8" s="280">
        <f t="shared" si="17"/>
        <v>349.72499999999997</v>
      </c>
      <c r="CL8" s="280">
        <f t="shared" si="17"/>
        <v>428.42916666666656</v>
      </c>
      <c r="CN8" s="1">
        <f t="shared" si="25"/>
        <v>2019</v>
      </c>
      <c r="CO8" s="280">
        <f t="shared" si="18"/>
        <v>531.93333333333328</v>
      </c>
      <c r="CP8" s="280">
        <f t="shared" si="18"/>
        <v>415.30416666666656</v>
      </c>
      <c r="CQ8" s="280">
        <f t="shared" si="18"/>
        <v>363.45833333333326</v>
      </c>
      <c r="CR8" s="280">
        <f t="shared" si="18"/>
        <v>129.53333333333336</v>
      </c>
      <c r="CS8" s="280">
        <f t="shared" si="18"/>
        <v>21.337500000000002</v>
      </c>
      <c r="CT8" s="280">
        <f t="shared" si="18"/>
        <v>0.97916666666666963</v>
      </c>
      <c r="CU8" s="280">
        <f t="shared" si="18"/>
        <v>0</v>
      </c>
      <c r="CV8" s="280">
        <f t="shared" si="18"/>
        <v>0</v>
      </c>
      <c r="CW8" s="280">
        <f t="shared" si="18"/>
        <v>0</v>
      </c>
      <c r="CX8" s="280">
        <f t="shared" si="18"/>
        <v>31.19583333333334</v>
      </c>
      <c r="CY8" s="280">
        <f t="shared" si="18"/>
        <v>289.72499999999997</v>
      </c>
      <c r="CZ8" s="280">
        <f t="shared" si="18"/>
        <v>366.42916666666656</v>
      </c>
      <c r="DB8" s="1">
        <f t="shared" si="26"/>
        <v>2019</v>
      </c>
      <c r="DC8" s="280">
        <f t="shared" si="19"/>
        <v>469.93333333333328</v>
      </c>
      <c r="DD8" s="280">
        <f t="shared" si="19"/>
        <v>359.30416666666662</v>
      </c>
      <c r="DE8" s="280">
        <f t="shared" si="19"/>
        <v>301.45833333333326</v>
      </c>
      <c r="DF8" s="280">
        <f t="shared" si="19"/>
        <v>81.245833333333351</v>
      </c>
      <c r="DG8" s="280">
        <f t="shared" si="19"/>
        <v>5.4041666666666659</v>
      </c>
      <c r="DH8" s="280">
        <f t="shared" si="19"/>
        <v>0</v>
      </c>
      <c r="DI8" s="280">
        <f t="shared" si="19"/>
        <v>0</v>
      </c>
      <c r="DJ8" s="280">
        <f t="shared" si="19"/>
        <v>0</v>
      </c>
      <c r="DK8" s="280">
        <f t="shared" si="19"/>
        <v>0</v>
      </c>
      <c r="DL8" s="280">
        <f t="shared" si="19"/>
        <v>8.0666666666666664</v>
      </c>
      <c r="DM8" s="280">
        <f t="shared" si="19"/>
        <v>229.72499999999999</v>
      </c>
      <c r="DN8" s="280">
        <f t="shared" si="19"/>
        <v>304.42916666666662</v>
      </c>
      <c r="DP8" s="18">
        <f>'Monthly Data'!F8</f>
        <v>40842121.370275021</v>
      </c>
      <c r="DQ8" s="18">
        <f>'Monthly Data'!J8</f>
        <v>11315953.589151742</v>
      </c>
      <c r="DR8" s="18">
        <f>'Monthly Data'!N8</f>
        <v>27428159.367891241</v>
      </c>
      <c r="DS8" s="4">
        <f>'Monthly Data'!S8</f>
        <v>7942122.611520865</v>
      </c>
      <c r="DT8" s="4">
        <f>'Monthly Data'!V8</f>
        <v>3903331.7192142233</v>
      </c>
      <c r="DU8" s="18">
        <f t="shared" si="7"/>
        <v>48726618.233603686</v>
      </c>
      <c r="DV8" s="18">
        <f t="shared" si="8"/>
        <v>11407055.217029551</v>
      </c>
      <c r="DW8" s="18">
        <f t="shared" si="9"/>
        <v>27004072.898000091</v>
      </c>
      <c r="DX8" s="18">
        <f t="shared" si="10"/>
        <v>8258403.9575536773</v>
      </c>
      <c r="DY8" s="18">
        <f t="shared" si="11"/>
        <v>3381439.1551290406</v>
      </c>
      <c r="ER8" s="24">
        <f>'Monthly Data'!F8/'Monthly Data'!G8/'Monthly Data'!CD8</f>
        <v>26.983876828221277</v>
      </c>
      <c r="ES8" s="268">
        <f>'Monthly Data'!J8/'Monthly Data'!K8/'Monthly Data'!CD8</f>
        <v>90.781089515140209</v>
      </c>
      <c r="ET8" s="24">
        <f>'Monthly Data'!N8/'Monthly Data'!P8/'Monthly Data'!CD8</f>
        <v>1741.6916032443003</v>
      </c>
      <c r="EU8" s="24">
        <f>'Monthly Data'!Q8/'Monthly Data'!U8/'Monthly Data'!CD8</f>
        <v>18671.310982729767</v>
      </c>
      <c r="EV8" s="24">
        <f>'Monthly Data'!V8/'Monthly Data'!Z8/'Monthly Data'!CD8</f>
        <v>125913.92642626527</v>
      </c>
      <c r="EW8" s="24"/>
      <c r="FG8" s="24"/>
    </row>
    <row r="9" spans="1:163" x14ac:dyDescent="0.25">
      <c r="A9" s="3">
        <v>42217</v>
      </c>
      <c r="B9" s="1">
        <v>2015</v>
      </c>
      <c r="C9" s="1">
        <v>8</v>
      </c>
      <c r="D9" s="272">
        <v>19.41747311827957</v>
      </c>
      <c r="E9" s="272">
        <v>40.1875</v>
      </c>
      <c r="F9" s="272">
        <v>22.12916666666667</v>
      </c>
      <c r="G9" s="272">
        <v>9.4166666666666572</v>
      </c>
      <c r="H9" s="272">
        <v>53.358333333333334</v>
      </c>
      <c r="I9" s="272">
        <v>0.49166666666666714</v>
      </c>
      <c r="J9" s="272">
        <v>106.43333333333335</v>
      </c>
      <c r="K9" s="272">
        <v>0</v>
      </c>
      <c r="L9" s="272">
        <v>167.94166666666666</v>
      </c>
      <c r="M9" s="272">
        <v>0</v>
      </c>
      <c r="N9" s="272">
        <v>229.94166666666666</v>
      </c>
      <c r="O9" s="272">
        <v>0</v>
      </c>
      <c r="P9" s="272">
        <v>291.94166666666666</v>
      </c>
      <c r="Q9" s="272">
        <v>0</v>
      </c>
      <c r="R9" s="272">
        <v>353.94166666666678</v>
      </c>
      <c r="U9" s="1">
        <f t="shared" si="20"/>
        <v>2020</v>
      </c>
      <c r="V9" s="280">
        <f t="shared" si="12"/>
        <v>690.82083333333321</v>
      </c>
      <c r="W9" s="280">
        <f t="shared" si="12"/>
        <v>678.4000000000002</v>
      </c>
      <c r="X9" s="280">
        <f t="shared" si="12"/>
        <v>543.57083333333344</v>
      </c>
      <c r="Y9" s="280">
        <f t="shared" si="12"/>
        <v>439.67500000000013</v>
      </c>
      <c r="Z9" s="280">
        <f t="shared" si="12"/>
        <v>265.14107142857148</v>
      </c>
      <c r="AA9" s="280">
        <f t="shared" si="12"/>
        <v>53.275000000000006</v>
      </c>
      <c r="AB9" s="280">
        <f t="shared" si="12"/>
        <v>0</v>
      </c>
      <c r="AC9" s="280">
        <f t="shared" si="12"/>
        <v>19.720833333333321</v>
      </c>
      <c r="AD9" s="280">
        <f t="shared" si="12"/>
        <v>132.75869565217394</v>
      </c>
      <c r="AE9" s="280">
        <f t="shared" si="12"/>
        <v>349.83333333333326</v>
      </c>
      <c r="AF9" s="280">
        <f t="shared" si="12"/>
        <v>426.30072463768113</v>
      </c>
      <c r="AG9" s="280">
        <f t="shared" si="12"/>
        <v>644.90416666666681</v>
      </c>
      <c r="AJ9" s="1">
        <f t="shared" si="21"/>
        <v>2020</v>
      </c>
      <c r="AK9" s="280">
        <f t="shared" si="13"/>
        <v>628.82083333333333</v>
      </c>
      <c r="AL9" s="280">
        <f t="shared" si="13"/>
        <v>620.40000000000009</v>
      </c>
      <c r="AM9" s="280">
        <f t="shared" si="13"/>
        <v>481.57083333333344</v>
      </c>
      <c r="AN9" s="280">
        <f t="shared" si="13"/>
        <v>379.67500000000013</v>
      </c>
      <c r="AO9" s="280">
        <f t="shared" si="13"/>
        <v>212.73690476190475</v>
      </c>
      <c r="AP9" s="280">
        <f t="shared" si="13"/>
        <v>29.733333333333348</v>
      </c>
      <c r="AQ9" s="280">
        <f t="shared" si="13"/>
        <v>0</v>
      </c>
      <c r="AR9" s="280">
        <f t="shared" si="13"/>
        <v>3.4874999999999972</v>
      </c>
      <c r="AS9" s="280">
        <f t="shared" si="13"/>
        <v>85.042028985507244</v>
      </c>
      <c r="AT9" s="280">
        <f t="shared" si="13"/>
        <v>287.83333333333331</v>
      </c>
      <c r="AU9" s="280">
        <f t="shared" si="13"/>
        <v>366.30072463768118</v>
      </c>
      <c r="AV9" s="280">
        <f t="shared" si="13"/>
        <v>582.90416666666681</v>
      </c>
      <c r="AW9" s="420">
        <f t="shared" si="14"/>
        <v>3678.5046583850935</v>
      </c>
      <c r="AX9" s="1">
        <f t="shared" si="22"/>
        <v>2020</v>
      </c>
      <c r="AY9" s="280">
        <f t="shared" si="15"/>
        <v>566.82083333333333</v>
      </c>
      <c r="AZ9" s="280">
        <f t="shared" si="15"/>
        <v>562.4</v>
      </c>
      <c r="BA9" s="280">
        <f t="shared" si="15"/>
        <v>419.57083333333344</v>
      </c>
      <c r="BB9" s="280">
        <f t="shared" si="15"/>
        <v>319.67500000000007</v>
      </c>
      <c r="BC9" s="280">
        <f t="shared" si="15"/>
        <v>164.60000000000005</v>
      </c>
      <c r="BD9" s="280">
        <f t="shared" si="15"/>
        <v>13.145833333333346</v>
      </c>
      <c r="BE9" s="280">
        <f t="shared" si="15"/>
        <v>0</v>
      </c>
      <c r="BF9" s="280">
        <f t="shared" si="15"/>
        <v>0</v>
      </c>
      <c r="BG9" s="280">
        <f t="shared" si="15"/>
        <v>46.033695652173925</v>
      </c>
      <c r="BH9" s="280">
        <f t="shared" si="15"/>
        <v>226.0625</v>
      </c>
      <c r="BI9" s="280">
        <f t="shared" si="15"/>
        <v>306.30072463768124</v>
      </c>
      <c r="BJ9" s="280">
        <f t="shared" si="15"/>
        <v>520.90416666666681</v>
      </c>
      <c r="BL9" s="1">
        <f t="shared" si="23"/>
        <v>2020</v>
      </c>
      <c r="BM9" s="280">
        <f t="shared" si="16"/>
        <v>504.82083333333333</v>
      </c>
      <c r="BN9" s="280">
        <f t="shared" si="16"/>
        <v>504.40000000000003</v>
      </c>
      <c r="BO9" s="280">
        <f t="shared" si="16"/>
        <v>357.57083333333344</v>
      </c>
      <c r="BP9" s="280">
        <f t="shared" si="16"/>
        <v>259.67500000000007</v>
      </c>
      <c r="BQ9" s="280">
        <f t="shared" si="16"/>
        <v>122.05</v>
      </c>
      <c r="BR9" s="280">
        <f t="shared" si="16"/>
        <v>3.4333333333333353</v>
      </c>
      <c r="BS9" s="280">
        <f t="shared" si="16"/>
        <v>0</v>
      </c>
      <c r="BT9" s="280">
        <f t="shared" si="16"/>
        <v>0</v>
      </c>
      <c r="BU9" s="280">
        <f t="shared" si="16"/>
        <v>23.967028985507248</v>
      </c>
      <c r="BV9" s="280">
        <f t="shared" si="16"/>
        <v>167.76250000000005</v>
      </c>
      <c r="BW9" s="280">
        <f t="shared" si="16"/>
        <v>246.30072463768118</v>
      </c>
      <c r="BX9" s="280">
        <f t="shared" si="16"/>
        <v>458.90416666666681</v>
      </c>
      <c r="BZ9" s="1">
        <f t="shared" si="24"/>
        <v>2020</v>
      </c>
      <c r="CA9" s="280">
        <f t="shared" si="17"/>
        <v>442.82083333333327</v>
      </c>
      <c r="CB9" s="280">
        <f t="shared" si="17"/>
        <v>446.40000000000003</v>
      </c>
      <c r="CC9" s="280">
        <f t="shared" si="17"/>
        <v>295.57083333333338</v>
      </c>
      <c r="CD9" s="280">
        <f t="shared" si="17"/>
        <v>199.67500000000004</v>
      </c>
      <c r="CE9" s="280">
        <f t="shared" si="17"/>
        <v>86.899999999999977</v>
      </c>
      <c r="CF9" s="280">
        <f t="shared" si="17"/>
        <v>0</v>
      </c>
      <c r="CG9" s="280">
        <f t="shared" si="17"/>
        <v>0</v>
      </c>
      <c r="CH9" s="280">
        <f t="shared" si="17"/>
        <v>0</v>
      </c>
      <c r="CI9" s="280">
        <f t="shared" si="17"/>
        <v>8.9666666666666686</v>
      </c>
      <c r="CJ9" s="280">
        <f t="shared" si="17"/>
        <v>112.09583333333335</v>
      </c>
      <c r="CK9" s="280">
        <f t="shared" si="17"/>
        <v>188.12989130434778</v>
      </c>
      <c r="CL9" s="280">
        <f t="shared" si="17"/>
        <v>396.9041666666667</v>
      </c>
      <c r="CN9" s="1">
        <f t="shared" si="25"/>
        <v>2020</v>
      </c>
      <c r="CO9" s="280">
        <f t="shared" si="18"/>
        <v>380.82083333333333</v>
      </c>
      <c r="CP9" s="280">
        <f t="shared" si="18"/>
        <v>388.40000000000003</v>
      </c>
      <c r="CQ9" s="280">
        <f t="shared" si="18"/>
        <v>233.60833333333338</v>
      </c>
      <c r="CR9" s="280">
        <f t="shared" si="18"/>
        <v>141.82916666666665</v>
      </c>
      <c r="CS9" s="280">
        <f t="shared" si="18"/>
        <v>59.029166666666669</v>
      </c>
      <c r="CT9" s="280">
        <f t="shared" si="18"/>
        <v>0</v>
      </c>
      <c r="CU9" s="280">
        <f t="shared" si="18"/>
        <v>0</v>
      </c>
      <c r="CV9" s="280">
        <f t="shared" si="18"/>
        <v>0</v>
      </c>
      <c r="CW9" s="280">
        <f t="shared" si="18"/>
        <v>2.2333333333333343</v>
      </c>
      <c r="CX9" s="280">
        <f t="shared" si="18"/>
        <v>71.3</v>
      </c>
      <c r="CY9" s="280">
        <f t="shared" si="18"/>
        <v>136.26322463768113</v>
      </c>
      <c r="CZ9" s="280">
        <f t="shared" si="18"/>
        <v>334.90416666666664</v>
      </c>
      <c r="DB9" s="1">
        <f t="shared" si="26"/>
        <v>2020</v>
      </c>
      <c r="DC9" s="280">
        <f t="shared" si="19"/>
        <v>318.82083333333333</v>
      </c>
      <c r="DD9" s="280">
        <f t="shared" si="19"/>
        <v>330.40000000000003</v>
      </c>
      <c r="DE9" s="280">
        <f t="shared" si="19"/>
        <v>174.47500000000005</v>
      </c>
      <c r="DF9" s="280">
        <f t="shared" si="19"/>
        <v>89.183333333333337</v>
      </c>
      <c r="DG9" s="280">
        <f t="shared" si="19"/>
        <v>36.524999999999999</v>
      </c>
      <c r="DH9" s="280">
        <f t="shared" si="19"/>
        <v>0</v>
      </c>
      <c r="DI9" s="280">
        <f t="shared" si="19"/>
        <v>0</v>
      </c>
      <c r="DJ9" s="280">
        <f t="shared" si="19"/>
        <v>0</v>
      </c>
      <c r="DK9" s="280">
        <f t="shared" si="19"/>
        <v>0</v>
      </c>
      <c r="DL9" s="280">
        <f t="shared" si="19"/>
        <v>38.454166666666666</v>
      </c>
      <c r="DM9" s="280">
        <f t="shared" si="19"/>
        <v>92.875724637681159</v>
      </c>
      <c r="DN9" s="280">
        <f t="shared" si="19"/>
        <v>272.9041666666667</v>
      </c>
      <c r="DP9" s="18">
        <f>'Monthly Data'!F9</f>
        <v>45385708.477988221</v>
      </c>
      <c r="DQ9" s="18">
        <f>'Monthly Data'!J9</f>
        <v>11031577.87167096</v>
      </c>
      <c r="DR9" s="18">
        <f>'Monthly Data'!N9</f>
        <v>26677898.168446716</v>
      </c>
      <c r="DS9" s="4">
        <f>'Monthly Data'!S9</f>
        <v>8021740.0875366963</v>
      </c>
      <c r="DT9" s="4">
        <f>'Monthly Data'!V9</f>
        <v>3934483.9152747728</v>
      </c>
      <c r="DU9" s="18">
        <f t="shared" si="7"/>
        <v>46082693.942921996</v>
      </c>
      <c r="DV9" s="18">
        <f t="shared" si="8"/>
        <v>10904588.804162504</v>
      </c>
      <c r="DW9" s="18">
        <f t="shared" si="9"/>
        <v>26416810.613625236</v>
      </c>
      <c r="DX9" s="18">
        <f t="shared" si="10"/>
        <v>7989680.0482220426</v>
      </c>
      <c r="DY9" s="18">
        <f t="shared" si="11"/>
        <v>3329251.0416349424</v>
      </c>
      <c r="ER9" s="24">
        <f>'Monthly Data'!F9/'Monthly Data'!G9/'Monthly Data'!CD9</f>
        <v>29.653550842444471</v>
      </c>
      <c r="ES9" s="268">
        <f>'Monthly Data'!J9/'Monthly Data'!K9/'Monthly Data'!CD9</f>
        <v>88.499714175345233</v>
      </c>
      <c r="ET9" s="24">
        <f>'Monthly Data'!N9/'Monthly Data'!P9/'Monthly Data'!CD9</f>
        <v>1680.8151567821772</v>
      </c>
      <c r="EU9" s="24">
        <f>'Monthly Data'!Q9/'Monthly Data'!U9/'Monthly Data'!CD9</f>
        <v>18792.118195436862</v>
      </c>
      <c r="EV9" s="24">
        <f>'Monthly Data'!V9/'Monthly Data'!Z9/'Monthly Data'!CD9</f>
        <v>126918.83597660558</v>
      </c>
      <c r="EW9" s="24"/>
      <c r="FG9" s="24"/>
    </row>
    <row r="10" spans="1:163" x14ac:dyDescent="0.25">
      <c r="A10" s="3">
        <v>42248</v>
      </c>
      <c r="B10" s="1">
        <v>2015</v>
      </c>
      <c r="C10" s="1">
        <v>9</v>
      </c>
      <c r="D10" s="272">
        <v>18.297420634920634</v>
      </c>
      <c r="E10" s="272">
        <v>78.99404761904762</v>
      </c>
      <c r="F10" s="272">
        <v>27.916666666666675</v>
      </c>
      <c r="G10" s="272">
        <v>42.631547619047623</v>
      </c>
      <c r="H10" s="272">
        <v>51.55416666666666</v>
      </c>
      <c r="I10" s="272">
        <v>18.695833333333333</v>
      </c>
      <c r="J10" s="272">
        <v>87.618452380952391</v>
      </c>
      <c r="K10" s="272">
        <v>6.0041666666666682</v>
      </c>
      <c r="L10" s="272">
        <v>134.9267857142857</v>
      </c>
      <c r="M10" s="272">
        <v>3.7500000000001421E-2</v>
      </c>
      <c r="N10" s="272">
        <v>188.96011904761906</v>
      </c>
      <c r="O10" s="272">
        <v>0</v>
      </c>
      <c r="P10" s="272">
        <v>248.92261904761907</v>
      </c>
      <c r="Q10" s="272">
        <v>0</v>
      </c>
      <c r="R10" s="272">
        <v>308.92261904761898</v>
      </c>
      <c r="U10" s="1">
        <f t="shared" si="20"/>
        <v>2021</v>
      </c>
      <c r="V10" s="280">
        <f t="shared" si="12"/>
        <v>715.50416666666661</v>
      </c>
      <c r="W10" s="280">
        <f t="shared" si="12"/>
        <v>709.45416666666654</v>
      </c>
      <c r="X10" s="280">
        <f t="shared" si="12"/>
        <v>554.59637681159427</v>
      </c>
      <c r="Y10" s="280">
        <f t="shared" si="12"/>
        <v>379.79583333333329</v>
      </c>
      <c r="Z10" s="280">
        <f t="shared" si="12"/>
        <v>221.92222222222222</v>
      </c>
      <c r="AA10" s="280">
        <f t="shared" si="12"/>
        <v>36.066666666666677</v>
      </c>
      <c r="AB10" s="280">
        <f t="shared" si="12"/>
        <v>25.516666666666669</v>
      </c>
      <c r="AC10" s="280">
        <f t="shared" si="12"/>
        <v>8.524999999999995</v>
      </c>
      <c r="AD10" s="280">
        <f t="shared" si="12"/>
        <v>93.104166666666671</v>
      </c>
      <c r="AE10" s="280">
        <f t="shared" si="12"/>
        <v>214.18749999999994</v>
      </c>
      <c r="AF10" s="280">
        <f t="shared" si="12"/>
        <v>506.31260351966881</v>
      </c>
      <c r="AG10" s="280">
        <f t="shared" si="12"/>
        <v>595.04583333333335</v>
      </c>
      <c r="AJ10" s="1">
        <f t="shared" si="21"/>
        <v>2021</v>
      </c>
      <c r="AK10" s="280">
        <f t="shared" si="13"/>
        <v>653.50416666666661</v>
      </c>
      <c r="AL10" s="280">
        <f t="shared" si="13"/>
        <v>653.45416666666654</v>
      </c>
      <c r="AM10" s="280">
        <f t="shared" si="13"/>
        <v>492.59637681159415</v>
      </c>
      <c r="AN10" s="280">
        <f t="shared" si="13"/>
        <v>319.79583333333329</v>
      </c>
      <c r="AO10" s="280">
        <f t="shared" si="13"/>
        <v>173.64305555555555</v>
      </c>
      <c r="AP10" s="280">
        <f t="shared" si="13"/>
        <v>14.254166666666677</v>
      </c>
      <c r="AQ10" s="280">
        <f t="shared" si="13"/>
        <v>5.3541666666666572</v>
      </c>
      <c r="AR10" s="280">
        <f t="shared" si="13"/>
        <v>0.69166666666666643</v>
      </c>
      <c r="AS10" s="280">
        <f t="shared" si="13"/>
        <v>45.679166666666674</v>
      </c>
      <c r="AT10" s="280">
        <f t="shared" si="13"/>
        <v>153.47499999999997</v>
      </c>
      <c r="AU10" s="280">
        <f t="shared" si="13"/>
        <v>446.3126035196687</v>
      </c>
      <c r="AV10" s="280">
        <f t="shared" si="13"/>
        <v>533.04583333333346</v>
      </c>
      <c r="AW10" s="420">
        <f t="shared" si="14"/>
        <v>3491.806202553485</v>
      </c>
      <c r="AX10" s="1">
        <f t="shared" si="22"/>
        <v>2021</v>
      </c>
      <c r="AY10" s="280">
        <f t="shared" si="15"/>
        <v>591.50416666666661</v>
      </c>
      <c r="AZ10" s="280">
        <f t="shared" si="15"/>
        <v>597.45416666666665</v>
      </c>
      <c r="BA10" s="280">
        <f t="shared" si="15"/>
        <v>430.59637681159427</v>
      </c>
      <c r="BB10" s="280">
        <f t="shared" si="15"/>
        <v>260.00833333333338</v>
      </c>
      <c r="BC10" s="280">
        <f t="shared" si="15"/>
        <v>127.04305555555555</v>
      </c>
      <c r="BD10" s="280">
        <f t="shared" si="15"/>
        <v>3.2708333333333357</v>
      </c>
      <c r="BE10" s="280">
        <f t="shared" si="15"/>
        <v>0.74583333333333002</v>
      </c>
      <c r="BF10" s="280">
        <f t="shared" si="15"/>
        <v>0</v>
      </c>
      <c r="BG10" s="280">
        <f t="shared" si="15"/>
        <v>20.066666666666677</v>
      </c>
      <c r="BH10" s="280">
        <f t="shared" si="15"/>
        <v>108.43333333333334</v>
      </c>
      <c r="BI10" s="280">
        <f t="shared" si="15"/>
        <v>386.3126035196687</v>
      </c>
      <c r="BJ10" s="280">
        <f t="shared" si="15"/>
        <v>471.04583333333335</v>
      </c>
      <c r="BL10" s="1">
        <f t="shared" si="23"/>
        <v>2021</v>
      </c>
      <c r="BM10" s="280">
        <f t="shared" si="16"/>
        <v>529.50416666666661</v>
      </c>
      <c r="BN10" s="280">
        <f t="shared" si="16"/>
        <v>541.45416666666677</v>
      </c>
      <c r="BO10" s="280">
        <f t="shared" si="16"/>
        <v>368.59637681159427</v>
      </c>
      <c r="BP10" s="280">
        <f t="shared" si="16"/>
        <v>203.50416666666672</v>
      </c>
      <c r="BQ10" s="280">
        <f t="shared" si="16"/>
        <v>83.376388888888897</v>
      </c>
      <c r="BR10" s="280">
        <f t="shared" si="16"/>
        <v>0</v>
      </c>
      <c r="BS10" s="280">
        <f t="shared" si="16"/>
        <v>0</v>
      </c>
      <c r="BT10" s="280">
        <f t="shared" si="16"/>
        <v>0</v>
      </c>
      <c r="BU10" s="280">
        <f t="shared" si="16"/>
        <v>5.9833333333333432</v>
      </c>
      <c r="BV10" s="280">
        <f t="shared" si="16"/>
        <v>72.749999999999986</v>
      </c>
      <c r="BW10" s="280">
        <f t="shared" si="16"/>
        <v>326.31260351966864</v>
      </c>
      <c r="BX10" s="280">
        <f t="shared" si="16"/>
        <v>409.04583333333335</v>
      </c>
      <c r="BZ10" s="1">
        <f t="shared" si="24"/>
        <v>2021</v>
      </c>
      <c r="CA10" s="280">
        <f t="shared" si="17"/>
        <v>467.50416666666661</v>
      </c>
      <c r="CB10" s="280">
        <f t="shared" si="17"/>
        <v>485.45416666666677</v>
      </c>
      <c r="CC10" s="280">
        <f t="shared" si="17"/>
        <v>306.89221014492756</v>
      </c>
      <c r="CD10" s="280">
        <f t="shared" si="17"/>
        <v>150.85000000000002</v>
      </c>
      <c r="CE10" s="280">
        <f t="shared" si="17"/>
        <v>50.724999999999987</v>
      </c>
      <c r="CF10" s="280">
        <f t="shared" si="17"/>
        <v>0</v>
      </c>
      <c r="CG10" s="280">
        <f t="shared" si="17"/>
        <v>0</v>
      </c>
      <c r="CH10" s="280">
        <f t="shared" si="17"/>
        <v>0</v>
      </c>
      <c r="CI10" s="280">
        <f t="shared" si="17"/>
        <v>0.28333333333333321</v>
      </c>
      <c r="CJ10" s="280">
        <f t="shared" si="17"/>
        <v>44.166666666666664</v>
      </c>
      <c r="CK10" s="280">
        <f t="shared" si="17"/>
        <v>266.31260351966876</v>
      </c>
      <c r="CL10" s="280">
        <f t="shared" si="17"/>
        <v>347.04583333333335</v>
      </c>
      <c r="CN10" s="1">
        <f t="shared" si="25"/>
        <v>2021</v>
      </c>
      <c r="CO10" s="280">
        <f t="shared" si="18"/>
        <v>405.50416666666661</v>
      </c>
      <c r="CP10" s="280">
        <f t="shared" si="18"/>
        <v>429.45416666666677</v>
      </c>
      <c r="CQ10" s="280">
        <f t="shared" si="18"/>
        <v>249.74637681159425</v>
      </c>
      <c r="CR10" s="280">
        <f t="shared" si="18"/>
        <v>102.15833333333332</v>
      </c>
      <c r="CS10" s="280">
        <f t="shared" si="18"/>
        <v>25.983333333333327</v>
      </c>
      <c r="CT10" s="280">
        <f t="shared" si="18"/>
        <v>0</v>
      </c>
      <c r="CU10" s="280">
        <f t="shared" si="18"/>
        <v>0</v>
      </c>
      <c r="CV10" s="280">
        <f t="shared" si="18"/>
        <v>0</v>
      </c>
      <c r="CW10" s="280">
        <f t="shared" si="18"/>
        <v>0</v>
      </c>
      <c r="CX10" s="280">
        <f t="shared" si="18"/>
        <v>22.266666666666666</v>
      </c>
      <c r="CY10" s="280">
        <f t="shared" si="18"/>
        <v>206.31260351966876</v>
      </c>
      <c r="CZ10" s="280">
        <f t="shared" si="18"/>
        <v>285.45833333333331</v>
      </c>
      <c r="DB10" s="1">
        <f t="shared" si="26"/>
        <v>2021</v>
      </c>
      <c r="DC10" s="280">
        <f t="shared" si="19"/>
        <v>343.50416666666661</v>
      </c>
      <c r="DD10" s="280">
        <f t="shared" si="19"/>
        <v>373.45416666666665</v>
      </c>
      <c r="DE10" s="280">
        <f t="shared" si="19"/>
        <v>194.65054347826086</v>
      </c>
      <c r="DF10" s="280">
        <f t="shared" si="19"/>
        <v>60.454166666666659</v>
      </c>
      <c r="DG10" s="280">
        <f t="shared" si="19"/>
        <v>8.125</v>
      </c>
      <c r="DH10" s="280">
        <f t="shared" si="19"/>
        <v>0</v>
      </c>
      <c r="DI10" s="280">
        <f t="shared" si="19"/>
        <v>0</v>
      </c>
      <c r="DJ10" s="280">
        <f t="shared" si="19"/>
        <v>0</v>
      </c>
      <c r="DK10" s="280">
        <f t="shared" si="19"/>
        <v>0</v>
      </c>
      <c r="DL10" s="280">
        <f t="shared" si="19"/>
        <v>6.6666666666666643</v>
      </c>
      <c r="DM10" s="280">
        <f t="shared" si="19"/>
        <v>148.50427018633536</v>
      </c>
      <c r="DN10" s="280">
        <f t="shared" si="19"/>
        <v>225.45833333333331</v>
      </c>
      <c r="DP10" s="18">
        <f>'Monthly Data'!F10</f>
        <v>40632623.048269503</v>
      </c>
      <c r="DQ10" s="18">
        <f>'Monthly Data'!J10</f>
        <v>10798348.741574915</v>
      </c>
      <c r="DR10" s="18">
        <f>'Monthly Data'!N10</f>
        <v>25368422.182837464</v>
      </c>
      <c r="DS10" s="4">
        <f>'Monthly Data'!S10</f>
        <v>8078291.6631567953</v>
      </c>
      <c r="DT10" s="4">
        <f>'Monthly Data'!V10</f>
        <v>3833490.6826414838</v>
      </c>
      <c r="DU10" s="18">
        <f t="shared" si="7"/>
        <v>43386093.52777151</v>
      </c>
      <c r="DV10" s="18">
        <f t="shared" si="8"/>
        <v>10562744.910593191</v>
      </c>
      <c r="DW10" s="18">
        <f t="shared" si="9"/>
        <v>25776662.08815977</v>
      </c>
      <c r="DX10" s="18">
        <f t="shared" si="10"/>
        <v>7753705.9094508458</v>
      </c>
      <c r="DY10" s="18">
        <f t="shared" si="11"/>
        <v>3283429.9333904753</v>
      </c>
      <c r="ER10" s="24">
        <f>'Monthly Data'!F10/'Monthly Data'!G10/'Monthly Data'!CD10</f>
        <v>27.122046703425251</v>
      </c>
      <c r="ES10" s="268">
        <f>'Monthly Data'!J10/'Monthly Data'!K10/'Monthly Data'!CD10</f>
        <v>89.249927610339</v>
      </c>
      <c r="ET10" s="24">
        <f>'Monthly Data'!N10/'Monthly Data'!P10/'Monthly Data'!CD10</f>
        <v>1648.3705122051635</v>
      </c>
      <c r="EU10" s="24">
        <f>'Monthly Data'!Q10/'Monthly Data'!U10/'Monthly Data'!CD10</f>
        <v>19484.212920734059</v>
      </c>
      <c r="EV10" s="24">
        <f>'Monthly Data'!V10/'Monthly Data'!Z10/'Monthly Data'!CD10</f>
        <v>127783.02275471613</v>
      </c>
      <c r="EW10" s="24"/>
      <c r="FG10" s="24"/>
    </row>
    <row r="11" spans="1:163" x14ac:dyDescent="0.25">
      <c r="A11" s="3">
        <v>42278</v>
      </c>
      <c r="B11" s="1">
        <v>2015</v>
      </c>
      <c r="C11" s="1">
        <v>10</v>
      </c>
      <c r="D11" s="272">
        <v>9.0649193548387093</v>
      </c>
      <c r="E11" s="272">
        <v>338.98750000000007</v>
      </c>
      <c r="F11" s="272">
        <v>0</v>
      </c>
      <c r="G11" s="272">
        <v>276.98750000000001</v>
      </c>
      <c r="H11" s="272">
        <v>0</v>
      </c>
      <c r="I11" s="272">
        <v>215.98749999999998</v>
      </c>
      <c r="J11" s="272">
        <v>1</v>
      </c>
      <c r="K11" s="272">
        <v>157.34583333333333</v>
      </c>
      <c r="L11" s="272">
        <v>4.3583333333333325</v>
      </c>
      <c r="M11" s="272">
        <v>104.88333333333331</v>
      </c>
      <c r="N11" s="272">
        <v>13.895833333333337</v>
      </c>
      <c r="O11" s="272">
        <v>61.262500000000003</v>
      </c>
      <c r="P11" s="272">
        <v>32.275000000000006</v>
      </c>
      <c r="Q11" s="272">
        <v>33.92916666666666</v>
      </c>
      <c r="R11" s="272">
        <v>66.941666666666677</v>
      </c>
      <c r="U11" s="1">
        <f t="shared" si="20"/>
        <v>2022</v>
      </c>
      <c r="V11" s="280">
        <f t="shared" si="12"/>
        <v>887.49166666666656</v>
      </c>
      <c r="W11" s="280">
        <f t="shared" si="12"/>
        <v>692.85</v>
      </c>
      <c r="X11" s="280">
        <f t="shared" si="12"/>
        <v>606.7208333333333</v>
      </c>
      <c r="Y11" s="280">
        <f t="shared" si="12"/>
        <v>414.33333333333331</v>
      </c>
      <c r="Z11" s="280">
        <f t="shared" si="12"/>
        <v>158.97916666666669</v>
      </c>
      <c r="AA11" s="280">
        <f t="shared" si="12"/>
        <v>75.529010989011013</v>
      </c>
      <c r="AB11" s="280">
        <f t="shared" si="12"/>
        <v>8.9945652173913082</v>
      </c>
      <c r="AC11" s="280">
        <f t="shared" si="12"/>
        <v>7.3916666666666764</v>
      </c>
      <c r="AD11" s="280">
        <f t="shared" si="12"/>
        <v>111.79166666666666</v>
      </c>
      <c r="AE11" s="280">
        <f t="shared" si="12"/>
        <v>330.85561594202903</v>
      </c>
      <c r="AF11" s="280">
        <f t="shared" si="12"/>
        <v>471.83333333333348</v>
      </c>
      <c r="AG11" s="280">
        <f t="shared" si="12"/>
        <v>647.12083333333328</v>
      </c>
      <c r="AJ11" s="1">
        <f t="shared" si="21"/>
        <v>2022</v>
      </c>
      <c r="AK11" s="280">
        <f t="shared" si="13"/>
        <v>825.49166666666656</v>
      </c>
      <c r="AL11" s="280">
        <f t="shared" si="13"/>
        <v>636.84999999999991</v>
      </c>
      <c r="AM11" s="280">
        <f t="shared" si="13"/>
        <v>544.7208333333333</v>
      </c>
      <c r="AN11" s="280">
        <f t="shared" si="13"/>
        <v>354.33333333333331</v>
      </c>
      <c r="AO11" s="280">
        <f t="shared" si="13"/>
        <v>109.50833333333333</v>
      </c>
      <c r="AP11" s="280">
        <f t="shared" si="13"/>
        <v>36.166510989010987</v>
      </c>
      <c r="AQ11" s="280">
        <f t="shared" si="13"/>
        <v>0.62083333333333357</v>
      </c>
      <c r="AR11" s="280">
        <f t="shared" si="13"/>
        <v>0.76250000000000284</v>
      </c>
      <c r="AS11" s="280">
        <f t="shared" si="13"/>
        <v>71.412499999999994</v>
      </c>
      <c r="AT11" s="280">
        <f t="shared" si="13"/>
        <v>268.85561594202898</v>
      </c>
      <c r="AU11" s="280">
        <f t="shared" si="13"/>
        <v>411.83333333333348</v>
      </c>
      <c r="AV11" s="280">
        <f t="shared" si="13"/>
        <v>585.12083333333328</v>
      </c>
      <c r="AW11" s="420">
        <f t="shared" si="14"/>
        <v>3845.6762935977063</v>
      </c>
      <c r="AX11" s="1">
        <f t="shared" si="22"/>
        <v>2022</v>
      </c>
      <c r="AY11" s="280">
        <f t="shared" si="15"/>
        <v>763.49166666666656</v>
      </c>
      <c r="AZ11" s="280">
        <f t="shared" si="15"/>
        <v>580.84999999999991</v>
      </c>
      <c r="BA11" s="280">
        <f t="shared" si="15"/>
        <v>482.72083333333353</v>
      </c>
      <c r="BB11" s="280">
        <f t="shared" si="15"/>
        <v>294.33333333333337</v>
      </c>
      <c r="BC11" s="280">
        <f t="shared" si="15"/>
        <v>70.650000000000006</v>
      </c>
      <c r="BD11" s="280">
        <f t="shared" si="15"/>
        <v>6.1903205128205077</v>
      </c>
      <c r="BE11" s="280">
        <f t="shared" si="15"/>
        <v>0</v>
      </c>
      <c r="BF11" s="280">
        <f t="shared" si="15"/>
        <v>0</v>
      </c>
      <c r="BG11" s="280">
        <f t="shared" si="15"/>
        <v>45.029166666666661</v>
      </c>
      <c r="BH11" s="280">
        <f t="shared" si="15"/>
        <v>206.85561594202895</v>
      </c>
      <c r="BI11" s="280">
        <f t="shared" si="15"/>
        <v>351.83333333333343</v>
      </c>
      <c r="BJ11" s="280">
        <f t="shared" si="15"/>
        <v>523.12083333333328</v>
      </c>
      <c r="BL11" s="1">
        <f t="shared" si="23"/>
        <v>2022</v>
      </c>
      <c r="BM11" s="280">
        <f t="shared" si="16"/>
        <v>701.49166666666656</v>
      </c>
      <c r="BN11" s="280">
        <f t="shared" si="16"/>
        <v>524.84999999999991</v>
      </c>
      <c r="BO11" s="280">
        <f t="shared" si="16"/>
        <v>420.72083333333353</v>
      </c>
      <c r="BP11" s="280">
        <f t="shared" si="16"/>
        <v>234.33333333333331</v>
      </c>
      <c r="BQ11" s="280">
        <f t="shared" si="16"/>
        <v>39.324999999999996</v>
      </c>
      <c r="BR11" s="280">
        <f t="shared" si="16"/>
        <v>0</v>
      </c>
      <c r="BS11" s="280">
        <f t="shared" si="16"/>
        <v>0</v>
      </c>
      <c r="BT11" s="280">
        <f t="shared" si="16"/>
        <v>0</v>
      </c>
      <c r="BU11" s="280">
        <f t="shared" si="16"/>
        <v>22.833333333333329</v>
      </c>
      <c r="BV11" s="280">
        <f t="shared" si="16"/>
        <v>147.2764492753623</v>
      </c>
      <c r="BW11" s="280">
        <f t="shared" si="16"/>
        <v>294.14166666666671</v>
      </c>
      <c r="BX11" s="280">
        <f t="shared" si="16"/>
        <v>461.12083333333328</v>
      </c>
      <c r="BZ11" s="1">
        <f t="shared" si="24"/>
        <v>2022</v>
      </c>
      <c r="CA11" s="280">
        <f t="shared" si="17"/>
        <v>639.49166666666679</v>
      </c>
      <c r="CB11" s="280">
        <f t="shared" si="17"/>
        <v>468.84999999999991</v>
      </c>
      <c r="CC11" s="280">
        <f t="shared" si="17"/>
        <v>358.72083333333347</v>
      </c>
      <c r="CD11" s="280">
        <f t="shared" si="17"/>
        <v>176.58749999999998</v>
      </c>
      <c r="CE11" s="280">
        <f t="shared" si="17"/>
        <v>14.399999999999993</v>
      </c>
      <c r="CF11" s="280">
        <f t="shared" si="17"/>
        <v>0</v>
      </c>
      <c r="CG11" s="280">
        <f t="shared" si="17"/>
        <v>0</v>
      </c>
      <c r="CH11" s="280">
        <f t="shared" si="17"/>
        <v>0</v>
      </c>
      <c r="CI11" s="280">
        <f t="shared" si="17"/>
        <v>8.5708333333333329</v>
      </c>
      <c r="CJ11" s="280">
        <f t="shared" si="17"/>
        <v>94.459782608695647</v>
      </c>
      <c r="CK11" s="280">
        <f t="shared" si="17"/>
        <v>238.41249999999999</v>
      </c>
      <c r="CL11" s="280">
        <f t="shared" si="17"/>
        <v>399.12083333333328</v>
      </c>
      <c r="CN11" s="1">
        <f t="shared" si="25"/>
        <v>2022</v>
      </c>
      <c r="CO11" s="280">
        <f t="shared" si="18"/>
        <v>577.49166666666656</v>
      </c>
      <c r="CP11" s="280">
        <f t="shared" si="18"/>
        <v>412.84999999999991</v>
      </c>
      <c r="CQ11" s="280">
        <f t="shared" si="18"/>
        <v>296.72083333333336</v>
      </c>
      <c r="CR11" s="280">
        <f t="shared" si="18"/>
        <v>123.04166666666666</v>
      </c>
      <c r="CS11" s="280">
        <f t="shared" si="18"/>
        <v>0.93333333333333179</v>
      </c>
      <c r="CT11" s="280">
        <f t="shared" si="18"/>
        <v>0</v>
      </c>
      <c r="CU11" s="280">
        <f t="shared" si="18"/>
        <v>0</v>
      </c>
      <c r="CV11" s="280">
        <f t="shared" si="18"/>
        <v>0</v>
      </c>
      <c r="CW11" s="280">
        <f t="shared" si="18"/>
        <v>2.1000000000000014</v>
      </c>
      <c r="CX11" s="280">
        <f t="shared" si="18"/>
        <v>52.855615942028983</v>
      </c>
      <c r="CY11" s="280">
        <f t="shared" si="18"/>
        <v>185.6583333333333</v>
      </c>
      <c r="CZ11" s="280">
        <f t="shared" si="18"/>
        <v>337.12083333333322</v>
      </c>
      <c r="DB11" s="1">
        <f t="shared" si="26"/>
        <v>2022</v>
      </c>
      <c r="DC11" s="280">
        <f t="shared" si="19"/>
        <v>515.49166666666679</v>
      </c>
      <c r="DD11" s="280">
        <f t="shared" si="19"/>
        <v>356.85</v>
      </c>
      <c r="DE11" s="280">
        <f t="shared" si="19"/>
        <v>236.04166666666666</v>
      </c>
      <c r="DF11" s="280">
        <f t="shared" si="19"/>
        <v>75.575000000000003</v>
      </c>
      <c r="DG11" s="280">
        <f t="shared" si="19"/>
        <v>0</v>
      </c>
      <c r="DH11" s="280">
        <f t="shared" si="19"/>
        <v>0</v>
      </c>
      <c r="DI11" s="280">
        <f t="shared" si="19"/>
        <v>0</v>
      </c>
      <c r="DJ11" s="280">
        <f t="shared" si="19"/>
        <v>0</v>
      </c>
      <c r="DK11" s="280">
        <f t="shared" si="19"/>
        <v>0</v>
      </c>
      <c r="DL11" s="280">
        <f t="shared" si="19"/>
        <v>23.659782608695654</v>
      </c>
      <c r="DM11" s="280">
        <f t="shared" si="19"/>
        <v>138.80000000000001</v>
      </c>
      <c r="DN11" s="280">
        <f t="shared" si="19"/>
        <v>275.12083333333322</v>
      </c>
      <c r="DP11" s="18">
        <f>'Monthly Data'!F11</f>
        <v>32633098.840061631</v>
      </c>
      <c r="DQ11" s="18">
        <f>'Monthly Data'!J11</f>
        <v>10006451.417295149</v>
      </c>
      <c r="DR11" s="18">
        <f>'Monthly Data'!N11</f>
        <v>25684615.714819368</v>
      </c>
      <c r="DS11" s="4">
        <f>'Monthly Data'!S11</f>
        <v>7283096.8853974789</v>
      </c>
      <c r="DT11" s="4">
        <f>'Monthly Data'!V11</f>
        <v>3429806.3555595707</v>
      </c>
      <c r="DU11" s="18">
        <f t="shared" si="7"/>
        <v>35748527.076179162</v>
      </c>
      <c r="DV11" s="18">
        <f t="shared" si="8"/>
        <v>9911575.8531355411</v>
      </c>
      <c r="DW11" s="18">
        <f t="shared" si="9"/>
        <v>24269755.268266249</v>
      </c>
      <c r="DX11" s="18">
        <f t="shared" si="10"/>
        <v>6838548.3159011621</v>
      </c>
      <c r="DY11" s="18">
        <f t="shared" si="11"/>
        <v>3124612.7078287154</v>
      </c>
      <c r="ER11" s="24">
        <f>'Monthly Data'!F11/'Monthly Data'!G11/'Monthly Data'!CD11</f>
        <v>20.851354020875974</v>
      </c>
      <c r="ES11" s="268">
        <f>'Monthly Data'!J11/'Monthly Data'!K11/'Monthly Data'!CD11</f>
        <v>79.661588202521642</v>
      </c>
      <c r="ET11" s="24">
        <f>'Monthly Data'!N11/'Monthly Data'!P11/'Monthly Data'!CD11</f>
        <v>1605.6899046523736</v>
      </c>
      <c r="EU11" s="24">
        <f>'Monthly Data'!Q11/'Monthly Data'!U11/'Monthly Data'!CD11</f>
        <v>16805.747126630507</v>
      </c>
      <c r="EV11" s="24">
        <f>'Monthly Data'!V11/'Monthly Data'!Z11/'Monthly Data'!CD11</f>
        <v>110638.91469547003</v>
      </c>
      <c r="EW11" s="24"/>
      <c r="FG11" s="24"/>
    </row>
    <row r="12" spans="1:163" x14ac:dyDescent="0.25">
      <c r="A12" s="3">
        <v>42309</v>
      </c>
      <c r="B12" s="1">
        <v>2015</v>
      </c>
      <c r="C12" s="1">
        <v>11</v>
      </c>
      <c r="D12" s="272">
        <v>5.6076388888888893</v>
      </c>
      <c r="E12" s="272">
        <v>431.77083333333331</v>
      </c>
      <c r="F12" s="272">
        <v>0</v>
      </c>
      <c r="G12" s="272">
        <v>371.77083333333326</v>
      </c>
      <c r="H12" s="272">
        <v>0</v>
      </c>
      <c r="I12" s="272">
        <v>311.77083333333331</v>
      </c>
      <c r="J12" s="272">
        <v>0</v>
      </c>
      <c r="K12" s="272">
        <v>252.04166666666663</v>
      </c>
      <c r="L12" s="272">
        <v>0.27083333333333393</v>
      </c>
      <c r="M12" s="272">
        <v>195.30833333333331</v>
      </c>
      <c r="N12" s="272">
        <v>3.5374999999999979</v>
      </c>
      <c r="O12" s="272">
        <v>143.67916666666665</v>
      </c>
      <c r="P12" s="272">
        <v>11.908333333333333</v>
      </c>
      <c r="Q12" s="272">
        <v>99.970833333333317</v>
      </c>
      <c r="R12" s="272">
        <v>28.199999999999996</v>
      </c>
      <c r="U12" s="1">
        <f t="shared" si="20"/>
        <v>2023</v>
      </c>
      <c r="V12" s="280">
        <f t="shared" si="12"/>
        <v>666.07083333333355</v>
      </c>
      <c r="W12" s="280">
        <f t="shared" si="12"/>
        <v>629.43333333333328</v>
      </c>
      <c r="X12" s="280">
        <f t="shared" si="12"/>
        <v>613.0333333333333</v>
      </c>
      <c r="Y12" s="280">
        <f t="shared" si="12"/>
        <v>361.4</v>
      </c>
      <c r="Z12" s="280">
        <f t="shared" si="12"/>
        <v>219.04750000000001</v>
      </c>
      <c r="AA12" s="280">
        <f t="shared" si="12"/>
        <v>55.599999999999994</v>
      </c>
      <c r="AB12" s="280">
        <f t="shared" si="12"/>
        <v>7.3166666666666593</v>
      </c>
      <c r="AC12" s="280">
        <f t="shared" si="12"/>
        <v>32.211775362318839</v>
      </c>
      <c r="AD12" s="280">
        <f t="shared" si="12"/>
        <v>95.22083333333336</v>
      </c>
      <c r="AE12" s="280">
        <f t="shared" si="12"/>
        <v>261.85000000000002</v>
      </c>
      <c r="AF12" s="280">
        <f t="shared" si="12"/>
        <v>510.59311594202899</v>
      </c>
      <c r="AG12" s="280">
        <f t="shared" si="12"/>
        <v>551.67916666666667</v>
      </c>
      <c r="AJ12" s="1">
        <f t="shared" si="21"/>
        <v>2023</v>
      </c>
      <c r="AK12" s="280">
        <f t="shared" si="13"/>
        <v>604.07083333333344</v>
      </c>
      <c r="AL12" s="280">
        <f t="shared" si="13"/>
        <v>573.43333333333328</v>
      </c>
      <c r="AM12" s="280">
        <f t="shared" si="13"/>
        <v>551.03333333333342</v>
      </c>
      <c r="AN12" s="280">
        <f t="shared" si="13"/>
        <v>301.39999999999998</v>
      </c>
      <c r="AO12" s="280">
        <f t="shared" si="13"/>
        <v>163.56416666666669</v>
      </c>
      <c r="AP12" s="280">
        <f t="shared" si="13"/>
        <v>21.441666666666659</v>
      </c>
      <c r="AQ12" s="280">
        <f t="shared" si="13"/>
        <v>0.12499999999999645</v>
      </c>
      <c r="AR12" s="280">
        <f t="shared" si="13"/>
        <v>9.274999999999995</v>
      </c>
      <c r="AS12" s="280">
        <f t="shared" si="13"/>
        <v>47.591666666666676</v>
      </c>
      <c r="AT12" s="280">
        <f t="shared" si="13"/>
        <v>207.15416666666667</v>
      </c>
      <c r="AU12" s="280">
        <f t="shared" si="13"/>
        <v>450.59311594202899</v>
      </c>
      <c r="AV12" s="280">
        <f t="shared" si="13"/>
        <v>489.67916666666667</v>
      </c>
      <c r="AW12" s="420">
        <f t="shared" si="14"/>
        <v>3419.3614492753622</v>
      </c>
      <c r="AX12" s="1">
        <f t="shared" si="22"/>
        <v>2023</v>
      </c>
      <c r="AY12" s="280">
        <f t="shared" si="15"/>
        <v>542.07083333333333</v>
      </c>
      <c r="AZ12" s="280">
        <f t="shared" si="15"/>
        <v>517.43333333333328</v>
      </c>
      <c r="BA12" s="280">
        <f t="shared" si="15"/>
        <v>489.03333333333336</v>
      </c>
      <c r="BB12" s="280">
        <f t="shared" si="15"/>
        <v>243.15833333333336</v>
      </c>
      <c r="BC12" s="280">
        <f t="shared" si="15"/>
        <v>113.00166666666665</v>
      </c>
      <c r="BD12" s="280">
        <f t="shared" si="15"/>
        <v>4.2708333333333268</v>
      </c>
      <c r="BE12" s="280">
        <f t="shared" si="15"/>
        <v>0</v>
      </c>
      <c r="BF12" s="280">
        <f t="shared" si="15"/>
        <v>1.6125000000000007</v>
      </c>
      <c r="BG12" s="280">
        <f t="shared" si="15"/>
        <v>15.216666666666669</v>
      </c>
      <c r="BH12" s="280">
        <f t="shared" si="15"/>
        <v>157.42916666666665</v>
      </c>
      <c r="BI12" s="280">
        <f t="shared" si="15"/>
        <v>390.59311594202899</v>
      </c>
      <c r="BJ12" s="280">
        <f t="shared" si="15"/>
        <v>427.67916666666667</v>
      </c>
      <c r="BL12" s="1">
        <f t="shared" si="23"/>
        <v>2023</v>
      </c>
      <c r="BM12" s="280">
        <f t="shared" si="16"/>
        <v>480.07083333333327</v>
      </c>
      <c r="BN12" s="280">
        <f t="shared" si="16"/>
        <v>461.43333333333328</v>
      </c>
      <c r="BO12" s="280">
        <f t="shared" si="16"/>
        <v>427.0333333333333</v>
      </c>
      <c r="BP12" s="280">
        <f t="shared" si="16"/>
        <v>193.11666666666667</v>
      </c>
      <c r="BQ12" s="280">
        <f t="shared" si="16"/>
        <v>68.776666666666671</v>
      </c>
      <c r="BR12" s="280">
        <f t="shared" si="16"/>
        <v>0</v>
      </c>
      <c r="BS12" s="280">
        <f t="shared" si="16"/>
        <v>0</v>
      </c>
      <c r="BT12" s="280">
        <f t="shared" si="16"/>
        <v>0</v>
      </c>
      <c r="BU12" s="280">
        <f t="shared" si="16"/>
        <v>2.3583333333333378</v>
      </c>
      <c r="BV12" s="280">
        <f t="shared" si="16"/>
        <v>111.18333333333332</v>
      </c>
      <c r="BW12" s="280">
        <f t="shared" si="16"/>
        <v>330.59311594202904</v>
      </c>
      <c r="BX12" s="280">
        <f t="shared" si="16"/>
        <v>365.67916666666667</v>
      </c>
      <c r="BZ12" s="1">
        <f t="shared" si="24"/>
        <v>2023</v>
      </c>
      <c r="CA12" s="280">
        <f t="shared" si="17"/>
        <v>418.07083333333327</v>
      </c>
      <c r="CB12" s="280">
        <f t="shared" si="17"/>
        <v>405.43333333333328</v>
      </c>
      <c r="CC12" s="280">
        <f t="shared" si="17"/>
        <v>365.03333333333336</v>
      </c>
      <c r="CD12" s="280">
        <f t="shared" si="17"/>
        <v>144.11666666666667</v>
      </c>
      <c r="CE12" s="280">
        <f t="shared" si="17"/>
        <v>37.480833333333329</v>
      </c>
      <c r="CF12" s="280">
        <f t="shared" si="17"/>
        <v>0</v>
      </c>
      <c r="CG12" s="280">
        <f t="shared" si="17"/>
        <v>0</v>
      </c>
      <c r="CH12" s="280">
        <f t="shared" si="17"/>
        <v>0</v>
      </c>
      <c r="CI12" s="280">
        <f t="shared" si="17"/>
        <v>0</v>
      </c>
      <c r="CJ12" s="280">
        <f t="shared" si="17"/>
        <v>68.475000000000009</v>
      </c>
      <c r="CK12" s="280">
        <f t="shared" si="17"/>
        <v>270.59311594202899</v>
      </c>
      <c r="CL12" s="280">
        <f t="shared" si="17"/>
        <v>303.67916666666667</v>
      </c>
      <c r="CN12" s="1">
        <f t="shared" si="25"/>
        <v>2023</v>
      </c>
      <c r="CO12" s="280">
        <f t="shared" si="18"/>
        <v>356.07083333333321</v>
      </c>
      <c r="CP12" s="280">
        <f t="shared" si="18"/>
        <v>349.43333333333328</v>
      </c>
      <c r="CQ12" s="280">
        <f t="shared" si="18"/>
        <v>303.03333333333342</v>
      </c>
      <c r="CR12" s="280">
        <f t="shared" si="18"/>
        <v>98.574999999999989</v>
      </c>
      <c r="CS12" s="280">
        <f t="shared" si="18"/>
        <v>20.284999999999989</v>
      </c>
      <c r="CT12" s="280">
        <f t="shared" si="18"/>
        <v>0</v>
      </c>
      <c r="CU12" s="280">
        <f t="shared" si="18"/>
        <v>0</v>
      </c>
      <c r="CV12" s="280">
        <f t="shared" si="18"/>
        <v>0</v>
      </c>
      <c r="CW12" s="280">
        <f t="shared" si="18"/>
        <v>0</v>
      </c>
      <c r="CX12" s="280">
        <f t="shared" si="18"/>
        <v>37.779166666666669</v>
      </c>
      <c r="CY12" s="280">
        <f t="shared" si="18"/>
        <v>210.95561594202897</v>
      </c>
      <c r="CZ12" s="280">
        <f t="shared" si="18"/>
        <v>241.67916666666659</v>
      </c>
      <c r="DB12" s="1">
        <f t="shared" si="26"/>
        <v>2023</v>
      </c>
      <c r="DC12" s="280">
        <f t="shared" si="19"/>
        <v>294.07083333333327</v>
      </c>
      <c r="DD12" s="280">
        <f t="shared" si="19"/>
        <v>293.51666666666665</v>
      </c>
      <c r="DE12" s="280">
        <f t="shared" si="19"/>
        <v>241.03333333333333</v>
      </c>
      <c r="DF12" s="280">
        <f t="shared" si="19"/>
        <v>58.116666666666674</v>
      </c>
      <c r="DG12" s="280">
        <f t="shared" si="19"/>
        <v>7.2058333333333309</v>
      </c>
      <c r="DH12" s="280">
        <f t="shared" si="19"/>
        <v>0</v>
      </c>
      <c r="DI12" s="280">
        <f t="shared" si="19"/>
        <v>0</v>
      </c>
      <c r="DJ12" s="280">
        <f t="shared" si="19"/>
        <v>0</v>
      </c>
      <c r="DK12" s="280">
        <f t="shared" si="19"/>
        <v>0</v>
      </c>
      <c r="DL12" s="280">
        <f t="shared" si="19"/>
        <v>17.783333333333335</v>
      </c>
      <c r="DM12" s="280">
        <f t="shared" si="19"/>
        <v>153.42644927536227</v>
      </c>
      <c r="DN12" s="280">
        <f t="shared" si="19"/>
        <v>180.36666666666662</v>
      </c>
      <c r="DP12" s="18">
        <f>'Monthly Data'!F12</f>
        <v>36028748.529270537</v>
      </c>
      <c r="DQ12" s="18">
        <f>'Monthly Data'!J12</f>
        <v>10647674.270384375</v>
      </c>
      <c r="DR12" s="18">
        <f>'Monthly Data'!N12</f>
        <v>27097679.115704805</v>
      </c>
      <c r="DS12" s="4">
        <f>'Monthly Data'!S12</f>
        <v>7062113.5949656768</v>
      </c>
      <c r="DT12" s="4">
        <f>'Monthly Data'!V12</f>
        <v>3420382.304454477</v>
      </c>
      <c r="DU12" s="18">
        <f t="shared" si="7"/>
        <v>37944527.042227276</v>
      </c>
      <c r="DV12" s="18">
        <f t="shared" si="8"/>
        <v>10392348.97934277</v>
      </c>
      <c r="DW12" s="18">
        <f t="shared" si="9"/>
        <v>25759541.332251538</v>
      </c>
      <c r="DX12" s="18">
        <f t="shared" si="10"/>
        <v>6824948.6895892285</v>
      </c>
      <c r="DY12" s="18">
        <f t="shared" si="11"/>
        <v>3138283.167185029</v>
      </c>
      <c r="EK12" s="1" t="s">
        <v>145</v>
      </c>
      <c r="ER12" s="24">
        <f>'Monthly Data'!F12/'Monthly Data'!G12/'Monthly Data'!CD12</f>
        <v>23.549586922936996</v>
      </c>
      <c r="ES12" s="268">
        <f>'Monthly Data'!J12/'Monthly Data'!K12/'Monthly Data'!CD12</f>
        <v>87.311802135173224</v>
      </c>
      <c r="ET12" s="24">
        <f>'Monthly Data'!N12/'Monthly Data'!P12/'Monthly Data'!CD12</f>
        <v>1760.7328860107086</v>
      </c>
      <c r="EU12" s="24">
        <f>'Monthly Data'!Q12/'Monthly Data'!U12/'Monthly Data'!CD12</f>
        <v>16720.001621295949</v>
      </c>
      <c r="EV12" s="24">
        <f>'Monthly Data'!V12/'Monthly Data'!Z12/'Monthly Data'!CD12</f>
        <v>114012.74348181589</v>
      </c>
      <c r="EW12" s="24"/>
      <c r="FG12" s="24"/>
    </row>
    <row r="13" spans="1:163" x14ac:dyDescent="0.25">
      <c r="A13" s="3">
        <v>42339</v>
      </c>
      <c r="B13" s="1">
        <v>2015</v>
      </c>
      <c r="C13" s="1">
        <v>12</v>
      </c>
      <c r="D13" s="272">
        <v>3.8830352968676944</v>
      </c>
      <c r="E13" s="272">
        <v>499.62590579710155</v>
      </c>
      <c r="F13" s="272">
        <v>0</v>
      </c>
      <c r="G13" s="272">
        <v>437.62590579710155</v>
      </c>
      <c r="H13" s="272">
        <v>0</v>
      </c>
      <c r="I13" s="272">
        <v>375.6259057971015</v>
      </c>
      <c r="J13" s="272">
        <v>0</v>
      </c>
      <c r="K13" s="272">
        <v>313.62590579710144</v>
      </c>
      <c r="L13" s="272">
        <v>0</v>
      </c>
      <c r="M13" s="272">
        <v>251.62590579710138</v>
      </c>
      <c r="N13" s="272">
        <v>0</v>
      </c>
      <c r="O13" s="272">
        <v>190.49257246376811</v>
      </c>
      <c r="P13" s="272">
        <v>0.86666666666666714</v>
      </c>
      <c r="Q13" s="272">
        <v>134.45072463768119</v>
      </c>
      <c r="R13" s="272">
        <v>6.8248188405797094</v>
      </c>
      <c r="U13" s="1">
        <f t="shared" si="20"/>
        <v>2024</v>
      </c>
      <c r="V13" s="280">
        <f t="shared" si="12"/>
        <v>698.99583333333328</v>
      </c>
      <c r="W13" s="280">
        <f t="shared" si="12"/>
        <v>600.96666666666647</v>
      </c>
      <c r="X13" s="280">
        <f t="shared" si="12"/>
        <v>522.11249999999995</v>
      </c>
      <c r="Y13" s="280">
        <f t="shared" si="12"/>
        <v>368.29791666666671</v>
      </c>
      <c r="Z13" s="280">
        <f t="shared" si="12"/>
        <v>143.5708333333333</v>
      </c>
      <c r="AA13" s="280">
        <f t="shared" si="12"/>
        <v>60.86249999999999</v>
      </c>
      <c r="AB13" s="280">
        <f t="shared" si="12"/>
        <v>5.5666666666666629</v>
      </c>
      <c r="AC13" s="280">
        <f t="shared" si="12"/>
        <v>26.975000000000016</v>
      </c>
      <c r="AD13" s="280">
        <f t="shared" si="12"/>
        <v>69.33750000000002</v>
      </c>
      <c r="AE13" s="280">
        <f t="shared" si="12"/>
        <v>295.94166666666661</v>
      </c>
      <c r="AF13" s="280">
        <f t="shared" si="12"/>
        <v>426.29166666666663</v>
      </c>
      <c r="AG13" s="280">
        <f t="shared" si="12"/>
        <v>660.57500000000016</v>
      </c>
      <c r="AJ13" s="1">
        <f t="shared" si="21"/>
        <v>2024</v>
      </c>
      <c r="AK13" s="280">
        <f t="shared" si="13"/>
        <v>636.99583333333339</v>
      </c>
      <c r="AL13" s="280">
        <f t="shared" si="13"/>
        <v>542.96666666666658</v>
      </c>
      <c r="AM13" s="280">
        <f t="shared" si="13"/>
        <v>460.11250000000001</v>
      </c>
      <c r="AN13" s="280">
        <f t="shared" si="13"/>
        <v>308.29791666666665</v>
      </c>
      <c r="AO13" s="280">
        <f t="shared" si="13"/>
        <v>89.52916666666664</v>
      </c>
      <c r="AP13" s="280">
        <f t="shared" si="13"/>
        <v>31.570833333333319</v>
      </c>
      <c r="AQ13" s="280">
        <f t="shared" si="13"/>
        <v>0.32916666666666927</v>
      </c>
      <c r="AR13" s="280">
        <f t="shared" si="13"/>
        <v>8.2333333333333432</v>
      </c>
      <c r="AS13" s="280">
        <f t="shared" si="13"/>
        <v>29.36666666666666</v>
      </c>
      <c r="AT13" s="280">
        <f t="shared" si="13"/>
        <v>233.94166666666658</v>
      </c>
      <c r="AU13" s="280">
        <f t="shared" si="13"/>
        <v>366.29166666666663</v>
      </c>
      <c r="AV13" s="280">
        <f t="shared" si="13"/>
        <v>598.57499999999993</v>
      </c>
      <c r="AW13" s="420">
        <f t="shared" si="14"/>
        <v>3306.2104166666663</v>
      </c>
      <c r="AX13" s="1">
        <f t="shared" si="22"/>
        <v>2024</v>
      </c>
      <c r="AY13" s="280">
        <f t="shared" si="15"/>
        <v>574.99583333333339</v>
      </c>
      <c r="AZ13" s="280">
        <f t="shared" si="15"/>
        <v>484.96666666666658</v>
      </c>
      <c r="BA13" s="280">
        <f t="shared" si="15"/>
        <v>398.11250000000001</v>
      </c>
      <c r="BB13" s="280">
        <f t="shared" si="15"/>
        <v>248.29791666666665</v>
      </c>
      <c r="BC13" s="280">
        <f t="shared" si="15"/>
        <v>44.158333333333317</v>
      </c>
      <c r="BD13" s="280">
        <f t="shared" si="15"/>
        <v>10.312499999999995</v>
      </c>
      <c r="BE13" s="280">
        <f t="shared" si="15"/>
        <v>0</v>
      </c>
      <c r="BF13" s="280">
        <f t="shared" si="15"/>
        <v>1.7583333333333346</v>
      </c>
      <c r="BG13" s="280">
        <f t="shared" si="15"/>
        <v>10.920833333333333</v>
      </c>
      <c r="BH13" s="280">
        <f t="shared" si="15"/>
        <v>174.98749999999998</v>
      </c>
      <c r="BI13" s="280">
        <f t="shared" si="15"/>
        <v>307.79583333333329</v>
      </c>
      <c r="BJ13" s="280">
        <f t="shared" si="15"/>
        <v>536.57500000000005</v>
      </c>
      <c r="BL13" s="1">
        <f t="shared" si="23"/>
        <v>2024</v>
      </c>
      <c r="BM13" s="280">
        <f t="shared" si="16"/>
        <v>512.99583333333328</v>
      </c>
      <c r="BN13" s="280">
        <f t="shared" si="16"/>
        <v>426.96666666666664</v>
      </c>
      <c r="BO13" s="280">
        <f t="shared" si="16"/>
        <v>336.11249999999995</v>
      </c>
      <c r="BP13" s="280">
        <f t="shared" si="16"/>
        <v>188.29791666666671</v>
      </c>
      <c r="BQ13" s="280">
        <f t="shared" si="16"/>
        <v>15.562499999999984</v>
      </c>
      <c r="BR13" s="280">
        <f t="shared" si="16"/>
        <v>2.4583333333333321</v>
      </c>
      <c r="BS13" s="280">
        <f t="shared" si="16"/>
        <v>0</v>
      </c>
      <c r="BT13" s="280">
        <f t="shared" si="16"/>
        <v>0</v>
      </c>
      <c r="BU13" s="280">
        <f t="shared" si="16"/>
        <v>2.5625000000000036</v>
      </c>
      <c r="BV13" s="280">
        <f t="shared" si="16"/>
        <v>122.06250000000001</v>
      </c>
      <c r="BW13" s="280">
        <f t="shared" si="16"/>
        <v>251.79583333333335</v>
      </c>
      <c r="BX13" s="280">
        <f t="shared" si="16"/>
        <v>474.57499999999999</v>
      </c>
      <c r="BZ13" s="1">
        <f t="shared" si="24"/>
        <v>2024</v>
      </c>
      <c r="CA13" s="280">
        <f t="shared" si="17"/>
        <v>450.99583333333322</v>
      </c>
      <c r="CB13" s="280">
        <f t="shared" si="17"/>
        <v>368.96666666666664</v>
      </c>
      <c r="CC13" s="280">
        <f t="shared" si="17"/>
        <v>274.11250000000001</v>
      </c>
      <c r="CD13" s="280">
        <f t="shared" si="17"/>
        <v>130.68125000000001</v>
      </c>
      <c r="CE13" s="280">
        <f t="shared" si="17"/>
        <v>2.9208333333333272</v>
      </c>
      <c r="CF13" s="280">
        <f t="shared" si="17"/>
        <v>0</v>
      </c>
      <c r="CG13" s="280">
        <f t="shared" si="17"/>
        <v>0</v>
      </c>
      <c r="CH13" s="280">
        <f t="shared" si="17"/>
        <v>0</v>
      </c>
      <c r="CI13" s="280">
        <f t="shared" si="17"/>
        <v>0</v>
      </c>
      <c r="CJ13" s="280">
        <f t="shared" si="17"/>
        <v>79.04583333333332</v>
      </c>
      <c r="CK13" s="280">
        <f t="shared" si="17"/>
        <v>195.79583333333335</v>
      </c>
      <c r="CL13" s="280">
        <f t="shared" si="17"/>
        <v>412.57499999999999</v>
      </c>
      <c r="CN13" s="1">
        <f t="shared" si="25"/>
        <v>2024</v>
      </c>
      <c r="CO13" s="280">
        <f t="shared" si="18"/>
        <v>388.99583333333317</v>
      </c>
      <c r="CP13" s="280">
        <f t="shared" si="18"/>
        <v>310.9666666666667</v>
      </c>
      <c r="CQ13" s="280">
        <f t="shared" si="18"/>
        <v>212.11250000000004</v>
      </c>
      <c r="CR13" s="280">
        <f t="shared" si="18"/>
        <v>78.922916666666652</v>
      </c>
      <c r="CS13" s="280">
        <f t="shared" si="18"/>
        <v>0</v>
      </c>
      <c r="CT13" s="280">
        <f t="shared" si="18"/>
        <v>0</v>
      </c>
      <c r="CU13" s="280">
        <f t="shared" si="18"/>
        <v>0</v>
      </c>
      <c r="CV13" s="280">
        <f t="shared" si="18"/>
        <v>0</v>
      </c>
      <c r="CW13" s="280">
        <f t="shared" si="18"/>
        <v>0</v>
      </c>
      <c r="CX13" s="280">
        <f t="shared" si="18"/>
        <v>46.029166666666669</v>
      </c>
      <c r="CY13" s="280">
        <f t="shared" si="18"/>
        <v>141.32083333333335</v>
      </c>
      <c r="CZ13" s="280">
        <f t="shared" si="18"/>
        <v>350.57499999999993</v>
      </c>
      <c r="DB13" s="1">
        <f t="shared" si="26"/>
        <v>2024</v>
      </c>
      <c r="DC13" s="280">
        <f t="shared" si="19"/>
        <v>326.99583333333317</v>
      </c>
      <c r="DD13" s="280">
        <f t="shared" si="19"/>
        <v>252.9666666666667</v>
      </c>
      <c r="DE13" s="280">
        <f t="shared" si="19"/>
        <v>154.69166666666669</v>
      </c>
      <c r="DF13" s="280">
        <f t="shared" si="19"/>
        <v>41.093749999999993</v>
      </c>
      <c r="DG13" s="280">
        <f t="shared" si="19"/>
        <v>0</v>
      </c>
      <c r="DH13" s="280">
        <f t="shared" si="19"/>
        <v>0</v>
      </c>
      <c r="DI13" s="280">
        <f t="shared" si="19"/>
        <v>0</v>
      </c>
      <c r="DJ13" s="280">
        <f t="shared" si="19"/>
        <v>0</v>
      </c>
      <c r="DK13" s="280">
        <f t="shared" si="19"/>
        <v>0</v>
      </c>
      <c r="DL13" s="280">
        <f t="shared" si="19"/>
        <v>18.616666666666671</v>
      </c>
      <c r="DM13" s="280">
        <f t="shared" si="19"/>
        <v>93.433333333333351</v>
      </c>
      <c r="DN13" s="280">
        <f t="shared" si="19"/>
        <v>288.57499999999993</v>
      </c>
      <c r="DP13" s="18">
        <f>'Monthly Data'!F13</f>
        <v>40106687.746603891</v>
      </c>
      <c r="DQ13" s="18">
        <f>'Monthly Data'!J13</f>
        <v>11180504.450672537</v>
      </c>
      <c r="DR13" s="18">
        <f>'Monthly Data'!N13</f>
        <v>28956193.241493594</v>
      </c>
      <c r="DS13" s="4">
        <f>'Monthly Data'!S13</f>
        <v>6433930.9578759233</v>
      </c>
      <c r="DT13" s="4">
        <f>'Monthly Data'!V13</f>
        <v>2994161.9424792021</v>
      </c>
      <c r="DU13" s="18">
        <f t="shared" si="7"/>
        <v>39597631.087954842</v>
      </c>
      <c r="DV13" s="18">
        <f t="shared" si="8"/>
        <v>10745841.009867806</v>
      </c>
      <c r="DW13" s="18">
        <f t="shared" si="9"/>
        <v>26642400.628021087</v>
      </c>
      <c r="DX13" s="18">
        <f t="shared" si="10"/>
        <v>6832739.0338326525</v>
      </c>
      <c r="DY13" s="18">
        <f t="shared" si="11"/>
        <v>3149955.1344500128</v>
      </c>
      <c r="EK13" s="1" t="s">
        <v>146</v>
      </c>
      <c r="ER13" s="24">
        <f>'Monthly Data'!F13/'Monthly Data'!G13/'Monthly Data'!CD13</f>
        <v>25.137741093481065</v>
      </c>
      <c r="ES13" s="268">
        <f>'Monthly Data'!J13/'Monthly Data'!K13/'Monthly Data'!CD13</f>
        <v>88.527597911797372</v>
      </c>
      <c r="ET13" s="24">
        <f>'Monthly Data'!N13/'Monthly Data'!P13/'Monthly Data'!CD13</f>
        <v>1824.3569330578121</v>
      </c>
      <c r="EU13" s="24">
        <f>'Monthly Data'!Q13/'Monthly Data'!U13/'Monthly Data'!CD13</f>
        <v>14545.126118910161</v>
      </c>
      <c r="EV13" s="24">
        <f>'Monthly Data'!V13/'Monthly Data'!Z13/'Monthly Data'!CD13</f>
        <v>96585.869112232322</v>
      </c>
      <c r="EW13" s="24"/>
      <c r="FG13" s="24"/>
    </row>
    <row r="14" spans="1:163" x14ac:dyDescent="0.25">
      <c r="A14" s="3">
        <v>42370</v>
      </c>
      <c r="B14" s="1">
        <v>2016</v>
      </c>
      <c r="C14" s="1">
        <v>1</v>
      </c>
      <c r="D14" s="272">
        <v>-3.8025537634408595</v>
      </c>
      <c r="E14" s="272">
        <v>737.87916666666683</v>
      </c>
      <c r="F14" s="272">
        <v>0</v>
      </c>
      <c r="G14" s="272">
        <v>675.87916666666683</v>
      </c>
      <c r="H14" s="272">
        <v>0</v>
      </c>
      <c r="I14" s="272">
        <v>613.87916666666683</v>
      </c>
      <c r="J14" s="272">
        <v>0</v>
      </c>
      <c r="K14" s="272">
        <v>551.87916666666672</v>
      </c>
      <c r="L14" s="272">
        <v>0</v>
      </c>
      <c r="M14" s="272">
        <v>489.87916666666672</v>
      </c>
      <c r="N14" s="272">
        <v>0</v>
      </c>
      <c r="O14" s="272">
        <v>427.87916666666672</v>
      </c>
      <c r="P14" s="272">
        <v>0</v>
      </c>
      <c r="Q14" s="272">
        <v>365.87916666666672</v>
      </c>
      <c r="R14" s="272">
        <v>0</v>
      </c>
      <c r="U14" s="253">
        <f t="shared" si="20"/>
        <v>2025</v>
      </c>
      <c r="V14" s="421">
        <f>AVERAGE(V4:V13)</f>
        <v>759.33418478260865</v>
      </c>
      <c r="W14" s="421">
        <f>AVERAGE(W4:W13)</f>
        <v>680.85501811594202</v>
      </c>
      <c r="X14" s="421">
        <f>AVERAGE(X4:X13)</f>
        <v>608.13298913043479</v>
      </c>
      <c r="Y14" s="421">
        <f t="shared" ref="Y14:AG14" si="27">AVERAGE(Y4:Y13)</f>
        <v>412.37941287878795</v>
      </c>
      <c r="Z14" s="421">
        <f t="shared" si="27"/>
        <v>202.70273119310133</v>
      </c>
      <c r="AA14" s="421">
        <f t="shared" si="27"/>
        <v>66.09717382617383</v>
      </c>
      <c r="AB14" s="421">
        <f t="shared" si="27"/>
        <v>10.249063146997932</v>
      </c>
      <c r="AC14" s="421">
        <f t="shared" si="27"/>
        <v>21.194927536231887</v>
      </c>
      <c r="AD14" s="421">
        <f t="shared" si="27"/>
        <v>96.735690993788822</v>
      </c>
      <c r="AE14" s="421">
        <f t="shared" si="27"/>
        <v>298.21097826086958</v>
      </c>
      <c r="AF14" s="421">
        <f t="shared" si="27"/>
        <v>486.62991389045737</v>
      </c>
      <c r="AG14" s="421">
        <f t="shared" si="27"/>
        <v>639.92800724637686</v>
      </c>
      <c r="AJ14" s="253">
        <f t="shared" si="21"/>
        <v>2025</v>
      </c>
      <c r="AK14" s="421">
        <f>AVERAGE(AK4:AK13)</f>
        <v>697.33418478260876</v>
      </c>
      <c r="AL14" s="421">
        <f>AVERAGE(AL4:AL13)</f>
        <v>624.25501811594188</v>
      </c>
      <c r="AM14" s="421">
        <f>AVERAGE(AM4:AM13)</f>
        <v>546.13298913043491</v>
      </c>
      <c r="AN14" s="421">
        <f t="shared" ref="AN14:AV14" si="28">AVERAGE(AN4:AN13)</f>
        <v>352.41399621212122</v>
      </c>
      <c r="AO14" s="421">
        <f t="shared" si="28"/>
        <v>150.136897859768</v>
      </c>
      <c r="AP14" s="421">
        <f t="shared" si="28"/>
        <v>32.520923826173821</v>
      </c>
      <c r="AQ14" s="421">
        <f t="shared" si="28"/>
        <v>1.6179166666666653</v>
      </c>
      <c r="AR14" s="421">
        <f t="shared" si="28"/>
        <v>5.6499999999999977</v>
      </c>
      <c r="AS14" s="421">
        <f t="shared" si="28"/>
        <v>54.959440993788824</v>
      </c>
      <c r="AT14" s="421">
        <f t="shared" si="28"/>
        <v>237.89681159420289</v>
      </c>
      <c r="AU14" s="421">
        <f t="shared" si="28"/>
        <v>426.62991389045737</v>
      </c>
      <c r="AV14" s="421">
        <f t="shared" si="28"/>
        <v>577.92800724637686</v>
      </c>
      <c r="AW14" s="420">
        <f>SUM(AK14:AV14)</f>
        <v>3707.4761003185413</v>
      </c>
      <c r="AX14" s="253">
        <f t="shared" si="22"/>
        <v>2025</v>
      </c>
      <c r="AY14" s="421">
        <f>AVERAGE(AY4:AY13)</f>
        <v>635.33418478260876</v>
      </c>
      <c r="AZ14" s="421">
        <f>AVERAGE(AZ4:AZ13)</f>
        <v>567.65501811594208</v>
      </c>
      <c r="BA14" s="421">
        <f>AVERAGE(BA4:BA13)</f>
        <v>484.13298913043479</v>
      </c>
      <c r="BB14" s="421">
        <f t="shared" ref="BB14:BJ14" si="29">AVERAGE(BB4:BB13)</f>
        <v>292.81107954545462</v>
      </c>
      <c r="BC14" s="421">
        <f t="shared" si="29"/>
        <v>103.25939244851259</v>
      </c>
      <c r="BD14" s="421">
        <f t="shared" si="29"/>
        <v>11.89069871794872</v>
      </c>
      <c r="BE14" s="421">
        <f t="shared" si="29"/>
        <v>7.4583333333333002E-2</v>
      </c>
      <c r="BF14" s="421">
        <f t="shared" si="29"/>
        <v>0.75041666666666718</v>
      </c>
      <c r="BG14" s="421">
        <f t="shared" si="29"/>
        <v>26.342536231884061</v>
      </c>
      <c r="BH14" s="421">
        <f t="shared" si="29"/>
        <v>181.36347826086953</v>
      </c>
      <c r="BI14" s="421">
        <f t="shared" si="29"/>
        <v>366.78033055712399</v>
      </c>
      <c r="BJ14" s="421">
        <f t="shared" si="29"/>
        <v>515.92800724637686</v>
      </c>
      <c r="BL14" s="253">
        <f t="shared" si="23"/>
        <v>2025</v>
      </c>
      <c r="BM14" s="421">
        <f>AVERAGE(BM4:BM13)</f>
        <v>573.33418478260865</v>
      </c>
      <c r="BN14" s="421">
        <f>AVERAGE(BN4:BN13)</f>
        <v>511.05501811594206</v>
      </c>
      <c r="BO14" s="421">
        <f>AVERAGE(BO4:BO13)</f>
        <v>422.13298913043479</v>
      </c>
      <c r="BP14" s="421">
        <f t="shared" ref="BP14:BX14" si="30">AVERAGE(BP4:BP13)</f>
        <v>234.57024621212122</v>
      </c>
      <c r="BQ14" s="421">
        <f t="shared" si="30"/>
        <v>64.294809115179262</v>
      </c>
      <c r="BR14" s="421">
        <f t="shared" si="30"/>
        <v>3.2341666666666669</v>
      </c>
      <c r="BS14" s="421">
        <f t="shared" si="30"/>
        <v>0</v>
      </c>
      <c r="BT14" s="421">
        <f t="shared" si="30"/>
        <v>0</v>
      </c>
      <c r="BU14" s="421">
        <f t="shared" si="30"/>
        <v>10.413369565217392</v>
      </c>
      <c r="BV14" s="421">
        <f t="shared" si="30"/>
        <v>130.19639492753623</v>
      </c>
      <c r="BW14" s="421">
        <f t="shared" si="30"/>
        <v>307.43824722379077</v>
      </c>
      <c r="BX14" s="421">
        <f t="shared" si="30"/>
        <v>453.92800724637681</v>
      </c>
      <c r="BZ14" s="253">
        <f t="shared" si="24"/>
        <v>2025</v>
      </c>
      <c r="CA14" s="421">
        <f>AVERAGE(CA4:CA13)</f>
        <v>511.33418478260876</v>
      </c>
      <c r="CB14" s="421">
        <f t="shared" ref="CB14:CL14" si="31">AVERAGE(CB4:CB13)</f>
        <v>454.45501811594193</v>
      </c>
      <c r="CC14" s="421">
        <f t="shared" si="31"/>
        <v>360.16257246376813</v>
      </c>
      <c r="CD14" s="421">
        <f t="shared" si="31"/>
        <v>178.02149621212124</v>
      </c>
      <c r="CE14" s="421">
        <f t="shared" si="31"/>
        <v>35.998420226290364</v>
      </c>
      <c r="CF14" s="421">
        <f t="shared" si="31"/>
        <v>0.5225000000000003</v>
      </c>
      <c r="CG14" s="421">
        <f t="shared" si="31"/>
        <v>0</v>
      </c>
      <c r="CH14" s="421">
        <f t="shared" si="31"/>
        <v>0</v>
      </c>
      <c r="CI14" s="421">
        <f t="shared" si="31"/>
        <v>2.6674999999999995</v>
      </c>
      <c r="CJ14" s="421">
        <f t="shared" si="31"/>
        <v>85.537644927536221</v>
      </c>
      <c r="CK14" s="421">
        <f t="shared" si="31"/>
        <v>248.90783055712399</v>
      </c>
      <c r="CL14" s="421">
        <f t="shared" si="31"/>
        <v>391.92800724637681</v>
      </c>
      <c r="CN14" s="253">
        <f t="shared" si="25"/>
        <v>2025</v>
      </c>
      <c r="CO14" s="421">
        <f>AVERAGE(CO4:CO13)</f>
        <v>449.33418478260865</v>
      </c>
      <c r="CP14" s="421">
        <f>AVERAGE(CP4:CP13)</f>
        <v>397.85501811594202</v>
      </c>
      <c r="CQ14" s="421">
        <f>AVERAGE(CQ4:CQ13)</f>
        <v>298.65173913043481</v>
      </c>
      <c r="CR14" s="421">
        <f t="shared" ref="CR14:CZ14" si="32">AVERAGE(CR4:CR13)</f>
        <v>125.17066287878788</v>
      </c>
      <c r="CS14" s="421">
        <f t="shared" si="32"/>
        <v>18.031833333333331</v>
      </c>
      <c r="CT14" s="421">
        <f t="shared" si="32"/>
        <v>9.7916666666666957E-2</v>
      </c>
      <c r="CU14" s="421">
        <f t="shared" si="32"/>
        <v>0</v>
      </c>
      <c r="CV14" s="421">
        <f t="shared" si="32"/>
        <v>0</v>
      </c>
      <c r="CW14" s="421">
        <f t="shared" si="32"/>
        <v>0.57166666666666666</v>
      </c>
      <c r="CX14" s="421">
        <f t="shared" si="32"/>
        <v>50.475978260869567</v>
      </c>
      <c r="CY14" s="421">
        <f t="shared" si="32"/>
        <v>192.26908055712403</v>
      </c>
      <c r="CZ14" s="421">
        <f t="shared" si="32"/>
        <v>330.0559239130435</v>
      </c>
      <c r="DB14" s="253">
        <f t="shared" si="26"/>
        <v>2025</v>
      </c>
      <c r="DC14" s="421">
        <f>AVERAGE(DC4:DC13)</f>
        <v>387.33418478260865</v>
      </c>
      <c r="DD14" s="421">
        <f>AVERAGE(DD4:DD13)</f>
        <v>341.39751811594203</v>
      </c>
      <c r="DE14" s="421">
        <f>AVERAGE(DE4:DE13)</f>
        <v>238.57840579710145</v>
      </c>
      <c r="DF14" s="421">
        <f t="shared" ref="DF14:DN14" si="33">AVERAGE(DF4:DF13)</f>
        <v>79.984412878787879</v>
      </c>
      <c r="DG14" s="421">
        <f t="shared" si="33"/>
        <v>7.2018333333333331</v>
      </c>
      <c r="DH14" s="421">
        <f t="shared" si="33"/>
        <v>0</v>
      </c>
      <c r="DI14" s="421">
        <f t="shared" si="33"/>
        <v>0</v>
      </c>
      <c r="DJ14" s="421">
        <f t="shared" si="33"/>
        <v>0</v>
      </c>
      <c r="DK14" s="421">
        <f t="shared" si="33"/>
        <v>0</v>
      </c>
      <c r="DL14" s="421">
        <f t="shared" si="33"/>
        <v>24.76139492753623</v>
      </c>
      <c r="DM14" s="421">
        <f t="shared" si="33"/>
        <v>140.02366389045739</v>
      </c>
      <c r="DN14" s="421">
        <f t="shared" si="33"/>
        <v>268.92048913043476</v>
      </c>
      <c r="DP14" s="18">
        <f>'Monthly Data'!F14</f>
        <v>44838756.596333042</v>
      </c>
      <c r="DQ14" s="18">
        <f>'Monthly Data'!J14</f>
        <v>12581251.383190688</v>
      </c>
      <c r="DR14" s="18">
        <f>'Monthly Data'!N14</f>
        <v>32424680.392063037</v>
      </c>
      <c r="DS14" s="4">
        <f>'Monthly Data'!S14</f>
        <v>7305107.8312721383</v>
      </c>
      <c r="DT14" s="4">
        <f>'Monthly Data'!V14</f>
        <v>3215727.4106118553</v>
      </c>
      <c r="DU14" s="18">
        <f t="shared" si="7"/>
        <v>46955499.855967805</v>
      </c>
      <c r="DV14" s="18">
        <f t="shared" si="8"/>
        <v>12078354.53410987</v>
      </c>
      <c r="DW14" s="18">
        <f t="shared" si="9"/>
        <v>31399505.460555904</v>
      </c>
      <c r="DX14" s="18">
        <f t="shared" si="10"/>
        <v>6873885.9478889257</v>
      </c>
      <c r="DY14" s="18">
        <f t="shared" si="11"/>
        <v>3200924.2415255629</v>
      </c>
      <c r="EK14" s="1" t="s">
        <v>147</v>
      </c>
      <c r="ER14" s="24">
        <f>'Monthly Data'!F14/'Monthly Data'!G14/'Monthly Data'!CD14</f>
        <v>31.295415273432805</v>
      </c>
      <c r="ES14" s="268">
        <f>'Monthly Data'!J14/'Monthly Data'!K14/'Monthly Data'!CD14</f>
        <v>99.423522492063412</v>
      </c>
      <c r="ET14" s="24">
        <f>'Monthly Data'!N14/'Monthly Data'!P14/'Monthly Data'!CD14</f>
        <v>2034.9366381362518</v>
      </c>
      <c r="EU14" s="24">
        <f>'Monthly Data'!Q14/'Monthly Data'!U14/'Monthly Data'!CD14</f>
        <v>16516.686356905797</v>
      </c>
      <c r="EV14" s="24">
        <f>'Monthly Data'!V14/'Monthly Data'!Z14/'Monthly Data'!CD14</f>
        <v>103733.14227780179</v>
      </c>
      <c r="EW14" s="24"/>
      <c r="FG14" s="24"/>
    </row>
    <row r="15" spans="1:163" x14ac:dyDescent="0.25">
      <c r="A15" s="3">
        <v>42401</v>
      </c>
      <c r="B15" s="1">
        <v>2016</v>
      </c>
      <c r="C15" s="1">
        <v>2</v>
      </c>
      <c r="D15" s="272">
        <v>-2.8175287356321834</v>
      </c>
      <c r="E15" s="272">
        <v>661.70833333333326</v>
      </c>
      <c r="F15" s="272">
        <v>0</v>
      </c>
      <c r="G15" s="272">
        <v>603.70833333333337</v>
      </c>
      <c r="H15" s="272">
        <v>0</v>
      </c>
      <c r="I15" s="272">
        <v>545.70833333333337</v>
      </c>
      <c r="J15" s="272">
        <v>0</v>
      </c>
      <c r="K15" s="272">
        <v>487.70833333333337</v>
      </c>
      <c r="L15" s="272">
        <v>0</v>
      </c>
      <c r="M15" s="272">
        <v>429.70833333333337</v>
      </c>
      <c r="N15" s="272">
        <v>0</v>
      </c>
      <c r="O15" s="272">
        <v>371.70833333333337</v>
      </c>
      <c r="P15" s="272">
        <v>0</v>
      </c>
      <c r="Q15" s="272">
        <v>313.70833333333326</v>
      </c>
      <c r="R15" s="272">
        <v>0</v>
      </c>
      <c r="U15" s="253">
        <f t="shared" si="20"/>
        <v>2026</v>
      </c>
      <c r="V15" s="421">
        <f>V14</f>
        <v>759.33418478260865</v>
      </c>
      <c r="W15" s="421">
        <f t="shared" ref="W15:AG15" si="34">W14</f>
        <v>680.85501811594202</v>
      </c>
      <c r="X15" s="421">
        <f t="shared" si="34"/>
        <v>608.13298913043479</v>
      </c>
      <c r="Y15" s="421">
        <f t="shared" si="34"/>
        <v>412.37941287878795</v>
      </c>
      <c r="Z15" s="421">
        <f t="shared" si="34"/>
        <v>202.70273119310133</v>
      </c>
      <c r="AA15" s="421">
        <f t="shared" si="34"/>
        <v>66.09717382617383</v>
      </c>
      <c r="AB15" s="421">
        <f t="shared" si="34"/>
        <v>10.249063146997932</v>
      </c>
      <c r="AC15" s="421">
        <f t="shared" si="34"/>
        <v>21.194927536231887</v>
      </c>
      <c r="AD15" s="421">
        <f t="shared" si="34"/>
        <v>96.735690993788822</v>
      </c>
      <c r="AE15" s="421">
        <f t="shared" si="34"/>
        <v>298.21097826086958</v>
      </c>
      <c r="AF15" s="421">
        <f t="shared" si="34"/>
        <v>486.62991389045737</v>
      </c>
      <c r="AG15" s="421">
        <f t="shared" si="34"/>
        <v>639.92800724637686</v>
      </c>
      <c r="AJ15" s="253">
        <f t="shared" si="21"/>
        <v>2026</v>
      </c>
      <c r="AK15" s="421">
        <f>AK14</f>
        <v>697.33418478260876</v>
      </c>
      <c r="AL15" s="421">
        <f t="shared" ref="AL15:AV15" si="35">AL14</f>
        <v>624.25501811594188</v>
      </c>
      <c r="AM15" s="421">
        <f t="shared" si="35"/>
        <v>546.13298913043491</v>
      </c>
      <c r="AN15" s="421">
        <f t="shared" si="35"/>
        <v>352.41399621212122</v>
      </c>
      <c r="AO15" s="421">
        <f t="shared" si="35"/>
        <v>150.136897859768</v>
      </c>
      <c r="AP15" s="421">
        <f t="shared" si="35"/>
        <v>32.520923826173821</v>
      </c>
      <c r="AQ15" s="421">
        <f t="shared" si="35"/>
        <v>1.6179166666666653</v>
      </c>
      <c r="AR15" s="421">
        <f t="shared" si="35"/>
        <v>5.6499999999999977</v>
      </c>
      <c r="AS15" s="421">
        <f t="shared" si="35"/>
        <v>54.959440993788824</v>
      </c>
      <c r="AT15" s="421">
        <f t="shared" si="35"/>
        <v>237.89681159420289</v>
      </c>
      <c r="AU15" s="421">
        <f t="shared" si="35"/>
        <v>426.62991389045737</v>
      </c>
      <c r="AV15" s="421">
        <f t="shared" si="35"/>
        <v>577.92800724637686</v>
      </c>
      <c r="AW15" s="420">
        <f>SUM(AK15:AV15)</f>
        <v>3707.4761003185413</v>
      </c>
      <c r="AX15" s="253">
        <f t="shared" si="22"/>
        <v>2026</v>
      </c>
      <c r="AY15" s="421">
        <f>AY14</f>
        <v>635.33418478260876</v>
      </c>
      <c r="AZ15" s="421">
        <f t="shared" ref="AZ15:BJ15" si="36">AZ14</f>
        <v>567.65501811594208</v>
      </c>
      <c r="BA15" s="421">
        <f t="shared" si="36"/>
        <v>484.13298913043479</v>
      </c>
      <c r="BB15" s="421">
        <f t="shared" si="36"/>
        <v>292.81107954545462</v>
      </c>
      <c r="BC15" s="421">
        <f t="shared" si="36"/>
        <v>103.25939244851259</v>
      </c>
      <c r="BD15" s="421">
        <f t="shared" si="36"/>
        <v>11.89069871794872</v>
      </c>
      <c r="BE15" s="421">
        <f t="shared" si="36"/>
        <v>7.4583333333333002E-2</v>
      </c>
      <c r="BF15" s="421">
        <f t="shared" si="36"/>
        <v>0.75041666666666718</v>
      </c>
      <c r="BG15" s="421">
        <f t="shared" si="36"/>
        <v>26.342536231884061</v>
      </c>
      <c r="BH15" s="421">
        <f t="shared" si="36"/>
        <v>181.36347826086953</v>
      </c>
      <c r="BI15" s="421">
        <f t="shared" si="36"/>
        <v>366.78033055712399</v>
      </c>
      <c r="BJ15" s="421">
        <f t="shared" si="36"/>
        <v>515.92800724637686</v>
      </c>
      <c r="BL15" s="253">
        <f t="shared" si="23"/>
        <v>2026</v>
      </c>
      <c r="BM15" s="421">
        <f>BM14</f>
        <v>573.33418478260865</v>
      </c>
      <c r="BN15" s="421">
        <f t="shared" ref="BN15:BX15" si="37">BN14</f>
        <v>511.05501811594206</v>
      </c>
      <c r="BO15" s="421">
        <f t="shared" si="37"/>
        <v>422.13298913043479</v>
      </c>
      <c r="BP15" s="421">
        <f t="shared" si="37"/>
        <v>234.57024621212122</v>
      </c>
      <c r="BQ15" s="421">
        <f t="shared" si="37"/>
        <v>64.294809115179262</v>
      </c>
      <c r="BR15" s="421">
        <f t="shared" si="37"/>
        <v>3.2341666666666669</v>
      </c>
      <c r="BS15" s="421">
        <f t="shared" si="37"/>
        <v>0</v>
      </c>
      <c r="BT15" s="421">
        <f t="shared" si="37"/>
        <v>0</v>
      </c>
      <c r="BU15" s="421">
        <f t="shared" si="37"/>
        <v>10.413369565217392</v>
      </c>
      <c r="BV15" s="421">
        <f t="shared" si="37"/>
        <v>130.19639492753623</v>
      </c>
      <c r="BW15" s="421">
        <f t="shared" si="37"/>
        <v>307.43824722379077</v>
      </c>
      <c r="BX15" s="421">
        <f t="shared" si="37"/>
        <v>453.92800724637681</v>
      </c>
      <c r="BZ15" s="253">
        <f t="shared" si="24"/>
        <v>2026</v>
      </c>
      <c r="CA15" s="421">
        <f t="shared" ref="CA15:CL15" si="38">CA14</f>
        <v>511.33418478260876</v>
      </c>
      <c r="CB15" s="421">
        <f t="shared" si="38"/>
        <v>454.45501811594193</v>
      </c>
      <c r="CC15" s="421">
        <f t="shared" si="38"/>
        <v>360.16257246376813</v>
      </c>
      <c r="CD15" s="421">
        <f t="shared" si="38"/>
        <v>178.02149621212124</v>
      </c>
      <c r="CE15" s="421">
        <f t="shared" si="38"/>
        <v>35.998420226290364</v>
      </c>
      <c r="CF15" s="421">
        <f t="shared" si="38"/>
        <v>0.5225000000000003</v>
      </c>
      <c r="CG15" s="421">
        <f t="shared" si="38"/>
        <v>0</v>
      </c>
      <c r="CH15" s="421">
        <f t="shared" si="38"/>
        <v>0</v>
      </c>
      <c r="CI15" s="421">
        <f t="shared" si="38"/>
        <v>2.6674999999999995</v>
      </c>
      <c r="CJ15" s="421">
        <f t="shared" si="38"/>
        <v>85.537644927536221</v>
      </c>
      <c r="CK15" s="421">
        <f t="shared" si="38"/>
        <v>248.90783055712399</v>
      </c>
      <c r="CL15" s="421">
        <f t="shared" si="38"/>
        <v>391.92800724637681</v>
      </c>
      <c r="CN15" s="253">
        <f t="shared" si="25"/>
        <v>2026</v>
      </c>
      <c r="CO15" s="421">
        <f t="shared" ref="CO15:CZ15" si="39">CO14</f>
        <v>449.33418478260865</v>
      </c>
      <c r="CP15" s="421">
        <f t="shared" si="39"/>
        <v>397.85501811594202</v>
      </c>
      <c r="CQ15" s="421">
        <f t="shared" si="39"/>
        <v>298.65173913043481</v>
      </c>
      <c r="CR15" s="421">
        <f t="shared" si="39"/>
        <v>125.17066287878788</v>
      </c>
      <c r="CS15" s="421">
        <f t="shared" si="39"/>
        <v>18.031833333333331</v>
      </c>
      <c r="CT15" s="421">
        <f t="shared" si="39"/>
        <v>9.7916666666666957E-2</v>
      </c>
      <c r="CU15" s="421">
        <f t="shared" si="39"/>
        <v>0</v>
      </c>
      <c r="CV15" s="421">
        <f t="shared" si="39"/>
        <v>0</v>
      </c>
      <c r="CW15" s="421">
        <f t="shared" si="39"/>
        <v>0.57166666666666666</v>
      </c>
      <c r="CX15" s="421">
        <f t="shared" si="39"/>
        <v>50.475978260869567</v>
      </c>
      <c r="CY15" s="421">
        <f t="shared" si="39"/>
        <v>192.26908055712403</v>
      </c>
      <c r="CZ15" s="421">
        <f t="shared" si="39"/>
        <v>330.0559239130435</v>
      </c>
      <c r="DB15" s="253">
        <f t="shared" si="26"/>
        <v>2026</v>
      </c>
      <c r="DC15" s="421">
        <f>DC14</f>
        <v>387.33418478260865</v>
      </c>
      <c r="DD15" s="421">
        <f t="shared" ref="DD15:DN15" si="40">DD14</f>
        <v>341.39751811594203</v>
      </c>
      <c r="DE15" s="421">
        <f t="shared" si="40"/>
        <v>238.57840579710145</v>
      </c>
      <c r="DF15" s="421">
        <f t="shared" si="40"/>
        <v>79.984412878787879</v>
      </c>
      <c r="DG15" s="421">
        <f t="shared" si="40"/>
        <v>7.2018333333333331</v>
      </c>
      <c r="DH15" s="421">
        <f t="shared" si="40"/>
        <v>0</v>
      </c>
      <c r="DI15" s="421">
        <f t="shared" si="40"/>
        <v>0</v>
      </c>
      <c r="DJ15" s="421">
        <f t="shared" si="40"/>
        <v>0</v>
      </c>
      <c r="DK15" s="421">
        <f t="shared" si="40"/>
        <v>0</v>
      </c>
      <c r="DL15" s="421">
        <f t="shared" si="40"/>
        <v>24.76139492753623</v>
      </c>
      <c r="DM15" s="421">
        <f t="shared" si="40"/>
        <v>140.02366389045739</v>
      </c>
      <c r="DN15" s="421">
        <f t="shared" si="40"/>
        <v>268.92048913043476</v>
      </c>
      <c r="DP15" s="18">
        <f>'Monthly Data'!F15</f>
        <v>44227635.344579577</v>
      </c>
      <c r="DQ15" s="18">
        <f>'Monthly Data'!J15</f>
        <v>11589929.271759877</v>
      </c>
      <c r="DR15" s="18">
        <f>'Monthly Data'!N15</f>
        <v>28882414.638769343</v>
      </c>
      <c r="DS15" s="4">
        <f>'Monthly Data'!S15</f>
        <v>7115237.8781808047</v>
      </c>
      <c r="DT15" s="4">
        <f>'Monthly Data'!V15</f>
        <v>3430298.1465842407</v>
      </c>
      <c r="DU15" s="18">
        <f t="shared" si="7"/>
        <v>44973740.745190352</v>
      </c>
      <c r="DV15" s="18">
        <f t="shared" si="8"/>
        <v>11697085.63964026</v>
      </c>
      <c r="DW15" s="18">
        <f t="shared" si="9"/>
        <v>30273870.950339552</v>
      </c>
      <c r="DX15" s="18">
        <f t="shared" si="10"/>
        <v>6863494.2995277457</v>
      </c>
      <c r="DY15" s="18">
        <f t="shared" si="11"/>
        <v>3188051.9994592909</v>
      </c>
      <c r="ER15" s="24">
        <f>'Monthly Data'!F15/'Monthly Data'!G15/'Monthly Data'!CD15</f>
        <v>32.70902230410114</v>
      </c>
      <c r="ES15" s="268">
        <f>'Monthly Data'!J15/'Monthly Data'!K15/'Monthly Data'!CD15</f>
        <v>96.791652581487341</v>
      </c>
      <c r="ET15" s="24">
        <f>'Monthly Data'!N15/'Monthly Data'!P15/'Monthly Data'!CD15</f>
        <v>1941.4139032580053</v>
      </c>
      <c r="EU15" s="24">
        <f>'Monthly Data'!Q15/'Monthly Data'!U15/'Monthly Data'!CD15</f>
        <v>17064.861127128912</v>
      </c>
      <c r="EV15" s="24">
        <f>'Monthly Data'!V15/'Monthly Data'!Z15/'Monthly Data'!CD15</f>
        <v>118286.14298566348</v>
      </c>
      <c r="EW15" s="24"/>
      <c r="FG15" s="24"/>
    </row>
    <row r="16" spans="1:163" x14ac:dyDescent="0.25">
      <c r="A16" s="3">
        <v>42430</v>
      </c>
      <c r="B16" s="1">
        <v>2016</v>
      </c>
      <c r="C16" s="1">
        <v>3</v>
      </c>
      <c r="D16" s="272">
        <v>1.3845371669004212</v>
      </c>
      <c r="E16" s="272">
        <v>577.07934782608709</v>
      </c>
      <c r="F16" s="272">
        <v>0</v>
      </c>
      <c r="G16" s="272">
        <v>515.07934782608686</v>
      </c>
      <c r="H16" s="272">
        <v>0</v>
      </c>
      <c r="I16" s="272">
        <v>453.07934782608692</v>
      </c>
      <c r="J16" s="272">
        <v>0</v>
      </c>
      <c r="K16" s="272">
        <v>391.07934782608697</v>
      </c>
      <c r="L16" s="272">
        <v>0</v>
      </c>
      <c r="M16" s="272">
        <v>329.07934782608692</v>
      </c>
      <c r="N16" s="272">
        <v>0</v>
      </c>
      <c r="O16" s="272">
        <v>267.07934782608692</v>
      </c>
      <c r="P16" s="272">
        <v>0</v>
      </c>
      <c r="Q16" s="272">
        <v>207.6751811594203</v>
      </c>
      <c r="R16" s="272">
        <v>2.595833333333335</v>
      </c>
      <c r="U16" s="1"/>
      <c r="DP16" s="18">
        <f>'Monthly Data'!F16</f>
        <v>38332383.641313039</v>
      </c>
      <c r="DQ16" s="18">
        <f>'Monthly Data'!J16</f>
        <v>11679242.54237907</v>
      </c>
      <c r="DR16" s="18">
        <f>'Monthly Data'!N16</f>
        <v>31071039.310371984</v>
      </c>
      <c r="DS16" s="4">
        <f>'Monthly Data'!S16</f>
        <v>7251476.8371827444</v>
      </c>
      <c r="DT16" s="4">
        <f>'Monthly Data'!V16</f>
        <v>3622320.7069886015</v>
      </c>
      <c r="DU16" s="18">
        <f t="shared" si="7"/>
        <v>41989591.055261105</v>
      </c>
      <c r="DV16" s="18">
        <f t="shared" si="8"/>
        <v>11179026.0946219</v>
      </c>
      <c r="DW16" s="18">
        <f t="shared" si="9"/>
        <v>28177160.079824608</v>
      </c>
      <c r="DX16" s="18">
        <f t="shared" si="10"/>
        <v>6846115.4304909706</v>
      </c>
      <c r="DY16" s="18">
        <f t="shared" si="11"/>
        <v>3166524.6150344005</v>
      </c>
      <c r="EL16" s="1" t="s">
        <v>148</v>
      </c>
      <c r="EM16" s="1" t="s">
        <v>149</v>
      </c>
      <c r="EN16" s="1" t="s">
        <v>150</v>
      </c>
      <c r="EO16" s="1" t="s">
        <v>151</v>
      </c>
      <c r="ER16" s="24">
        <f>'Monthly Data'!F16/'Monthly Data'!G16/'Monthly Data'!CD16</f>
        <v>26.32255842469527</v>
      </c>
      <c r="ES16" s="268">
        <f>'Monthly Data'!J16/'Monthly Data'!K16/'Monthly Data'!CD16</f>
        <v>90.848748355819367</v>
      </c>
      <c r="ET16" s="24">
        <f>'Monthly Data'!N16/'Monthly Data'!P16/'Monthly Data'!CD16</f>
        <v>1946.1972634119625</v>
      </c>
      <c r="EU16" s="24">
        <f>'Monthly Data'!Q16/'Monthly Data'!U16/'Monthly Data'!CD16</f>
        <v>16220.321588375775</v>
      </c>
      <c r="EV16" s="24">
        <f>'Monthly Data'!V16/'Monthly Data'!Z16/'Monthly Data'!CD16</f>
        <v>116849.05506414843</v>
      </c>
      <c r="EW16" s="24"/>
      <c r="FG16" s="24"/>
    </row>
    <row r="17" spans="1:163" x14ac:dyDescent="0.25">
      <c r="A17" s="3">
        <v>42461</v>
      </c>
      <c r="B17" s="1">
        <v>2016</v>
      </c>
      <c r="C17" s="1">
        <v>4</v>
      </c>
      <c r="D17" s="272">
        <v>4.4672222222222224</v>
      </c>
      <c r="E17" s="272">
        <v>465.98333333333341</v>
      </c>
      <c r="F17" s="272">
        <v>0</v>
      </c>
      <c r="G17" s="272">
        <v>405.98333333333341</v>
      </c>
      <c r="H17" s="272">
        <v>0</v>
      </c>
      <c r="I17" s="272">
        <v>345.98333333333335</v>
      </c>
      <c r="J17" s="272">
        <v>0</v>
      </c>
      <c r="K17" s="272">
        <v>286.81666666666661</v>
      </c>
      <c r="L17" s="272">
        <v>0.83333333333333393</v>
      </c>
      <c r="M17" s="272">
        <v>229.20416666666662</v>
      </c>
      <c r="N17" s="272">
        <v>3.2208333333333368</v>
      </c>
      <c r="O17" s="272">
        <v>175.33749999999998</v>
      </c>
      <c r="P17" s="272">
        <v>9.3541666666666732</v>
      </c>
      <c r="Q17" s="272">
        <v>127.94999999999997</v>
      </c>
      <c r="R17" s="272">
        <v>21.966666666666676</v>
      </c>
      <c r="U17" s="418" t="s">
        <v>52</v>
      </c>
      <c r="V17" s="419" t="s">
        <v>65</v>
      </c>
      <c r="W17" s="419" t="s">
        <v>66</v>
      </c>
      <c r="X17" s="419" t="s">
        <v>67</v>
      </c>
      <c r="Y17" s="419" t="s">
        <v>68</v>
      </c>
      <c r="Z17" s="419" t="s">
        <v>69</v>
      </c>
      <c r="AA17" s="419" t="s">
        <v>142</v>
      </c>
      <c r="AB17" s="419" t="s">
        <v>143</v>
      </c>
      <c r="AC17" s="419" t="s">
        <v>144</v>
      </c>
      <c r="AD17" s="419" t="s">
        <v>73</v>
      </c>
      <c r="AE17" s="419" t="s">
        <v>74</v>
      </c>
      <c r="AF17" s="419" t="s">
        <v>75</v>
      </c>
      <c r="AG17" s="419" t="s">
        <v>76</v>
      </c>
      <c r="AJ17" s="418" t="s">
        <v>54</v>
      </c>
      <c r="AK17" s="419" t="s">
        <v>65</v>
      </c>
      <c r="AL17" s="419" t="s">
        <v>66</v>
      </c>
      <c r="AM17" s="419" t="s">
        <v>67</v>
      </c>
      <c r="AN17" s="419" t="s">
        <v>68</v>
      </c>
      <c r="AO17" s="419" t="s">
        <v>69</v>
      </c>
      <c r="AP17" s="419" t="s">
        <v>142</v>
      </c>
      <c r="AQ17" s="419" t="s">
        <v>143</v>
      </c>
      <c r="AR17" s="419" t="s">
        <v>144</v>
      </c>
      <c r="AS17" s="419" t="s">
        <v>73</v>
      </c>
      <c r="AT17" s="419" t="s">
        <v>74</v>
      </c>
      <c r="AU17" s="419" t="s">
        <v>75</v>
      </c>
      <c r="AV17" s="419" t="s">
        <v>76</v>
      </c>
      <c r="AX17" s="418" t="s">
        <v>56</v>
      </c>
      <c r="AY17" s="419" t="s">
        <v>65</v>
      </c>
      <c r="AZ17" s="419" t="s">
        <v>66</v>
      </c>
      <c r="BA17" s="419" t="s">
        <v>67</v>
      </c>
      <c r="BB17" s="419" t="s">
        <v>68</v>
      </c>
      <c r="BC17" s="419" t="s">
        <v>69</v>
      </c>
      <c r="BD17" s="419" t="s">
        <v>142</v>
      </c>
      <c r="BE17" s="419" t="s">
        <v>143</v>
      </c>
      <c r="BF17" s="419" t="s">
        <v>144</v>
      </c>
      <c r="BG17" s="419" t="s">
        <v>73</v>
      </c>
      <c r="BH17" s="419" t="s">
        <v>74</v>
      </c>
      <c r="BI17" s="419" t="s">
        <v>75</v>
      </c>
      <c r="BJ17" s="419" t="s">
        <v>76</v>
      </c>
      <c r="BL17" s="418" t="s">
        <v>58</v>
      </c>
      <c r="BM17" s="419" t="s">
        <v>65</v>
      </c>
      <c r="BN17" s="419" t="s">
        <v>66</v>
      </c>
      <c r="BO17" s="419" t="s">
        <v>67</v>
      </c>
      <c r="BP17" s="419" t="s">
        <v>68</v>
      </c>
      <c r="BQ17" s="419" t="s">
        <v>69</v>
      </c>
      <c r="BR17" s="419" t="s">
        <v>142</v>
      </c>
      <c r="BS17" s="419" t="s">
        <v>143</v>
      </c>
      <c r="BT17" s="419" t="s">
        <v>144</v>
      </c>
      <c r="BU17" s="419" t="s">
        <v>73</v>
      </c>
      <c r="BV17" s="419" t="s">
        <v>74</v>
      </c>
      <c r="BW17" s="419" t="s">
        <v>75</v>
      </c>
      <c r="BX17" s="419" t="s">
        <v>76</v>
      </c>
      <c r="BZ17" s="418" t="s">
        <v>60</v>
      </c>
      <c r="CA17" s="419" t="s">
        <v>65</v>
      </c>
      <c r="CB17" s="419" t="s">
        <v>66</v>
      </c>
      <c r="CC17" s="419" t="s">
        <v>67</v>
      </c>
      <c r="CD17" s="419" t="s">
        <v>68</v>
      </c>
      <c r="CE17" s="419" t="s">
        <v>69</v>
      </c>
      <c r="CF17" s="419" t="s">
        <v>142</v>
      </c>
      <c r="CG17" s="419" t="s">
        <v>143</v>
      </c>
      <c r="CH17" s="419" t="s">
        <v>144</v>
      </c>
      <c r="CI17" s="419" t="s">
        <v>73</v>
      </c>
      <c r="CJ17" s="419" t="s">
        <v>74</v>
      </c>
      <c r="CK17" s="419" t="s">
        <v>75</v>
      </c>
      <c r="CL17" s="419" t="s">
        <v>76</v>
      </c>
      <c r="CN17" s="418" t="s">
        <v>62</v>
      </c>
      <c r="CO17" s="419" t="s">
        <v>65</v>
      </c>
      <c r="CP17" s="419" t="s">
        <v>66</v>
      </c>
      <c r="CQ17" s="419" t="s">
        <v>67</v>
      </c>
      <c r="CR17" s="419" t="s">
        <v>68</v>
      </c>
      <c r="CS17" s="419" t="s">
        <v>69</v>
      </c>
      <c r="CT17" s="419" t="s">
        <v>142</v>
      </c>
      <c r="CU17" s="419" t="s">
        <v>143</v>
      </c>
      <c r="CV17" s="419" t="s">
        <v>144</v>
      </c>
      <c r="CW17" s="419" t="s">
        <v>73</v>
      </c>
      <c r="CX17" s="419" t="s">
        <v>74</v>
      </c>
      <c r="CY17" s="419" t="s">
        <v>75</v>
      </c>
      <c r="CZ17" s="419" t="s">
        <v>76</v>
      </c>
      <c r="DB17" s="418" t="s">
        <v>64</v>
      </c>
      <c r="DC17" s="419" t="s">
        <v>65</v>
      </c>
      <c r="DD17" s="419" t="s">
        <v>66</v>
      </c>
      <c r="DE17" s="419" t="s">
        <v>67</v>
      </c>
      <c r="DF17" s="419" t="s">
        <v>68</v>
      </c>
      <c r="DG17" s="419" t="s">
        <v>69</v>
      </c>
      <c r="DH17" s="419" t="s">
        <v>142</v>
      </c>
      <c r="DI17" s="419" t="s">
        <v>143</v>
      </c>
      <c r="DJ17" s="419" t="s">
        <v>144</v>
      </c>
      <c r="DK17" s="419" t="s">
        <v>73</v>
      </c>
      <c r="DL17" s="419" t="s">
        <v>74</v>
      </c>
      <c r="DM17" s="419" t="s">
        <v>75</v>
      </c>
      <c r="DN17" s="419" t="s">
        <v>76</v>
      </c>
      <c r="DP17" s="18">
        <f>'Monthly Data'!F17</f>
        <v>36524120.843347013</v>
      </c>
      <c r="DQ17" s="18">
        <f>'Monthly Data'!J17</f>
        <v>10411421.117584607</v>
      </c>
      <c r="DR17" s="18">
        <f>'Monthly Data'!N17</f>
        <v>25693792.188505106</v>
      </c>
      <c r="DS17" s="4">
        <f>'Monthly Data'!S17</f>
        <v>7163584.4082842655</v>
      </c>
      <c r="DT17" s="4">
        <f>'Monthly Data'!V17</f>
        <v>3453242.8504224992</v>
      </c>
      <c r="DU17" s="18">
        <f t="shared" si="7"/>
        <v>38996198.234642431</v>
      </c>
      <c r="DV17" s="18">
        <f t="shared" si="8"/>
        <v>10591253.110112613</v>
      </c>
      <c r="DW17" s="18">
        <f t="shared" si="9"/>
        <v>26389011.530602071</v>
      </c>
      <c r="DX17" s="18">
        <f t="shared" si="10"/>
        <v>6834823.1657533348</v>
      </c>
      <c r="DY17" s="18">
        <f t="shared" si="11"/>
        <v>3146315.270307675</v>
      </c>
      <c r="EK17" s="1" t="s">
        <v>152</v>
      </c>
      <c r="EL17" s="1">
        <v>29912062.677759599</v>
      </c>
      <c r="EM17" s="1">
        <v>1224166.23514176</v>
      </c>
      <c r="EN17" s="1">
        <v>24.434641161537701</v>
      </c>
      <c r="EO17" s="283">
        <v>1.4593587571050301E-47</v>
      </c>
      <c r="ER17" s="24">
        <f>'Monthly Data'!F17/'Monthly Data'!G17/'Monthly Data'!CD17</f>
        <v>25.617479111588295</v>
      </c>
      <c r="ES17" s="268">
        <f>'Monthly Data'!J17/'Monthly Data'!K17/'Monthly Data'!CD17</f>
        <v>83.444907570606773</v>
      </c>
      <c r="ET17" s="24">
        <f>'Monthly Data'!N17/'Monthly Data'!P17/'Monthly Data'!CD17</f>
        <v>1659.8056969318543</v>
      </c>
      <c r="EU17" s="24">
        <f>'Monthly Data'!Q17/'Monthly Data'!U17/'Monthly Data'!CD17</f>
        <v>16451.269660007321</v>
      </c>
      <c r="EV17" s="24">
        <f>'Monthly Data'!V17/'Monthly Data'!Z17/'Monthly Data'!CD17</f>
        <v>115108.0950140833</v>
      </c>
      <c r="EW17" s="24"/>
      <c r="FG17" s="24"/>
    </row>
    <row r="18" spans="1:163" x14ac:dyDescent="0.25">
      <c r="A18" s="3">
        <v>42491</v>
      </c>
      <c r="B18" s="1">
        <v>2016</v>
      </c>
      <c r="C18" s="1">
        <v>5</v>
      </c>
      <c r="D18" s="272">
        <v>13.718055555555555</v>
      </c>
      <c r="E18" s="272">
        <v>203.72361111111115</v>
      </c>
      <c r="F18" s="272">
        <v>8.9833333333333307</v>
      </c>
      <c r="G18" s="272">
        <v>154.58611111111114</v>
      </c>
      <c r="H18" s="272">
        <v>21.845833333333335</v>
      </c>
      <c r="I18" s="272">
        <v>111.69444444444443</v>
      </c>
      <c r="J18" s="272">
        <v>40.95416666666668</v>
      </c>
      <c r="K18" s="272">
        <v>75.344444444444463</v>
      </c>
      <c r="L18" s="272">
        <v>66.604166666666671</v>
      </c>
      <c r="M18" s="272">
        <v>45.036111111111126</v>
      </c>
      <c r="N18" s="272">
        <v>98.295833333333348</v>
      </c>
      <c r="O18" s="272">
        <v>18.829166666666676</v>
      </c>
      <c r="P18" s="272">
        <v>134.0888888888889</v>
      </c>
      <c r="Q18" s="272">
        <v>4.2083333333333348</v>
      </c>
      <c r="R18" s="272">
        <v>181.46805555555554</v>
      </c>
      <c r="U18" s="1">
        <f>U4</f>
        <v>2015</v>
      </c>
      <c r="V18" s="272">
        <f t="shared" ref="V18:AG27" si="41">SUMIFS($F:$F,$B:$B,$U18,$C:$C,V$2)</f>
        <v>0</v>
      </c>
      <c r="W18" s="272">
        <f t="shared" si="41"/>
        <v>0</v>
      </c>
      <c r="X18" s="272">
        <f t="shared" si="41"/>
        <v>0</v>
      </c>
      <c r="Y18" s="272">
        <f t="shared" si="41"/>
        <v>0</v>
      </c>
      <c r="Z18" s="272">
        <f t="shared" si="41"/>
        <v>0.39999999999999503</v>
      </c>
      <c r="AA18" s="272">
        <f t="shared" si="41"/>
        <v>2.7499999999999964</v>
      </c>
      <c r="AB18" s="272">
        <f t="shared" si="41"/>
        <v>45.524999999999991</v>
      </c>
      <c r="AC18" s="272">
        <f t="shared" si="41"/>
        <v>22.12916666666667</v>
      </c>
      <c r="AD18" s="272">
        <f t="shared" si="41"/>
        <v>27.916666666666675</v>
      </c>
      <c r="AE18" s="272">
        <f t="shared" si="41"/>
        <v>0</v>
      </c>
      <c r="AF18" s="272">
        <f t="shared" si="41"/>
        <v>0</v>
      </c>
      <c r="AG18" s="272">
        <f t="shared" si="41"/>
        <v>0</v>
      </c>
      <c r="AJ18" s="1">
        <f>AJ4</f>
        <v>2015</v>
      </c>
      <c r="AK18" s="272">
        <f t="shared" ref="AK18:AV27" si="42">SUMIFS($H:$H,$B:$B,$AJ18,$C:$C,AK$2)</f>
        <v>0</v>
      </c>
      <c r="AL18" s="272">
        <f t="shared" si="42"/>
        <v>0</v>
      </c>
      <c r="AM18" s="272">
        <f t="shared" si="42"/>
        <v>0</v>
      </c>
      <c r="AN18" s="272">
        <f t="shared" si="42"/>
        <v>0</v>
      </c>
      <c r="AO18" s="272">
        <f t="shared" si="42"/>
        <v>11.524999999999999</v>
      </c>
      <c r="AP18" s="272">
        <f t="shared" si="42"/>
        <v>14.537499999999991</v>
      </c>
      <c r="AQ18" s="272">
        <f t="shared" si="42"/>
        <v>87.624999999999986</v>
      </c>
      <c r="AR18" s="272">
        <f t="shared" si="42"/>
        <v>53.358333333333334</v>
      </c>
      <c r="AS18" s="272">
        <f t="shared" si="42"/>
        <v>51.55416666666666</v>
      </c>
      <c r="AT18" s="272">
        <f t="shared" si="42"/>
        <v>0</v>
      </c>
      <c r="AU18" s="272">
        <f t="shared" si="42"/>
        <v>0</v>
      </c>
      <c r="AV18" s="272">
        <f t="shared" si="42"/>
        <v>0</v>
      </c>
      <c r="AW18" s="420">
        <f t="shared" ref="AW18:AW26" si="43">SUM(AK18:AV18)</f>
        <v>218.59999999999997</v>
      </c>
      <c r="AX18" s="1">
        <f>AX4</f>
        <v>2015</v>
      </c>
      <c r="AY18" s="272">
        <f t="shared" ref="AY18:BJ27" si="44">SUMIFS($J:$J,$B:$B,$AX18,$C:$C,AY$2)</f>
        <v>0</v>
      </c>
      <c r="AZ18" s="272">
        <f t="shared" si="44"/>
        <v>0</v>
      </c>
      <c r="BA18" s="272">
        <f t="shared" si="44"/>
        <v>0</v>
      </c>
      <c r="BB18" s="272">
        <f t="shared" si="44"/>
        <v>0</v>
      </c>
      <c r="BC18" s="272">
        <f t="shared" si="44"/>
        <v>32.514880952380949</v>
      </c>
      <c r="BD18" s="272">
        <f t="shared" si="44"/>
        <v>47.337499999999999</v>
      </c>
      <c r="BE18" s="272">
        <f t="shared" si="44"/>
        <v>143.53749999999999</v>
      </c>
      <c r="BF18" s="272">
        <f t="shared" si="44"/>
        <v>106.43333333333335</v>
      </c>
      <c r="BG18" s="272">
        <f t="shared" si="44"/>
        <v>87.618452380952391</v>
      </c>
      <c r="BH18" s="272">
        <f t="shared" si="44"/>
        <v>1</v>
      </c>
      <c r="BI18" s="272">
        <f t="shared" si="44"/>
        <v>0</v>
      </c>
      <c r="BJ18" s="272">
        <f t="shared" si="44"/>
        <v>0</v>
      </c>
      <c r="BL18" s="1">
        <f>BL4</f>
        <v>2015</v>
      </c>
      <c r="BM18" s="272">
        <f t="shared" ref="BM18:BX27" si="45">SUMIFS($L:$L,$B:$B,$BL18,$C:$C,BM$2)</f>
        <v>0</v>
      </c>
      <c r="BN18" s="272">
        <f t="shared" si="45"/>
        <v>0</v>
      </c>
      <c r="BO18" s="272">
        <f t="shared" si="45"/>
        <v>0</v>
      </c>
      <c r="BP18" s="272">
        <f t="shared" si="45"/>
        <v>0</v>
      </c>
      <c r="BQ18" s="272">
        <f t="shared" si="45"/>
        <v>62.881547619047637</v>
      </c>
      <c r="BR18" s="272">
        <f t="shared" si="45"/>
        <v>95.599999999999966</v>
      </c>
      <c r="BS18" s="272">
        <f t="shared" si="45"/>
        <v>205.53749999999997</v>
      </c>
      <c r="BT18" s="272">
        <f t="shared" si="45"/>
        <v>167.94166666666666</v>
      </c>
      <c r="BU18" s="272">
        <f t="shared" si="45"/>
        <v>134.9267857142857</v>
      </c>
      <c r="BV18" s="272">
        <f t="shared" si="45"/>
        <v>4.3583333333333325</v>
      </c>
      <c r="BW18" s="272">
        <f t="shared" si="45"/>
        <v>0.27083333333333393</v>
      </c>
      <c r="BX18" s="272">
        <f t="shared" si="45"/>
        <v>0</v>
      </c>
      <c r="BZ18" s="1">
        <f>BZ4</f>
        <v>2015</v>
      </c>
      <c r="CA18" s="272">
        <f t="shared" ref="CA18:CL27" si="46">SUMIFS($N:$N,$B:$B,$BZ18,$C:$C,CA$2)</f>
        <v>0</v>
      </c>
      <c r="CB18" s="272">
        <f t="shared" si="46"/>
        <v>0</v>
      </c>
      <c r="CC18" s="272">
        <f t="shared" si="46"/>
        <v>0</v>
      </c>
      <c r="CD18" s="272">
        <f t="shared" si="46"/>
        <v>1.5333333333333332</v>
      </c>
      <c r="CE18" s="272">
        <f t="shared" si="46"/>
        <v>105.49404761904762</v>
      </c>
      <c r="CF18" s="272">
        <f t="shared" si="46"/>
        <v>150.2583333333333</v>
      </c>
      <c r="CG18" s="272">
        <f t="shared" si="46"/>
        <v>267.53749999999997</v>
      </c>
      <c r="CH18" s="272">
        <f t="shared" si="46"/>
        <v>229.94166666666666</v>
      </c>
      <c r="CI18" s="272">
        <f t="shared" si="46"/>
        <v>188.96011904761906</v>
      </c>
      <c r="CJ18" s="272">
        <f t="shared" si="46"/>
        <v>13.895833333333337</v>
      </c>
      <c r="CK18" s="272">
        <f t="shared" si="46"/>
        <v>3.5374999999999979</v>
      </c>
      <c r="CL18" s="272">
        <f t="shared" si="46"/>
        <v>0</v>
      </c>
      <c r="CN18" s="1">
        <f>CN4</f>
        <v>2015</v>
      </c>
      <c r="CO18" s="272">
        <f t="shared" ref="CO18:CZ27" si="47">SUMIFS($P:$P,$B:$B,$CN18,$C:$C,CO$2)</f>
        <v>0</v>
      </c>
      <c r="CP18" s="272">
        <f t="shared" si="47"/>
        <v>0</v>
      </c>
      <c r="CQ18" s="272">
        <f t="shared" si="47"/>
        <v>0</v>
      </c>
      <c r="CR18" s="272">
        <f t="shared" si="47"/>
        <v>9.8333333333333321</v>
      </c>
      <c r="CS18" s="272">
        <f t="shared" si="47"/>
        <v>155.69477225672881</v>
      </c>
      <c r="CT18" s="272">
        <f t="shared" si="47"/>
        <v>209.61250000000001</v>
      </c>
      <c r="CU18" s="272">
        <f t="shared" si="47"/>
        <v>329.53750000000002</v>
      </c>
      <c r="CV18" s="272">
        <f t="shared" si="47"/>
        <v>291.94166666666666</v>
      </c>
      <c r="CW18" s="272">
        <f t="shared" si="47"/>
        <v>248.92261904761907</v>
      </c>
      <c r="CX18" s="272">
        <f t="shared" si="47"/>
        <v>32.275000000000006</v>
      </c>
      <c r="CY18" s="272">
        <f t="shared" si="47"/>
        <v>11.908333333333333</v>
      </c>
      <c r="CZ18" s="272">
        <f t="shared" si="47"/>
        <v>0.86666666666666714</v>
      </c>
      <c r="DB18" s="1">
        <f>DB4</f>
        <v>2015</v>
      </c>
      <c r="DC18" s="272">
        <f t="shared" ref="DC18:DN27" si="48">SUMIFS($R:$R,$B:$B,$DB18,$C:$C,DC$2)</f>
        <v>0</v>
      </c>
      <c r="DD18" s="272">
        <f t="shared" si="48"/>
        <v>0</v>
      </c>
      <c r="DE18" s="272">
        <f t="shared" si="48"/>
        <v>0</v>
      </c>
      <c r="DF18" s="272">
        <f t="shared" si="48"/>
        <v>26.112499999999997</v>
      </c>
      <c r="DG18" s="272">
        <f t="shared" si="48"/>
        <v>213.30310559006219</v>
      </c>
      <c r="DH18" s="272">
        <f t="shared" si="48"/>
        <v>269.61250000000001</v>
      </c>
      <c r="DI18" s="272">
        <f t="shared" si="48"/>
        <v>391.53750000000014</v>
      </c>
      <c r="DJ18" s="272">
        <f t="shared" si="48"/>
        <v>353.94166666666678</v>
      </c>
      <c r="DK18" s="272">
        <f t="shared" si="48"/>
        <v>308.92261904761898</v>
      </c>
      <c r="DL18" s="272">
        <f t="shared" si="48"/>
        <v>66.941666666666677</v>
      </c>
      <c r="DM18" s="272">
        <f t="shared" si="48"/>
        <v>28.199999999999996</v>
      </c>
      <c r="DN18" s="272">
        <f t="shared" si="48"/>
        <v>6.8248188405797094</v>
      </c>
      <c r="DP18" s="18">
        <f>'Monthly Data'!F18</f>
        <v>31953380.148771688</v>
      </c>
      <c r="DQ18" s="18">
        <f>'Monthly Data'!J18</f>
        <v>10228476.858936716</v>
      </c>
      <c r="DR18" s="18">
        <f>'Monthly Data'!N18</f>
        <v>25563625.514173936</v>
      </c>
      <c r="DS18" s="4">
        <f>'Monthly Data'!S18</f>
        <v>7587662.1759159202</v>
      </c>
      <c r="DT18" s="4">
        <f>'Monthly Data'!V18</f>
        <v>3397618.0244841203</v>
      </c>
      <c r="DU18" s="18">
        <f t="shared" si="7"/>
        <v>39151538.867063969</v>
      </c>
      <c r="DV18" s="18">
        <f t="shared" si="8"/>
        <v>10164746.144510783</v>
      </c>
      <c r="DW18" s="18">
        <f t="shared" si="9"/>
        <v>24737775.667545468</v>
      </c>
      <c r="DX18" s="18">
        <f t="shared" si="10"/>
        <v>7273127.3826822899</v>
      </c>
      <c r="DY18" s="18">
        <f t="shared" si="11"/>
        <v>3198215.3505950226</v>
      </c>
      <c r="EK18" s="1" t="s">
        <v>57</v>
      </c>
      <c r="EL18" s="1">
        <v>30882.552210024602</v>
      </c>
      <c r="EM18" s="1">
        <v>3057.0778480474901</v>
      </c>
      <c r="EN18" s="1">
        <v>10.1019842297274</v>
      </c>
      <c r="EO18" s="283">
        <v>1.354745431413E-17</v>
      </c>
      <c r="ER18" s="24">
        <f>'Monthly Data'!F18/'Monthly Data'!G18/'Monthly Data'!CD18</f>
        <v>21.48613174801396</v>
      </c>
      <c r="ES18" s="268">
        <f>'Monthly Data'!J18/'Monthly Data'!K18/'Monthly Data'!CD18</f>
        <v>79.391450052289088</v>
      </c>
      <c r="ET18" s="24">
        <f>'Monthly Data'!N18/'Monthly Data'!P18/'Monthly Data'!CD18</f>
        <v>1604.3445157633951</v>
      </c>
      <c r="EU18" s="24">
        <f>'Monthly Data'!Q18/'Monthly Data'!U18/'Monthly Data'!CD18</f>
        <v>16891.243005509696</v>
      </c>
      <c r="EV18" s="24">
        <f>'Monthly Data'!V18/'Monthly Data'!Z18/'Monthly Data'!CD18</f>
        <v>109600.58143497162</v>
      </c>
      <c r="EW18" s="24"/>
      <c r="FG18" s="24"/>
    </row>
    <row r="19" spans="1:163" x14ac:dyDescent="0.25">
      <c r="A19" s="3">
        <v>42522</v>
      </c>
      <c r="B19" s="1">
        <v>2016</v>
      </c>
      <c r="C19" s="1">
        <v>6</v>
      </c>
      <c r="D19" s="272">
        <v>18.773472222222221</v>
      </c>
      <c r="E19" s="272">
        <v>56.883333333333326</v>
      </c>
      <c r="F19" s="272">
        <v>20.087500000000002</v>
      </c>
      <c r="G19" s="272">
        <v>30.204166666666669</v>
      </c>
      <c r="H19" s="272">
        <v>53.40833333333336</v>
      </c>
      <c r="I19" s="272">
        <v>14.133333333333335</v>
      </c>
      <c r="J19" s="272">
        <v>97.33750000000002</v>
      </c>
      <c r="K19" s="272">
        <v>3.9749999999999996</v>
      </c>
      <c r="L19" s="272">
        <v>147.17916666666667</v>
      </c>
      <c r="M19" s="272">
        <v>0.65000000000000036</v>
      </c>
      <c r="N19" s="272">
        <v>203.85416666666669</v>
      </c>
      <c r="O19" s="272">
        <v>0</v>
      </c>
      <c r="P19" s="272">
        <v>263.20416666666671</v>
      </c>
      <c r="Q19" s="272">
        <v>0</v>
      </c>
      <c r="R19" s="272">
        <v>323.20416666666671</v>
      </c>
      <c r="U19" s="1">
        <f t="shared" ref="U19:U29" si="49">U18+1</f>
        <v>2016</v>
      </c>
      <c r="V19" s="272">
        <f t="shared" si="41"/>
        <v>0</v>
      </c>
      <c r="W19" s="272">
        <f t="shared" si="41"/>
        <v>0</v>
      </c>
      <c r="X19" s="272">
        <f t="shared" si="41"/>
        <v>0</v>
      </c>
      <c r="Y19" s="272">
        <f t="shared" si="41"/>
        <v>0</v>
      </c>
      <c r="Z19" s="272">
        <f t="shared" si="41"/>
        <v>8.9833333333333307</v>
      </c>
      <c r="AA19" s="272">
        <f t="shared" si="41"/>
        <v>20.087500000000002</v>
      </c>
      <c r="AB19" s="272">
        <f t="shared" si="41"/>
        <v>73.983333333333334</v>
      </c>
      <c r="AC19" s="272">
        <f t="shared" si="41"/>
        <v>84.054166666666674</v>
      </c>
      <c r="AD19" s="272">
        <f t="shared" si="41"/>
        <v>15.887500000000006</v>
      </c>
      <c r="AE19" s="272">
        <f t="shared" si="41"/>
        <v>0</v>
      </c>
      <c r="AF19" s="272">
        <f t="shared" si="41"/>
        <v>0</v>
      </c>
      <c r="AG19" s="272">
        <f t="shared" si="41"/>
        <v>0</v>
      </c>
      <c r="AJ19" s="1">
        <f t="shared" ref="AJ19:AJ29" si="50">AJ18+1</f>
        <v>2016</v>
      </c>
      <c r="AK19" s="272">
        <f t="shared" si="42"/>
        <v>0</v>
      </c>
      <c r="AL19" s="272">
        <f t="shared" si="42"/>
        <v>0</v>
      </c>
      <c r="AM19" s="272">
        <f t="shared" si="42"/>
        <v>0</v>
      </c>
      <c r="AN19" s="272">
        <f t="shared" si="42"/>
        <v>0</v>
      </c>
      <c r="AO19" s="272">
        <f t="shared" si="42"/>
        <v>21.845833333333335</v>
      </c>
      <c r="AP19" s="272">
        <f t="shared" si="42"/>
        <v>53.40833333333336</v>
      </c>
      <c r="AQ19" s="272">
        <f t="shared" si="42"/>
        <v>128.88749999999999</v>
      </c>
      <c r="AR19" s="272">
        <f t="shared" si="42"/>
        <v>143.1541666666667</v>
      </c>
      <c r="AS19" s="272">
        <f t="shared" si="42"/>
        <v>36.670833333333334</v>
      </c>
      <c r="AT19" s="272">
        <f t="shared" si="42"/>
        <v>0.93750000000000355</v>
      </c>
      <c r="AU19" s="272">
        <f t="shared" si="42"/>
        <v>0</v>
      </c>
      <c r="AV19" s="272">
        <f t="shared" si="42"/>
        <v>0</v>
      </c>
      <c r="AW19" s="420">
        <f t="shared" si="43"/>
        <v>384.9041666666667</v>
      </c>
      <c r="AX19" s="1">
        <f t="shared" ref="AX19:AX29" si="51">AX18+1</f>
        <v>2016</v>
      </c>
      <c r="AY19" s="272">
        <f t="shared" si="44"/>
        <v>0</v>
      </c>
      <c r="AZ19" s="272">
        <f t="shared" si="44"/>
        <v>0</v>
      </c>
      <c r="BA19" s="272">
        <f t="shared" si="44"/>
        <v>0</v>
      </c>
      <c r="BB19" s="272">
        <f t="shared" si="44"/>
        <v>0</v>
      </c>
      <c r="BC19" s="272">
        <f t="shared" si="44"/>
        <v>40.95416666666668</v>
      </c>
      <c r="BD19" s="272">
        <f t="shared" si="44"/>
        <v>97.33750000000002</v>
      </c>
      <c r="BE19" s="272">
        <f t="shared" si="44"/>
        <v>189.22916666666666</v>
      </c>
      <c r="BF19" s="272">
        <f t="shared" si="44"/>
        <v>204.02500000000006</v>
      </c>
      <c r="BG19" s="272">
        <f t="shared" si="44"/>
        <v>71.529166666666654</v>
      </c>
      <c r="BH19" s="272">
        <f t="shared" si="44"/>
        <v>7.2541666666666735</v>
      </c>
      <c r="BI19" s="272">
        <f t="shared" si="44"/>
        <v>0</v>
      </c>
      <c r="BJ19" s="272">
        <f t="shared" si="44"/>
        <v>0</v>
      </c>
      <c r="BL19" s="1">
        <f t="shared" ref="BL19:BL29" si="52">BL18+1</f>
        <v>2016</v>
      </c>
      <c r="BM19" s="272">
        <f t="shared" si="45"/>
        <v>0</v>
      </c>
      <c r="BN19" s="272">
        <f t="shared" si="45"/>
        <v>0</v>
      </c>
      <c r="BO19" s="272">
        <f t="shared" si="45"/>
        <v>0</v>
      </c>
      <c r="BP19" s="272">
        <f t="shared" si="45"/>
        <v>0.83333333333333393</v>
      </c>
      <c r="BQ19" s="272">
        <f t="shared" si="45"/>
        <v>66.604166666666671</v>
      </c>
      <c r="BR19" s="272">
        <f t="shared" si="45"/>
        <v>147.17916666666667</v>
      </c>
      <c r="BS19" s="272">
        <f t="shared" si="45"/>
        <v>251.2291666666666</v>
      </c>
      <c r="BT19" s="272">
        <f t="shared" si="45"/>
        <v>266.02500000000003</v>
      </c>
      <c r="BU19" s="272">
        <f t="shared" si="45"/>
        <v>120.65416666666664</v>
      </c>
      <c r="BV19" s="272">
        <f t="shared" si="45"/>
        <v>24.770833333333336</v>
      </c>
      <c r="BW19" s="272">
        <f t="shared" si="45"/>
        <v>0</v>
      </c>
      <c r="BX19" s="272">
        <f t="shared" si="45"/>
        <v>0</v>
      </c>
      <c r="BZ19" s="1">
        <f t="shared" ref="BZ19:BZ29" si="53">BZ18+1</f>
        <v>2016</v>
      </c>
      <c r="CA19" s="272">
        <f t="shared" si="46"/>
        <v>0</v>
      </c>
      <c r="CB19" s="272">
        <f t="shared" si="46"/>
        <v>0</v>
      </c>
      <c r="CC19" s="272">
        <f t="shared" si="46"/>
        <v>0</v>
      </c>
      <c r="CD19" s="272">
        <f t="shared" si="46"/>
        <v>3.2208333333333368</v>
      </c>
      <c r="CE19" s="272">
        <f t="shared" si="46"/>
        <v>98.295833333333348</v>
      </c>
      <c r="CF19" s="272">
        <f t="shared" si="46"/>
        <v>203.85416666666669</v>
      </c>
      <c r="CG19" s="272">
        <f t="shared" si="46"/>
        <v>313.22916666666657</v>
      </c>
      <c r="CH19" s="272">
        <f t="shared" si="46"/>
        <v>328.02499999999998</v>
      </c>
      <c r="CI19" s="272">
        <f t="shared" si="46"/>
        <v>176.5541666666667</v>
      </c>
      <c r="CJ19" s="272">
        <f t="shared" si="46"/>
        <v>52.383333333333333</v>
      </c>
      <c r="CK19" s="272">
        <f t="shared" si="46"/>
        <v>1.3291666666666675</v>
      </c>
      <c r="CL19" s="272">
        <f t="shared" si="46"/>
        <v>0</v>
      </c>
      <c r="CN19" s="1">
        <f t="shared" ref="CN19:CN29" si="54">CN18+1</f>
        <v>2016</v>
      </c>
      <c r="CO19" s="272">
        <f t="shared" si="47"/>
        <v>0</v>
      </c>
      <c r="CP19" s="272">
        <f t="shared" si="47"/>
        <v>0</v>
      </c>
      <c r="CQ19" s="272">
        <f t="shared" si="47"/>
        <v>0</v>
      </c>
      <c r="CR19" s="272">
        <f t="shared" si="47"/>
        <v>9.3541666666666732</v>
      </c>
      <c r="CS19" s="272">
        <f t="shared" si="47"/>
        <v>134.0888888888889</v>
      </c>
      <c r="CT19" s="272">
        <f t="shared" si="47"/>
        <v>263.20416666666671</v>
      </c>
      <c r="CU19" s="272">
        <f t="shared" si="47"/>
        <v>375.22916666666669</v>
      </c>
      <c r="CV19" s="272">
        <f t="shared" si="47"/>
        <v>390.02499999999998</v>
      </c>
      <c r="CW19" s="272">
        <f t="shared" si="47"/>
        <v>235.7416666666667</v>
      </c>
      <c r="CX19" s="272">
        <f t="shared" si="47"/>
        <v>85.800000000000011</v>
      </c>
      <c r="CY19" s="272">
        <f t="shared" si="47"/>
        <v>3.6666666666666679</v>
      </c>
      <c r="CZ19" s="272">
        <f t="shared" si="47"/>
        <v>0</v>
      </c>
      <c r="DB19" s="1">
        <f t="shared" ref="DB19:DB29" si="55">DB18+1</f>
        <v>2016</v>
      </c>
      <c r="DC19" s="272">
        <f t="shared" si="48"/>
        <v>0</v>
      </c>
      <c r="DD19" s="272">
        <f t="shared" si="48"/>
        <v>0</v>
      </c>
      <c r="DE19" s="272">
        <f t="shared" si="48"/>
        <v>2.595833333333335</v>
      </c>
      <c r="DF19" s="272">
        <f t="shared" si="48"/>
        <v>21.966666666666676</v>
      </c>
      <c r="DG19" s="272">
        <f t="shared" si="48"/>
        <v>181.46805555555554</v>
      </c>
      <c r="DH19" s="272">
        <f t="shared" si="48"/>
        <v>323.20416666666671</v>
      </c>
      <c r="DI19" s="272">
        <f t="shared" si="48"/>
        <v>437.22916666666669</v>
      </c>
      <c r="DJ19" s="272">
        <f t="shared" si="48"/>
        <v>452.02499999999998</v>
      </c>
      <c r="DK19" s="272">
        <f t="shared" si="48"/>
        <v>295.74166666666667</v>
      </c>
      <c r="DL19" s="272">
        <f t="shared" si="48"/>
        <v>122.05416666666669</v>
      </c>
      <c r="DM19" s="272">
        <f t="shared" si="48"/>
        <v>11.895833333333334</v>
      </c>
      <c r="DN19" s="272">
        <f t="shared" si="48"/>
        <v>0</v>
      </c>
      <c r="DP19" s="18">
        <f>'Monthly Data'!F19</f>
        <v>38776341.079345882</v>
      </c>
      <c r="DQ19" s="18">
        <f>'Monthly Data'!J19</f>
        <v>10465207.773663962</v>
      </c>
      <c r="DR19" s="18">
        <f>'Monthly Data'!N19</f>
        <v>24988466.374266114</v>
      </c>
      <c r="DS19" s="4">
        <f>'Monthly Data'!S19</f>
        <v>8266801.9215084706</v>
      </c>
      <c r="DT19" s="4">
        <f>'Monthly Data'!V19</f>
        <v>3372600.7862359551</v>
      </c>
      <c r="DU19" s="18">
        <f t="shared" si="7"/>
        <v>44370850.515978768</v>
      </c>
      <c r="DV19" s="18">
        <f t="shared" si="8"/>
        <v>10701876.165723311</v>
      </c>
      <c r="DW19" s="18">
        <f t="shared" si="9"/>
        <v>26009313.200074203</v>
      </c>
      <c r="DX19" s="18">
        <f t="shared" si="10"/>
        <v>7841388.0888783857</v>
      </c>
      <c r="DY19" s="18">
        <f t="shared" si="11"/>
        <v>3300568.9302579351</v>
      </c>
      <c r="EK19" s="1" t="s">
        <v>60</v>
      </c>
      <c r="EL19" s="1">
        <v>70324.928489815793</v>
      </c>
      <c r="EM19" s="1">
        <v>5843.5126969571302</v>
      </c>
      <c r="EN19" s="1">
        <v>12.0347010671228</v>
      </c>
      <c r="EO19" s="283">
        <v>3.8287630606597699E-22</v>
      </c>
      <c r="ER19" s="24">
        <f>'Monthly Data'!F19/'Monthly Data'!G19/'Monthly Data'!CD19</f>
        <v>26.467046904841975</v>
      </c>
      <c r="ES19" s="268">
        <f>'Monthly Data'!J19/'Monthly Data'!K19/'Monthly Data'!CD19</f>
        <v>83.997172916477737</v>
      </c>
      <c r="ET19" s="24">
        <f>'Monthly Data'!N19/'Monthly Data'!P19/'Monthly Data'!CD19</f>
        <v>1608.0094191934436</v>
      </c>
      <c r="EU19" s="24">
        <f>'Monthly Data'!Q19/'Monthly Data'!U19/'Monthly Data'!CD19</f>
        <v>19111.304289740652</v>
      </c>
      <c r="EV19" s="24">
        <f>'Monthly Data'!V19/'Monthly Data'!Z19/'Monthly Data'!CD19</f>
        <v>112420.02620786517</v>
      </c>
      <c r="EW19" s="24"/>
      <c r="FG19" s="24"/>
    </row>
    <row r="20" spans="1:163" x14ac:dyDescent="0.25">
      <c r="A20" s="3">
        <v>42552</v>
      </c>
      <c r="B20" s="1">
        <v>2016</v>
      </c>
      <c r="C20" s="1">
        <v>7</v>
      </c>
      <c r="D20" s="272">
        <v>22.104166666666661</v>
      </c>
      <c r="E20" s="272">
        <v>8.75416666666667</v>
      </c>
      <c r="F20" s="272">
        <v>73.983333333333334</v>
      </c>
      <c r="G20" s="272">
        <v>1.6583333333333314</v>
      </c>
      <c r="H20" s="272">
        <v>128.88749999999999</v>
      </c>
      <c r="I20" s="272">
        <v>0</v>
      </c>
      <c r="J20" s="272">
        <v>189.22916666666666</v>
      </c>
      <c r="K20" s="272">
        <v>0</v>
      </c>
      <c r="L20" s="272">
        <v>251.2291666666666</v>
      </c>
      <c r="M20" s="272">
        <v>0</v>
      </c>
      <c r="N20" s="272">
        <v>313.22916666666657</v>
      </c>
      <c r="O20" s="272">
        <v>0</v>
      </c>
      <c r="P20" s="272">
        <v>375.22916666666669</v>
      </c>
      <c r="Q20" s="272">
        <v>0</v>
      </c>
      <c r="R20" s="272">
        <v>437.22916666666669</v>
      </c>
      <c r="U20" s="1">
        <f t="shared" si="49"/>
        <v>2017</v>
      </c>
      <c r="V20" s="272">
        <f t="shared" si="41"/>
        <v>0</v>
      </c>
      <c r="W20" s="272">
        <f t="shared" si="41"/>
        <v>0</v>
      </c>
      <c r="X20" s="272">
        <f t="shared" si="41"/>
        <v>0</v>
      </c>
      <c r="Y20" s="272">
        <f t="shared" si="41"/>
        <v>0</v>
      </c>
      <c r="Z20" s="272">
        <f t="shared" si="41"/>
        <v>1.4083333333333314</v>
      </c>
      <c r="AA20" s="272">
        <f t="shared" si="41"/>
        <v>14.074999999999999</v>
      </c>
      <c r="AB20" s="272">
        <f t="shared" si="41"/>
        <v>26.579166666666627</v>
      </c>
      <c r="AC20" s="272">
        <f t="shared" si="41"/>
        <v>16.01159420289855</v>
      </c>
      <c r="AD20" s="272">
        <f t="shared" si="41"/>
        <v>15.912499999999994</v>
      </c>
      <c r="AE20" s="272">
        <f t="shared" si="41"/>
        <v>0</v>
      </c>
      <c r="AF20" s="272">
        <f t="shared" si="41"/>
        <v>0</v>
      </c>
      <c r="AG20" s="272">
        <f t="shared" si="41"/>
        <v>0</v>
      </c>
      <c r="AJ20" s="1">
        <f t="shared" si="50"/>
        <v>2017</v>
      </c>
      <c r="AK20" s="272">
        <f t="shared" si="42"/>
        <v>0</v>
      </c>
      <c r="AL20" s="272">
        <f t="shared" si="42"/>
        <v>0</v>
      </c>
      <c r="AM20" s="272">
        <f t="shared" si="42"/>
        <v>0</v>
      </c>
      <c r="AN20" s="272">
        <f t="shared" si="42"/>
        <v>0.34583333333333854</v>
      </c>
      <c r="AO20" s="272">
        <f t="shared" si="42"/>
        <v>4.8791666666666664</v>
      </c>
      <c r="AP20" s="272">
        <f t="shared" si="42"/>
        <v>36.354166666666671</v>
      </c>
      <c r="AQ20" s="272">
        <f t="shared" si="42"/>
        <v>75.970833333333289</v>
      </c>
      <c r="AR20" s="272">
        <f t="shared" si="42"/>
        <v>49.374094202898547</v>
      </c>
      <c r="AS20" s="272">
        <f t="shared" si="42"/>
        <v>41.54583333333332</v>
      </c>
      <c r="AT20" s="272">
        <f t="shared" si="42"/>
        <v>3.2250000000000014</v>
      </c>
      <c r="AU20" s="272">
        <f t="shared" si="42"/>
        <v>0</v>
      </c>
      <c r="AV20" s="272">
        <f t="shared" si="42"/>
        <v>0</v>
      </c>
      <c r="AW20" s="420">
        <f t="shared" si="43"/>
        <v>211.69492753623183</v>
      </c>
      <c r="AX20" s="1">
        <f t="shared" si="51"/>
        <v>2017</v>
      </c>
      <c r="AY20" s="272">
        <f t="shared" si="44"/>
        <v>0</v>
      </c>
      <c r="AZ20" s="272">
        <f t="shared" si="44"/>
        <v>0</v>
      </c>
      <c r="BA20" s="272">
        <f t="shared" si="44"/>
        <v>0</v>
      </c>
      <c r="BB20" s="272">
        <f t="shared" si="44"/>
        <v>2.3458333333333385</v>
      </c>
      <c r="BC20" s="272">
        <f t="shared" si="44"/>
        <v>13.075000000000003</v>
      </c>
      <c r="BD20" s="272">
        <f t="shared" si="44"/>
        <v>68.909166666666678</v>
      </c>
      <c r="BE20" s="272">
        <f t="shared" si="44"/>
        <v>136.16666666666663</v>
      </c>
      <c r="BF20" s="272">
        <f t="shared" si="44"/>
        <v>97.06576086956521</v>
      </c>
      <c r="BG20" s="272">
        <f t="shared" si="44"/>
        <v>73.237499999999983</v>
      </c>
      <c r="BH20" s="272">
        <f t="shared" si="44"/>
        <v>10.279166666666672</v>
      </c>
      <c r="BI20" s="272">
        <f t="shared" si="44"/>
        <v>0</v>
      </c>
      <c r="BJ20" s="272">
        <f t="shared" si="44"/>
        <v>0</v>
      </c>
      <c r="BL20" s="1">
        <f t="shared" si="52"/>
        <v>2017</v>
      </c>
      <c r="BM20" s="272">
        <f t="shared" si="45"/>
        <v>0</v>
      </c>
      <c r="BN20" s="272">
        <f t="shared" si="45"/>
        <v>0</v>
      </c>
      <c r="BO20" s="272">
        <f t="shared" si="45"/>
        <v>0</v>
      </c>
      <c r="BP20" s="272">
        <f t="shared" si="45"/>
        <v>5.6500000000000057</v>
      </c>
      <c r="BQ20" s="272">
        <f t="shared" si="45"/>
        <v>28.370833333333344</v>
      </c>
      <c r="BR20" s="272">
        <f t="shared" si="45"/>
        <v>112.71333333333334</v>
      </c>
      <c r="BS20" s="272">
        <f t="shared" si="45"/>
        <v>198.16666666666666</v>
      </c>
      <c r="BT20" s="272">
        <f t="shared" si="45"/>
        <v>155.42409420289857</v>
      </c>
      <c r="BU20" s="272">
        <f t="shared" si="45"/>
        <v>112.67916666666666</v>
      </c>
      <c r="BV20" s="272">
        <f t="shared" si="45"/>
        <v>29.654166666666669</v>
      </c>
      <c r="BW20" s="272">
        <f t="shared" si="45"/>
        <v>0</v>
      </c>
      <c r="BX20" s="272">
        <f t="shared" si="45"/>
        <v>0</v>
      </c>
      <c r="BZ20" s="1">
        <f t="shared" si="53"/>
        <v>2017</v>
      </c>
      <c r="CA20" s="272">
        <f t="shared" si="46"/>
        <v>0</v>
      </c>
      <c r="CB20" s="272">
        <f t="shared" si="46"/>
        <v>0</v>
      </c>
      <c r="CC20" s="272">
        <f t="shared" si="46"/>
        <v>0</v>
      </c>
      <c r="CD20" s="272">
        <f t="shared" si="46"/>
        <v>12.412500000000001</v>
      </c>
      <c r="CE20" s="272">
        <f t="shared" si="46"/>
        <v>54.529166666666683</v>
      </c>
      <c r="CF20" s="272">
        <f t="shared" si="46"/>
        <v>168.62166666666667</v>
      </c>
      <c r="CG20" s="272">
        <f t="shared" si="46"/>
        <v>260.16666666666657</v>
      </c>
      <c r="CH20" s="272">
        <f t="shared" si="46"/>
        <v>217.42409420289852</v>
      </c>
      <c r="CI20" s="272">
        <f t="shared" si="46"/>
        <v>161.3125</v>
      </c>
      <c r="CJ20" s="272">
        <f t="shared" si="46"/>
        <v>59.400000000000006</v>
      </c>
      <c r="CK20" s="272">
        <f t="shared" si="46"/>
        <v>0</v>
      </c>
      <c r="CL20" s="272">
        <f t="shared" si="46"/>
        <v>0</v>
      </c>
      <c r="CN20" s="1">
        <f t="shared" si="54"/>
        <v>2017</v>
      </c>
      <c r="CO20" s="272">
        <f t="shared" si="47"/>
        <v>0</v>
      </c>
      <c r="CP20" s="272">
        <f t="shared" si="47"/>
        <v>0</v>
      </c>
      <c r="CQ20" s="272">
        <f t="shared" si="47"/>
        <v>0</v>
      </c>
      <c r="CR20" s="272">
        <f t="shared" si="47"/>
        <v>24.758333333333333</v>
      </c>
      <c r="CS20" s="272">
        <f t="shared" si="47"/>
        <v>90.983333333333348</v>
      </c>
      <c r="CT20" s="272">
        <f t="shared" si="47"/>
        <v>228.62166666666667</v>
      </c>
      <c r="CU20" s="272">
        <f t="shared" si="47"/>
        <v>322.16666666666657</v>
      </c>
      <c r="CV20" s="272">
        <f t="shared" si="47"/>
        <v>279.42409420289852</v>
      </c>
      <c r="CW20" s="272">
        <f t="shared" si="47"/>
        <v>217.22916666666663</v>
      </c>
      <c r="CX20" s="272">
        <f t="shared" si="47"/>
        <v>98.274999999999977</v>
      </c>
      <c r="CY20" s="272">
        <f t="shared" si="47"/>
        <v>1.2958333333333325</v>
      </c>
      <c r="CZ20" s="272">
        <f t="shared" si="47"/>
        <v>0</v>
      </c>
      <c r="DB20" s="1">
        <f t="shared" si="55"/>
        <v>2017</v>
      </c>
      <c r="DC20" s="272">
        <f t="shared" si="48"/>
        <v>0</v>
      </c>
      <c r="DD20" s="272">
        <f t="shared" si="48"/>
        <v>1.3416666666666668</v>
      </c>
      <c r="DE20" s="272">
        <f t="shared" si="48"/>
        <v>0.99999999999999645</v>
      </c>
      <c r="DF20" s="272">
        <f t="shared" si="48"/>
        <v>46.308333333333337</v>
      </c>
      <c r="DG20" s="272">
        <f t="shared" si="48"/>
        <v>136.28750000000002</v>
      </c>
      <c r="DH20" s="272">
        <f t="shared" si="48"/>
        <v>288.62166666666667</v>
      </c>
      <c r="DI20" s="272">
        <f t="shared" si="48"/>
        <v>384.16666666666657</v>
      </c>
      <c r="DJ20" s="272">
        <f t="shared" si="48"/>
        <v>341.42409420289852</v>
      </c>
      <c r="DK20" s="272">
        <f t="shared" si="48"/>
        <v>275.8458333333333</v>
      </c>
      <c r="DL20" s="272">
        <f t="shared" si="48"/>
        <v>145.13749999999999</v>
      </c>
      <c r="DM20" s="272">
        <f t="shared" si="48"/>
        <v>5.4124999999999979</v>
      </c>
      <c r="DN20" s="272">
        <f t="shared" si="48"/>
        <v>0</v>
      </c>
      <c r="DP20" s="18">
        <f>'Monthly Data'!F20</f>
        <v>47218565.56540361</v>
      </c>
      <c r="DQ20" s="18">
        <f>'Monthly Data'!J20</f>
        <v>11859424.861319741</v>
      </c>
      <c r="DR20" s="18">
        <f>'Monthly Data'!N20</f>
        <v>30177913.769882832</v>
      </c>
      <c r="DS20" s="4">
        <f>'Monthly Data'!S20</f>
        <v>9257660.4062251002</v>
      </c>
      <c r="DT20" s="4">
        <f>'Monthly Data'!V20</f>
        <v>3721310.9432763467</v>
      </c>
      <c r="DU20" s="18">
        <f t="shared" si="7"/>
        <v>51939881.42451752</v>
      </c>
      <c r="DV20" s="18">
        <f t="shared" si="8"/>
        <v>12021063.990057852</v>
      </c>
      <c r="DW20" s="18">
        <f t="shared" si="9"/>
        <v>27717795.408302061</v>
      </c>
      <c r="DX20" s="18">
        <f t="shared" si="10"/>
        <v>8584994.4917142317</v>
      </c>
      <c r="DY20" s="18">
        <f t="shared" si="11"/>
        <v>3444865.382833383</v>
      </c>
      <c r="ER20" s="24">
        <f>'Monthly Data'!F20/'Monthly Data'!G20/'Monthly Data'!CD20</f>
        <v>30.843583637774554</v>
      </c>
      <c r="ES20" s="268">
        <f>'Monthly Data'!J20/'Monthly Data'!K20/'Monthly Data'!CD20</f>
        <v>91.587764496202254</v>
      </c>
      <c r="ET20" s="24">
        <f>'Monthly Data'!N20/'Monthly Data'!P20/'Monthly Data'!CD20</f>
        <v>1879.3071222993417</v>
      </c>
      <c r="EU20" s="24">
        <f>'Monthly Data'!Q20/'Monthly Data'!U20/'Monthly Data'!CD20</f>
        <v>20871.873831020795</v>
      </c>
      <c r="EV20" s="24">
        <f>'Monthly Data'!V20/'Monthly Data'!Z20/'Monthly Data'!CD20</f>
        <v>120042.28849278537</v>
      </c>
      <c r="EW20" s="24"/>
      <c r="FG20" s="24"/>
    </row>
    <row r="21" spans="1:163" x14ac:dyDescent="0.25">
      <c r="A21" s="3">
        <v>42583</v>
      </c>
      <c r="B21" s="1">
        <v>2016</v>
      </c>
      <c r="C21" s="1">
        <v>8</v>
      </c>
      <c r="D21" s="272">
        <v>22.581451612903233</v>
      </c>
      <c r="E21" s="272">
        <v>4.029166666666665</v>
      </c>
      <c r="F21" s="272">
        <v>84.054166666666674</v>
      </c>
      <c r="G21" s="272">
        <v>1.1291666666666664</v>
      </c>
      <c r="H21" s="272">
        <v>143.1541666666667</v>
      </c>
      <c r="I21" s="272">
        <v>0</v>
      </c>
      <c r="J21" s="272">
        <v>204.02500000000006</v>
      </c>
      <c r="K21" s="272">
        <v>0</v>
      </c>
      <c r="L21" s="272">
        <v>266.02500000000003</v>
      </c>
      <c r="M21" s="272">
        <v>0</v>
      </c>
      <c r="N21" s="272">
        <v>328.02499999999998</v>
      </c>
      <c r="O21" s="272">
        <v>0</v>
      </c>
      <c r="P21" s="272">
        <v>390.02499999999998</v>
      </c>
      <c r="Q21" s="272">
        <v>0</v>
      </c>
      <c r="R21" s="272">
        <v>452.02499999999998</v>
      </c>
      <c r="U21" s="1">
        <f t="shared" si="49"/>
        <v>2018</v>
      </c>
      <c r="V21" s="272">
        <f t="shared" si="41"/>
        <v>0</v>
      </c>
      <c r="W21" s="272">
        <f t="shared" si="41"/>
        <v>0</v>
      </c>
      <c r="X21" s="272">
        <f t="shared" si="41"/>
        <v>0</v>
      </c>
      <c r="Y21" s="272">
        <f t="shared" si="41"/>
        <v>0</v>
      </c>
      <c r="Z21" s="272">
        <f t="shared" si="41"/>
        <v>13.3827380952381</v>
      </c>
      <c r="AA21" s="272">
        <f t="shared" si="41"/>
        <v>21.662499999999998</v>
      </c>
      <c r="AB21" s="272">
        <f t="shared" si="41"/>
        <v>75.365513833992097</v>
      </c>
      <c r="AC21" s="272">
        <f t="shared" si="41"/>
        <v>73.474999999999994</v>
      </c>
      <c r="AD21" s="272">
        <f t="shared" si="41"/>
        <v>33.737500000000011</v>
      </c>
      <c r="AE21" s="272">
        <f t="shared" si="41"/>
        <v>1.6666666666665719E-2</v>
      </c>
      <c r="AF21" s="272">
        <f t="shared" si="41"/>
        <v>0</v>
      </c>
      <c r="AG21" s="272">
        <f t="shared" si="41"/>
        <v>0</v>
      </c>
      <c r="AJ21" s="1">
        <f t="shared" si="50"/>
        <v>2018</v>
      </c>
      <c r="AK21" s="272">
        <f t="shared" si="42"/>
        <v>0</v>
      </c>
      <c r="AL21" s="272">
        <f t="shared" si="42"/>
        <v>0</v>
      </c>
      <c r="AM21" s="272">
        <f t="shared" si="42"/>
        <v>0</v>
      </c>
      <c r="AN21" s="272">
        <f t="shared" si="42"/>
        <v>0</v>
      </c>
      <c r="AO21" s="272">
        <f t="shared" si="42"/>
        <v>29.9452380952381</v>
      </c>
      <c r="AP21" s="272">
        <f t="shared" si="42"/>
        <v>41.254166666666663</v>
      </c>
      <c r="AQ21" s="272">
        <f t="shared" si="42"/>
        <v>132.59861424807079</v>
      </c>
      <c r="AR21" s="272">
        <f t="shared" si="42"/>
        <v>129.1541666666667</v>
      </c>
      <c r="AS21" s="272">
        <f t="shared" si="42"/>
        <v>60.55416666666666</v>
      </c>
      <c r="AT21" s="272">
        <f t="shared" si="42"/>
        <v>2.30833333333333</v>
      </c>
      <c r="AU21" s="272">
        <f t="shared" si="42"/>
        <v>0</v>
      </c>
      <c r="AV21" s="272">
        <f t="shared" si="42"/>
        <v>0</v>
      </c>
      <c r="AW21" s="420">
        <f t="shared" si="43"/>
        <v>395.81468567664223</v>
      </c>
      <c r="AX21" s="1">
        <f t="shared" si="51"/>
        <v>2018</v>
      </c>
      <c r="AY21" s="272">
        <f t="shared" si="44"/>
        <v>0</v>
      </c>
      <c r="AZ21" s="272">
        <f t="shared" si="44"/>
        <v>0</v>
      </c>
      <c r="BA21" s="272">
        <f t="shared" si="44"/>
        <v>0</v>
      </c>
      <c r="BB21" s="272">
        <f t="shared" si="44"/>
        <v>0</v>
      </c>
      <c r="BC21" s="272">
        <f t="shared" si="44"/>
        <v>50.000541125541133</v>
      </c>
      <c r="BD21" s="272">
        <f t="shared" si="44"/>
        <v>85.839772727272717</v>
      </c>
      <c r="BE21" s="272">
        <f t="shared" si="44"/>
        <v>194.39861424807077</v>
      </c>
      <c r="BF21" s="272">
        <f t="shared" si="44"/>
        <v>190.24583333333339</v>
      </c>
      <c r="BG21" s="272">
        <f t="shared" si="44"/>
        <v>94.645833333333329</v>
      </c>
      <c r="BH21" s="272">
        <f t="shared" si="44"/>
        <v>8.0958333333333314</v>
      </c>
      <c r="BI21" s="272">
        <f t="shared" si="44"/>
        <v>0</v>
      </c>
      <c r="BJ21" s="272">
        <f t="shared" si="44"/>
        <v>0</v>
      </c>
      <c r="BL21" s="1">
        <f t="shared" si="52"/>
        <v>2018</v>
      </c>
      <c r="BM21" s="272">
        <f t="shared" si="45"/>
        <v>0</v>
      </c>
      <c r="BN21" s="272">
        <f t="shared" si="45"/>
        <v>0</v>
      </c>
      <c r="BO21" s="272">
        <f t="shared" si="45"/>
        <v>0</v>
      </c>
      <c r="BP21" s="272">
        <f t="shared" si="45"/>
        <v>0</v>
      </c>
      <c r="BQ21" s="272">
        <f t="shared" si="45"/>
        <v>80.600541125541127</v>
      </c>
      <c r="BR21" s="272">
        <f t="shared" si="45"/>
        <v>141.51477272727271</v>
      </c>
      <c r="BS21" s="272">
        <f t="shared" si="45"/>
        <v>256.39861424807077</v>
      </c>
      <c r="BT21" s="272">
        <f t="shared" si="45"/>
        <v>252.24583333333339</v>
      </c>
      <c r="BU21" s="272">
        <f t="shared" si="45"/>
        <v>135.06250000000003</v>
      </c>
      <c r="BV21" s="272">
        <f t="shared" si="45"/>
        <v>15.387500000000001</v>
      </c>
      <c r="BW21" s="272">
        <f t="shared" si="45"/>
        <v>0</v>
      </c>
      <c r="BX21" s="272">
        <f t="shared" si="45"/>
        <v>0</v>
      </c>
      <c r="BZ21" s="1">
        <f t="shared" si="53"/>
        <v>2018</v>
      </c>
      <c r="CA21" s="272">
        <f t="shared" si="46"/>
        <v>0</v>
      </c>
      <c r="CB21" s="272">
        <f t="shared" si="46"/>
        <v>0</v>
      </c>
      <c r="CC21" s="272">
        <f t="shared" si="46"/>
        <v>0</v>
      </c>
      <c r="CD21" s="272">
        <f t="shared" si="46"/>
        <v>0</v>
      </c>
      <c r="CE21" s="272">
        <f t="shared" si="46"/>
        <v>127.46720779220779</v>
      </c>
      <c r="CF21" s="272">
        <f t="shared" si="46"/>
        <v>198.19393939393944</v>
      </c>
      <c r="CG21" s="272">
        <f t="shared" si="46"/>
        <v>318.39861424807077</v>
      </c>
      <c r="CH21" s="272">
        <f t="shared" si="46"/>
        <v>314.24583333333334</v>
      </c>
      <c r="CI21" s="272">
        <f t="shared" si="46"/>
        <v>183.48333333333329</v>
      </c>
      <c r="CJ21" s="272">
        <f t="shared" si="46"/>
        <v>25.358333333333334</v>
      </c>
      <c r="CK21" s="272">
        <f t="shared" si="46"/>
        <v>0</v>
      </c>
      <c r="CL21" s="272">
        <f t="shared" si="46"/>
        <v>0</v>
      </c>
      <c r="CN21" s="1">
        <f t="shared" si="54"/>
        <v>2018</v>
      </c>
      <c r="CO21" s="272">
        <f t="shared" si="47"/>
        <v>0</v>
      </c>
      <c r="CP21" s="272">
        <f t="shared" si="47"/>
        <v>0</v>
      </c>
      <c r="CQ21" s="272">
        <f t="shared" si="47"/>
        <v>0</v>
      </c>
      <c r="CR21" s="272">
        <f t="shared" si="47"/>
        <v>6.2499999999998224E-2</v>
      </c>
      <c r="CS21" s="272">
        <f t="shared" si="47"/>
        <v>185.32554112554109</v>
      </c>
      <c r="CT21" s="272">
        <f t="shared" si="47"/>
        <v>258.19393939393944</v>
      </c>
      <c r="CU21" s="272">
        <f t="shared" si="47"/>
        <v>380.39861424807083</v>
      </c>
      <c r="CV21" s="272">
        <f t="shared" si="47"/>
        <v>376.24583333333334</v>
      </c>
      <c r="CW21" s="272">
        <f t="shared" si="47"/>
        <v>241.36666666666665</v>
      </c>
      <c r="CX21" s="272">
        <f t="shared" si="47"/>
        <v>41.524999999999999</v>
      </c>
      <c r="CY21" s="272">
        <f t="shared" si="47"/>
        <v>0.34166666666666856</v>
      </c>
      <c r="CZ21" s="272">
        <f t="shared" si="47"/>
        <v>0</v>
      </c>
      <c r="DB21" s="1">
        <f t="shared" si="55"/>
        <v>2018</v>
      </c>
      <c r="DC21" s="272">
        <f t="shared" si="48"/>
        <v>0</v>
      </c>
      <c r="DD21" s="272">
        <f t="shared" si="48"/>
        <v>0</v>
      </c>
      <c r="DE21" s="272">
        <f t="shared" si="48"/>
        <v>0</v>
      </c>
      <c r="DF21" s="272">
        <f t="shared" si="48"/>
        <v>6.15</v>
      </c>
      <c r="DG21" s="272">
        <f t="shared" si="48"/>
        <v>245.04220779220779</v>
      </c>
      <c r="DH21" s="272">
        <f t="shared" si="48"/>
        <v>318.19393939393939</v>
      </c>
      <c r="DI21" s="272">
        <f t="shared" si="48"/>
        <v>442.39861424807088</v>
      </c>
      <c r="DJ21" s="272">
        <f t="shared" si="48"/>
        <v>438.24583333333322</v>
      </c>
      <c r="DK21" s="272">
        <f t="shared" si="48"/>
        <v>301.3666666666665</v>
      </c>
      <c r="DL21" s="272">
        <f t="shared" si="48"/>
        <v>62.774999999999991</v>
      </c>
      <c r="DM21" s="272">
        <f t="shared" si="48"/>
        <v>2.7208333333333368</v>
      </c>
      <c r="DN21" s="272">
        <f t="shared" si="48"/>
        <v>0</v>
      </c>
      <c r="DP21" s="18">
        <f>'Monthly Data'!F21</f>
        <v>52195914.613973007</v>
      </c>
      <c r="DQ21" s="18">
        <f>'Monthly Data'!J21</f>
        <v>12306932.672611248</v>
      </c>
      <c r="DR21" s="18">
        <f>'Monthly Data'!N21</f>
        <v>30103803.929514974</v>
      </c>
      <c r="DS21" s="4">
        <f>'Monthly Data'!S21</f>
        <v>9581497.8125995416</v>
      </c>
      <c r="DT21" s="4">
        <f>'Monthly Data'!V21</f>
        <v>3656370.200016906</v>
      </c>
      <c r="DU21" s="18">
        <f t="shared" si="7"/>
        <v>52980397.345631421</v>
      </c>
      <c r="DV21" s="18">
        <f t="shared" si="8"/>
        <v>12219891.744300377</v>
      </c>
      <c r="DW21" s="18">
        <f t="shared" si="9"/>
        <v>27948912.372927472</v>
      </c>
      <c r="DX21" s="18">
        <f t="shared" si="10"/>
        <v>8690750.7370912284</v>
      </c>
      <c r="DY21" s="18">
        <f t="shared" si="11"/>
        <v>3465404.0053555537</v>
      </c>
      <c r="EK21" s="1" t="s">
        <v>153</v>
      </c>
      <c r="ER21" s="24">
        <f>'Monthly Data'!F21/'Monthly Data'!G21/'Monthly Data'!CD21</f>
        <v>33.540621137368596</v>
      </c>
      <c r="ES21" s="268">
        <f>'Monthly Data'!J21/'Monthly Data'!K21/'Monthly Data'!CD21</f>
        <v>95.317605798019187</v>
      </c>
      <c r="ET21" s="24">
        <f>'Monthly Data'!N21/'Monthly Data'!P21/'Monthly Data'!CD21</f>
        <v>1867.4816333446013</v>
      </c>
      <c r="EU21" s="24">
        <f>'Monthly Data'!Q21/'Monthly Data'!U21/'Monthly Data'!CD21</f>
        <v>21593.797906852906</v>
      </c>
      <c r="EV21" s="24">
        <f>'Monthly Data'!V21/'Monthly Data'!Z21/'Monthly Data'!CD21</f>
        <v>117947.42580699697</v>
      </c>
      <c r="EW21" s="24"/>
      <c r="FG21" s="24"/>
    </row>
    <row r="22" spans="1:163" x14ac:dyDescent="0.25">
      <c r="A22" s="3">
        <v>42614</v>
      </c>
      <c r="B22" s="1">
        <v>2016</v>
      </c>
      <c r="C22" s="1">
        <v>9</v>
      </c>
      <c r="D22" s="272">
        <v>17.858055555555556</v>
      </c>
      <c r="E22" s="272">
        <v>80.145833333333343</v>
      </c>
      <c r="F22" s="272">
        <v>15.887500000000006</v>
      </c>
      <c r="G22" s="272">
        <v>40.929166666666667</v>
      </c>
      <c r="H22" s="272">
        <v>36.670833333333334</v>
      </c>
      <c r="I22" s="272">
        <v>15.7875</v>
      </c>
      <c r="J22" s="272">
        <v>71.529166666666654</v>
      </c>
      <c r="K22" s="272">
        <v>4.9124999999999979</v>
      </c>
      <c r="L22" s="272">
        <v>120.65416666666664</v>
      </c>
      <c r="M22" s="272">
        <v>0.8125</v>
      </c>
      <c r="N22" s="272">
        <v>176.5541666666667</v>
      </c>
      <c r="O22" s="272">
        <v>0</v>
      </c>
      <c r="P22" s="272">
        <v>235.7416666666667</v>
      </c>
      <c r="Q22" s="272">
        <v>0</v>
      </c>
      <c r="R22" s="272">
        <v>295.74166666666667</v>
      </c>
      <c r="U22" s="1">
        <f t="shared" si="49"/>
        <v>2019</v>
      </c>
      <c r="V22" s="272">
        <f t="shared" si="41"/>
        <v>0</v>
      </c>
      <c r="W22" s="272">
        <f t="shared" si="41"/>
        <v>0</v>
      </c>
      <c r="X22" s="272">
        <f t="shared" si="41"/>
        <v>0</v>
      </c>
      <c r="Y22" s="272">
        <f t="shared" si="41"/>
        <v>0</v>
      </c>
      <c r="Z22" s="272">
        <f t="shared" si="41"/>
        <v>0</v>
      </c>
      <c r="AA22" s="272">
        <f t="shared" si="41"/>
        <v>10.4375</v>
      </c>
      <c r="AB22" s="272">
        <f t="shared" si="41"/>
        <v>74.574999999999989</v>
      </c>
      <c r="AC22" s="272">
        <f t="shared" si="41"/>
        <v>23.162500000000009</v>
      </c>
      <c r="AD22" s="272">
        <f t="shared" si="41"/>
        <v>5.0833333333333286</v>
      </c>
      <c r="AE22" s="272">
        <f t="shared" si="41"/>
        <v>0</v>
      </c>
      <c r="AF22" s="272">
        <f t="shared" si="41"/>
        <v>0</v>
      </c>
      <c r="AG22" s="272">
        <f t="shared" si="41"/>
        <v>0</v>
      </c>
      <c r="AJ22" s="1">
        <f t="shared" si="50"/>
        <v>2019</v>
      </c>
      <c r="AK22" s="272">
        <f t="shared" si="42"/>
        <v>0</v>
      </c>
      <c r="AL22" s="272">
        <f t="shared" si="42"/>
        <v>0</v>
      </c>
      <c r="AM22" s="272">
        <f t="shared" si="42"/>
        <v>0</v>
      </c>
      <c r="AN22" s="272">
        <f t="shared" si="42"/>
        <v>0</v>
      </c>
      <c r="AO22" s="272">
        <f t="shared" si="42"/>
        <v>0</v>
      </c>
      <c r="AP22" s="272">
        <f t="shared" si="42"/>
        <v>35.862499999999976</v>
      </c>
      <c r="AQ22" s="272">
        <f t="shared" si="42"/>
        <v>135.6</v>
      </c>
      <c r="AR22" s="272">
        <f t="shared" si="42"/>
        <v>70.716666666666669</v>
      </c>
      <c r="AS22" s="272">
        <f t="shared" si="42"/>
        <v>13.570833333333326</v>
      </c>
      <c r="AT22" s="272">
        <f t="shared" si="42"/>
        <v>1.8125000000000036</v>
      </c>
      <c r="AU22" s="272">
        <f t="shared" si="42"/>
        <v>0</v>
      </c>
      <c r="AV22" s="272">
        <f t="shared" si="42"/>
        <v>0</v>
      </c>
      <c r="AW22" s="420">
        <f t="shared" si="43"/>
        <v>257.5625</v>
      </c>
      <c r="AX22" s="1">
        <f t="shared" si="51"/>
        <v>2019</v>
      </c>
      <c r="AY22" s="272">
        <f t="shared" si="44"/>
        <v>0</v>
      </c>
      <c r="AZ22" s="272">
        <f t="shared" si="44"/>
        <v>0</v>
      </c>
      <c r="BA22" s="272">
        <f t="shared" si="44"/>
        <v>0</v>
      </c>
      <c r="BB22" s="272">
        <f t="shared" si="44"/>
        <v>0</v>
      </c>
      <c r="BC22" s="272">
        <f t="shared" si="44"/>
        <v>2.4041666666666686</v>
      </c>
      <c r="BD22" s="272">
        <f t="shared" si="44"/>
        <v>71.666666666666629</v>
      </c>
      <c r="BE22" s="272">
        <f t="shared" si="44"/>
        <v>197.60000000000005</v>
      </c>
      <c r="BF22" s="272">
        <f t="shared" si="44"/>
        <v>128.07083333333338</v>
      </c>
      <c r="BG22" s="272">
        <f t="shared" si="44"/>
        <v>32.520833333333329</v>
      </c>
      <c r="BH22" s="272">
        <f t="shared" si="44"/>
        <v>3.8125000000000036</v>
      </c>
      <c r="BI22" s="272">
        <f t="shared" si="44"/>
        <v>0</v>
      </c>
      <c r="BJ22" s="272">
        <f t="shared" si="44"/>
        <v>0</v>
      </c>
      <c r="BL22" s="1">
        <f t="shared" si="52"/>
        <v>2019</v>
      </c>
      <c r="BM22" s="272">
        <f t="shared" si="45"/>
        <v>0</v>
      </c>
      <c r="BN22" s="272">
        <f t="shared" si="45"/>
        <v>0</v>
      </c>
      <c r="BO22" s="272">
        <f t="shared" si="45"/>
        <v>0</v>
      </c>
      <c r="BP22" s="272">
        <f t="shared" si="45"/>
        <v>0</v>
      </c>
      <c r="BQ22" s="272">
        <f t="shared" si="45"/>
        <v>11.208333333333332</v>
      </c>
      <c r="BR22" s="272">
        <f t="shared" si="45"/>
        <v>118.81666666666663</v>
      </c>
      <c r="BS22" s="272">
        <f t="shared" si="45"/>
        <v>259.60000000000008</v>
      </c>
      <c r="BT22" s="272">
        <f t="shared" si="45"/>
        <v>190.07083333333335</v>
      </c>
      <c r="BU22" s="272">
        <f t="shared" si="45"/>
        <v>76.5</v>
      </c>
      <c r="BV22" s="272">
        <f t="shared" si="45"/>
        <v>7.3333333333333357</v>
      </c>
      <c r="BW22" s="272">
        <f t="shared" si="45"/>
        <v>0</v>
      </c>
      <c r="BX22" s="272">
        <f t="shared" si="45"/>
        <v>0</v>
      </c>
      <c r="BZ22" s="1">
        <f t="shared" si="53"/>
        <v>2019</v>
      </c>
      <c r="CA22" s="272">
        <f t="shared" si="46"/>
        <v>0</v>
      </c>
      <c r="CB22" s="272">
        <f t="shared" si="46"/>
        <v>0</v>
      </c>
      <c r="CC22" s="272">
        <f t="shared" si="46"/>
        <v>0</v>
      </c>
      <c r="CD22" s="272">
        <f t="shared" si="46"/>
        <v>0.84583333333333144</v>
      </c>
      <c r="CE22" s="272">
        <f t="shared" si="46"/>
        <v>27.579166666666666</v>
      </c>
      <c r="CF22" s="272">
        <f t="shared" si="46"/>
        <v>173.67083333333326</v>
      </c>
      <c r="CG22" s="272">
        <f t="shared" si="46"/>
        <v>321.60000000000002</v>
      </c>
      <c r="CH22" s="272">
        <f t="shared" si="46"/>
        <v>252.07083333333335</v>
      </c>
      <c r="CI22" s="272">
        <f t="shared" si="46"/>
        <v>131.93750000000003</v>
      </c>
      <c r="CJ22" s="272">
        <f t="shared" si="46"/>
        <v>16.670833333333334</v>
      </c>
      <c r="CK22" s="272">
        <f t="shared" si="46"/>
        <v>0</v>
      </c>
      <c r="CL22" s="272">
        <f t="shared" si="46"/>
        <v>0</v>
      </c>
      <c r="CN22" s="1">
        <f t="shared" si="54"/>
        <v>2019</v>
      </c>
      <c r="CO22" s="272">
        <f t="shared" si="47"/>
        <v>0</v>
      </c>
      <c r="CP22" s="272">
        <f t="shared" si="47"/>
        <v>0</v>
      </c>
      <c r="CQ22" s="272">
        <f t="shared" si="47"/>
        <v>0</v>
      </c>
      <c r="CR22" s="272">
        <f t="shared" si="47"/>
        <v>2.8791666666666664</v>
      </c>
      <c r="CS22" s="272">
        <f t="shared" si="47"/>
        <v>63.802850877192981</v>
      </c>
      <c r="CT22" s="272">
        <f t="shared" si="47"/>
        <v>230.72083333333327</v>
      </c>
      <c r="CU22" s="272">
        <f t="shared" si="47"/>
        <v>383.6</v>
      </c>
      <c r="CV22" s="272">
        <f t="shared" si="47"/>
        <v>314.07083333333338</v>
      </c>
      <c r="CW22" s="272">
        <f t="shared" si="47"/>
        <v>191.51666666666671</v>
      </c>
      <c r="CX22" s="272">
        <f t="shared" si="47"/>
        <v>37.229166666666664</v>
      </c>
      <c r="CY22" s="272">
        <f t="shared" si="47"/>
        <v>0</v>
      </c>
      <c r="CZ22" s="272">
        <f t="shared" si="47"/>
        <v>0</v>
      </c>
      <c r="DB22" s="1">
        <f t="shared" si="55"/>
        <v>2019</v>
      </c>
      <c r="DC22" s="272">
        <f t="shared" si="48"/>
        <v>0</v>
      </c>
      <c r="DD22" s="272">
        <f t="shared" si="48"/>
        <v>0</v>
      </c>
      <c r="DE22" s="272">
        <f t="shared" si="48"/>
        <v>0</v>
      </c>
      <c r="DF22" s="272">
        <f t="shared" si="48"/>
        <v>14.591666666666663</v>
      </c>
      <c r="DG22" s="272">
        <f t="shared" si="48"/>
        <v>109.86951754385964</v>
      </c>
      <c r="DH22" s="272">
        <f t="shared" si="48"/>
        <v>289.74166666666656</v>
      </c>
      <c r="DI22" s="272">
        <f t="shared" si="48"/>
        <v>445.60000000000008</v>
      </c>
      <c r="DJ22" s="272">
        <f t="shared" si="48"/>
        <v>376.07083333333338</v>
      </c>
      <c r="DK22" s="272">
        <f t="shared" si="48"/>
        <v>251.51666666666671</v>
      </c>
      <c r="DL22" s="272">
        <f t="shared" si="48"/>
        <v>76.099999999999994</v>
      </c>
      <c r="DM22" s="272">
        <f t="shared" si="48"/>
        <v>0</v>
      </c>
      <c r="DN22" s="272">
        <f t="shared" si="48"/>
        <v>0</v>
      </c>
      <c r="DP22" s="18">
        <f>'Monthly Data'!F22</f>
        <v>42103147.773135491</v>
      </c>
      <c r="DQ22" s="18">
        <f>'Monthly Data'!J22</f>
        <v>10662137.575885922</v>
      </c>
      <c r="DR22" s="18">
        <f>'Monthly Data'!N22</f>
        <v>25339421.831471663</v>
      </c>
      <c r="DS22" s="4">
        <f>'Monthly Data'!S22</f>
        <v>8742623.7867525965</v>
      </c>
      <c r="DT22" s="4">
        <f>'Monthly Data'!V22</f>
        <v>3775313.6989102969</v>
      </c>
      <c r="DU22" s="18">
        <f t="shared" si="7"/>
        <v>42479932.360903695</v>
      </c>
      <c r="DV22" s="18">
        <f t="shared" si="8"/>
        <v>10354682.300396537</v>
      </c>
      <c r="DW22" s="18">
        <f t="shared" si="9"/>
        <v>25582876.040900532</v>
      </c>
      <c r="DX22" s="18">
        <f t="shared" si="10"/>
        <v>7651823.2895827238</v>
      </c>
      <c r="DY22" s="18">
        <f t="shared" si="11"/>
        <v>3263783.3976349891</v>
      </c>
      <c r="EK22" s="1" t="s">
        <v>154</v>
      </c>
      <c r="EL22" s="283">
        <v>1875050727490400</v>
      </c>
      <c r="EM22" s="1" t="s">
        <v>155</v>
      </c>
      <c r="EN22" s="1">
        <v>4020476.3908522101</v>
      </c>
      <c r="ER22" s="24">
        <f>'Monthly Data'!F22/'Monthly Data'!G22/'Monthly Data'!CD22</f>
        <v>27.532433379850833</v>
      </c>
      <c r="ES22" s="268">
        <f>'Monthly Data'!J22/'Monthly Data'!K22/'Monthly Data'!CD22</f>
        <v>85.086087111051967</v>
      </c>
      <c r="ET22" s="24">
        <f>'Monthly Data'!N22/'Monthly Data'!P22/'Monthly Data'!CD22</f>
        <v>1624.3219122738244</v>
      </c>
      <c r="EU22" s="24">
        <f>'Monthly Data'!Q22/'Monthly Data'!U22/'Monthly Data'!CD22</f>
        <v>20078.268017437622</v>
      </c>
      <c r="EV22" s="24">
        <f>'Monthly Data'!V22/'Monthly Data'!Z22/'Monthly Data'!CD22</f>
        <v>125843.78996367657</v>
      </c>
      <c r="EW22" s="24"/>
      <c r="FG22" s="24"/>
    </row>
    <row r="23" spans="1:163" x14ac:dyDescent="0.25">
      <c r="A23" s="3">
        <v>42644</v>
      </c>
      <c r="B23" s="1">
        <v>2016</v>
      </c>
      <c r="C23" s="1">
        <v>10</v>
      </c>
      <c r="D23" s="272">
        <v>10.864650537634409</v>
      </c>
      <c r="E23" s="272">
        <v>283.19583333333327</v>
      </c>
      <c r="F23" s="272">
        <v>0</v>
      </c>
      <c r="G23" s="272">
        <v>222.13333333333333</v>
      </c>
      <c r="H23" s="272">
        <v>0.93750000000000355</v>
      </c>
      <c r="I23" s="272">
        <v>166.45</v>
      </c>
      <c r="J23" s="272">
        <v>7.2541666666666735</v>
      </c>
      <c r="K23" s="272">
        <v>121.96666666666667</v>
      </c>
      <c r="L23" s="272">
        <v>24.770833333333336</v>
      </c>
      <c r="M23" s="272">
        <v>87.579166666666666</v>
      </c>
      <c r="N23" s="272">
        <v>52.383333333333333</v>
      </c>
      <c r="O23" s="272">
        <v>58.995833333333337</v>
      </c>
      <c r="P23" s="272">
        <v>85.800000000000011</v>
      </c>
      <c r="Q23" s="272">
        <v>33.25</v>
      </c>
      <c r="R23" s="272">
        <v>122.05416666666669</v>
      </c>
      <c r="U23" s="1">
        <f t="shared" si="49"/>
        <v>2020</v>
      </c>
      <c r="V23" s="272">
        <f t="shared" si="41"/>
        <v>0</v>
      </c>
      <c r="W23" s="272">
        <f t="shared" si="41"/>
        <v>0</v>
      </c>
      <c r="X23" s="272">
        <f t="shared" si="41"/>
        <v>0</v>
      </c>
      <c r="Y23" s="272">
        <f t="shared" si="41"/>
        <v>0</v>
      </c>
      <c r="Z23" s="272">
        <f t="shared" si="41"/>
        <v>7.9916666666666636</v>
      </c>
      <c r="AA23" s="272">
        <f t="shared" si="41"/>
        <v>35.811231884057946</v>
      </c>
      <c r="AB23" s="272">
        <f t="shared" si="41"/>
        <v>122.88750000000002</v>
      </c>
      <c r="AC23" s="272">
        <f t="shared" si="41"/>
        <v>50.651893939393972</v>
      </c>
      <c r="AD23" s="272">
        <f t="shared" si="41"/>
        <v>4.6041666666666714</v>
      </c>
      <c r="AE23" s="272">
        <f t="shared" si="41"/>
        <v>0</v>
      </c>
      <c r="AF23" s="272">
        <f t="shared" si="41"/>
        <v>0</v>
      </c>
      <c r="AG23" s="272">
        <f t="shared" si="41"/>
        <v>0</v>
      </c>
      <c r="AJ23" s="1">
        <f t="shared" si="50"/>
        <v>2020</v>
      </c>
      <c r="AK23" s="272">
        <f t="shared" si="42"/>
        <v>0</v>
      </c>
      <c r="AL23" s="272">
        <f t="shared" si="42"/>
        <v>0</v>
      </c>
      <c r="AM23" s="272">
        <f t="shared" si="42"/>
        <v>0</v>
      </c>
      <c r="AN23" s="272">
        <f t="shared" si="42"/>
        <v>0</v>
      </c>
      <c r="AO23" s="272">
        <f t="shared" si="42"/>
        <v>17.587499999999995</v>
      </c>
      <c r="AP23" s="272">
        <f t="shared" si="42"/>
        <v>72.269565217391289</v>
      </c>
      <c r="AQ23" s="272">
        <f t="shared" si="42"/>
        <v>184.88749999999999</v>
      </c>
      <c r="AR23" s="272">
        <f t="shared" si="42"/>
        <v>96.418560606060637</v>
      </c>
      <c r="AS23" s="272">
        <f t="shared" si="42"/>
        <v>16.887500000000003</v>
      </c>
      <c r="AT23" s="272">
        <f t="shared" si="42"/>
        <v>0</v>
      </c>
      <c r="AU23" s="272">
        <f t="shared" si="42"/>
        <v>0</v>
      </c>
      <c r="AV23" s="272">
        <f t="shared" si="42"/>
        <v>0</v>
      </c>
      <c r="AW23" s="420">
        <f t="shared" si="43"/>
        <v>388.05062582345187</v>
      </c>
      <c r="AX23" s="1">
        <f t="shared" si="51"/>
        <v>2020</v>
      </c>
      <c r="AY23" s="272">
        <f t="shared" si="44"/>
        <v>0</v>
      </c>
      <c r="AZ23" s="272">
        <f t="shared" si="44"/>
        <v>0</v>
      </c>
      <c r="BA23" s="272">
        <f t="shared" si="44"/>
        <v>0</v>
      </c>
      <c r="BB23" s="272">
        <f t="shared" si="44"/>
        <v>0</v>
      </c>
      <c r="BC23" s="272">
        <f t="shared" si="44"/>
        <v>31.450595238095232</v>
      </c>
      <c r="BD23" s="272">
        <f t="shared" si="44"/>
        <v>115.68206521739128</v>
      </c>
      <c r="BE23" s="272">
        <f t="shared" si="44"/>
        <v>246.88749999999999</v>
      </c>
      <c r="BF23" s="272">
        <f t="shared" si="44"/>
        <v>154.93106060606064</v>
      </c>
      <c r="BG23" s="272">
        <f t="shared" si="44"/>
        <v>37.879166666666663</v>
      </c>
      <c r="BH23" s="272">
        <f t="shared" si="44"/>
        <v>0.22916666666666785</v>
      </c>
      <c r="BI23" s="272">
        <f t="shared" si="44"/>
        <v>0</v>
      </c>
      <c r="BJ23" s="272">
        <f t="shared" si="44"/>
        <v>0</v>
      </c>
      <c r="BL23" s="1">
        <f t="shared" si="52"/>
        <v>2020</v>
      </c>
      <c r="BM23" s="272">
        <f t="shared" si="45"/>
        <v>0</v>
      </c>
      <c r="BN23" s="272">
        <f t="shared" si="45"/>
        <v>0</v>
      </c>
      <c r="BO23" s="272">
        <f t="shared" si="45"/>
        <v>0</v>
      </c>
      <c r="BP23" s="272">
        <f t="shared" si="45"/>
        <v>0</v>
      </c>
      <c r="BQ23" s="272">
        <f t="shared" si="45"/>
        <v>50.900595238095221</v>
      </c>
      <c r="BR23" s="272">
        <f t="shared" si="45"/>
        <v>165.96956521739128</v>
      </c>
      <c r="BS23" s="272">
        <f t="shared" si="45"/>
        <v>308.88750000000005</v>
      </c>
      <c r="BT23" s="272">
        <f t="shared" si="45"/>
        <v>216.93106060606064</v>
      </c>
      <c r="BU23" s="272">
        <f t="shared" si="45"/>
        <v>75.812499999999972</v>
      </c>
      <c r="BV23" s="272">
        <f t="shared" si="45"/>
        <v>3.9291666666666654</v>
      </c>
      <c r="BW23" s="272">
        <f t="shared" si="45"/>
        <v>0</v>
      </c>
      <c r="BX23" s="272">
        <f t="shared" si="45"/>
        <v>0</v>
      </c>
      <c r="BZ23" s="1">
        <f t="shared" si="53"/>
        <v>2020</v>
      </c>
      <c r="CA23" s="272">
        <f t="shared" si="46"/>
        <v>0</v>
      </c>
      <c r="CB23" s="272">
        <f t="shared" si="46"/>
        <v>0</v>
      </c>
      <c r="CC23" s="272">
        <f t="shared" si="46"/>
        <v>0</v>
      </c>
      <c r="CD23" s="272">
        <f t="shared" si="46"/>
        <v>0</v>
      </c>
      <c r="CE23" s="272">
        <f t="shared" si="46"/>
        <v>77.750595238095229</v>
      </c>
      <c r="CF23" s="272">
        <f t="shared" si="46"/>
        <v>222.53623188405788</v>
      </c>
      <c r="CG23" s="272">
        <f t="shared" si="46"/>
        <v>370.88750000000005</v>
      </c>
      <c r="CH23" s="272">
        <f t="shared" si="46"/>
        <v>278.93106060606061</v>
      </c>
      <c r="CI23" s="272">
        <f t="shared" si="46"/>
        <v>120.81213768115938</v>
      </c>
      <c r="CJ23" s="272">
        <f t="shared" si="46"/>
        <v>10.262500000000003</v>
      </c>
      <c r="CK23" s="272">
        <f t="shared" si="46"/>
        <v>1.8291666666666622</v>
      </c>
      <c r="CL23" s="272">
        <f t="shared" si="46"/>
        <v>0</v>
      </c>
      <c r="CN23" s="1">
        <f t="shared" si="54"/>
        <v>2020</v>
      </c>
      <c r="CO23" s="272">
        <f t="shared" si="47"/>
        <v>0</v>
      </c>
      <c r="CP23" s="272">
        <f t="shared" si="47"/>
        <v>0</v>
      </c>
      <c r="CQ23" s="272">
        <f t="shared" si="47"/>
        <v>3.7499999999999645E-2</v>
      </c>
      <c r="CR23" s="272">
        <f t="shared" si="47"/>
        <v>2.1541666666666721</v>
      </c>
      <c r="CS23" s="272">
        <f t="shared" si="47"/>
        <v>111.87976190476191</v>
      </c>
      <c r="CT23" s="272">
        <f t="shared" si="47"/>
        <v>282.53623188405788</v>
      </c>
      <c r="CU23" s="272">
        <f t="shared" si="47"/>
        <v>432.88750000000005</v>
      </c>
      <c r="CV23" s="272">
        <f t="shared" si="47"/>
        <v>340.93106060606056</v>
      </c>
      <c r="CW23" s="272">
        <f t="shared" si="47"/>
        <v>174.07880434782609</v>
      </c>
      <c r="CX23" s="272">
        <f t="shared" si="47"/>
        <v>31.466666666666676</v>
      </c>
      <c r="CY23" s="272">
        <f t="shared" si="47"/>
        <v>9.9624999999999932</v>
      </c>
      <c r="CZ23" s="272">
        <f t="shared" si="47"/>
        <v>0</v>
      </c>
      <c r="DB23" s="1">
        <f t="shared" si="55"/>
        <v>2020</v>
      </c>
      <c r="DC23" s="272">
        <f t="shared" si="48"/>
        <v>0</v>
      </c>
      <c r="DD23" s="272">
        <f t="shared" si="48"/>
        <v>0</v>
      </c>
      <c r="DE23" s="272">
        <f t="shared" si="48"/>
        <v>2.9041666666666668</v>
      </c>
      <c r="DF23" s="272">
        <f t="shared" si="48"/>
        <v>9.5083333333333364</v>
      </c>
      <c r="DG23" s="272">
        <f t="shared" si="48"/>
        <v>151.37559523809523</v>
      </c>
      <c r="DH23" s="272">
        <f t="shared" si="48"/>
        <v>342.536231884058</v>
      </c>
      <c r="DI23" s="272">
        <f t="shared" si="48"/>
        <v>494.88750000000005</v>
      </c>
      <c r="DJ23" s="272">
        <f t="shared" si="48"/>
        <v>402.93106060606067</v>
      </c>
      <c r="DK23" s="272">
        <f t="shared" si="48"/>
        <v>231.84547101449272</v>
      </c>
      <c r="DL23" s="272">
        <f t="shared" si="48"/>
        <v>60.620833333333344</v>
      </c>
      <c r="DM23" s="272">
        <f t="shared" si="48"/>
        <v>26.574999999999996</v>
      </c>
      <c r="DN23" s="272">
        <f t="shared" si="48"/>
        <v>0</v>
      </c>
      <c r="DP23" s="18">
        <f>'Monthly Data'!F23</f>
        <v>31899084.21183715</v>
      </c>
      <c r="DQ23" s="18">
        <f>'Monthly Data'!J23</f>
        <v>10050178.546894442</v>
      </c>
      <c r="DR23" s="18">
        <f>'Monthly Data'!N23</f>
        <v>26431491.689325772</v>
      </c>
      <c r="DS23" s="4">
        <f>'Monthly Data'!S23</f>
        <v>7674378.604801679</v>
      </c>
      <c r="DT23" s="4">
        <f>'Monthly Data'!V23</f>
        <v>3484851.2475000508</v>
      </c>
      <c r="DU23" s="18">
        <f t="shared" si="7"/>
        <v>37362558.799700454</v>
      </c>
      <c r="DV23" s="18">
        <f t="shared" si="8"/>
        <v>9908825.3329624534</v>
      </c>
      <c r="DW23" s="18">
        <f t="shared" si="9"/>
        <v>24825522.920280278</v>
      </c>
      <c r="DX23" s="18">
        <f t="shared" si="10"/>
        <v>6981462.3638093574</v>
      </c>
      <c r="DY23" s="18">
        <f t="shared" si="11"/>
        <v>3149246.1747523062</v>
      </c>
      <c r="EK23" s="1" t="s">
        <v>156</v>
      </c>
      <c r="EL23" s="1">
        <v>0.62965665653476899</v>
      </c>
      <c r="EM23" s="1" t="s">
        <v>157</v>
      </c>
      <c r="EN23" s="1">
        <v>0.62327142647502398</v>
      </c>
      <c r="ER23" s="24">
        <f>'Monthly Data'!F23/'Monthly Data'!G23/'Monthly Data'!CD23</f>
        <v>19.910658007988928</v>
      </c>
      <c r="ES23" s="268">
        <f>'Monthly Data'!J23/'Monthly Data'!K23/'Monthly Data'!CD23</f>
        <v>78.045090988044507</v>
      </c>
      <c r="ET23" s="24">
        <f>'Monthly Data'!N23/'Monthly Data'!P23/'Monthly Data'!CD23</f>
        <v>1636.5235396771577</v>
      </c>
      <c r="EU23" s="24">
        <f>'Monthly Data'!Q23/'Monthly Data'!U23/'Monthly Data'!CD23</f>
        <v>16698.206801577304</v>
      </c>
      <c r="EV23" s="24">
        <f>'Monthly Data'!V23/'Monthly Data'!Z23/'Monthly Data'!CD23</f>
        <v>112414.55637096938</v>
      </c>
      <c r="EW23" s="24"/>
      <c r="FG23" s="24"/>
    </row>
    <row r="24" spans="1:163" x14ac:dyDescent="0.25">
      <c r="A24" s="3">
        <v>42675</v>
      </c>
      <c r="B24" s="1">
        <v>2016</v>
      </c>
      <c r="C24" s="1">
        <v>11</v>
      </c>
      <c r="D24" s="272">
        <v>5.4221626984126994</v>
      </c>
      <c r="E24" s="272">
        <v>437.33511904761912</v>
      </c>
      <c r="F24" s="272">
        <v>0</v>
      </c>
      <c r="G24" s="272">
        <v>377.33511904761912</v>
      </c>
      <c r="H24" s="272">
        <v>0</v>
      </c>
      <c r="I24" s="272">
        <v>317.335119047619</v>
      </c>
      <c r="J24" s="272">
        <v>0</v>
      </c>
      <c r="K24" s="272">
        <v>257.33511904761906</v>
      </c>
      <c r="L24" s="272">
        <v>0</v>
      </c>
      <c r="M24" s="272">
        <v>198.66428571428571</v>
      </c>
      <c r="N24" s="272">
        <v>1.3291666666666675</v>
      </c>
      <c r="O24" s="272">
        <v>141.00178571428572</v>
      </c>
      <c r="P24" s="272">
        <v>3.6666666666666679</v>
      </c>
      <c r="Q24" s="272">
        <v>89.230952380952388</v>
      </c>
      <c r="R24" s="272">
        <v>11.895833333333334</v>
      </c>
      <c r="U24" s="1">
        <f t="shared" si="49"/>
        <v>2021</v>
      </c>
      <c r="V24" s="272">
        <f t="shared" si="41"/>
        <v>0</v>
      </c>
      <c r="W24" s="272">
        <f t="shared" si="41"/>
        <v>0</v>
      </c>
      <c r="X24" s="272">
        <f t="shared" si="41"/>
        <v>0</v>
      </c>
      <c r="Y24" s="272">
        <f t="shared" si="41"/>
        <v>0</v>
      </c>
      <c r="Z24" s="272">
        <f t="shared" si="41"/>
        <v>6.4541666666666622</v>
      </c>
      <c r="AA24" s="272">
        <f t="shared" si="41"/>
        <v>37.74166666666666</v>
      </c>
      <c r="AB24" s="272">
        <f t="shared" si="41"/>
        <v>32.391666666666652</v>
      </c>
      <c r="AC24" s="272">
        <f t="shared" si="41"/>
        <v>88.587499999999991</v>
      </c>
      <c r="AD24" s="272">
        <f t="shared" si="41"/>
        <v>2.37916666666667</v>
      </c>
      <c r="AE24" s="272">
        <f t="shared" si="41"/>
        <v>0</v>
      </c>
      <c r="AF24" s="272">
        <f t="shared" si="41"/>
        <v>0</v>
      </c>
      <c r="AG24" s="272">
        <f t="shared" si="41"/>
        <v>0</v>
      </c>
      <c r="AJ24" s="1">
        <f t="shared" si="50"/>
        <v>2021</v>
      </c>
      <c r="AK24" s="272">
        <f t="shared" si="42"/>
        <v>0</v>
      </c>
      <c r="AL24" s="272">
        <f t="shared" si="42"/>
        <v>0</v>
      </c>
      <c r="AM24" s="272">
        <f t="shared" si="42"/>
        <v>0</v>
      </c>
      <c r="AN24" s="272">
        <f t="shared" si="42"/>
        <v>0</v>
      </c>
      <c r="AO24" s="272">
        <f t="shared" si="42"/>
        <v>20.174999999999997</v>
      </c>
      <c r="AP24" s="272">
        <f t="shared" si="42"/>
        <v>75.92916666666666</v>
      </c>
      <c r="AQ24" s="272">
        <f t="shared" si="42"/>
        <v>74.229166666666615</v>
      </c>
      <c r="AR24" s="272">
        <f t="shared" si="42"/>
        <v>142.75416666666666</v>
      </c>
      <c r="AS24" s="272">
        <f t="shared" si="42"/>
        <v>14.954166666666683</v>
      </c>
      <c r="AT24" s="272">
        <f t="shared" si="42"/>
        <v>1.2875000000000014</v>
      </c>
      <c r="AU24" s="272">
        <f t="shared" si="42"/>
        <v>0</v>
      </c>
      <c r="AV24" s="272">
        <f t="shared" si="42"/>
        <v>0</v>
      </c>
      <c r="AW24" s="420">
        <f t="shared" si="43"/>
        <v>329.32916666666665</v>
      </c>
      <c r="AX24" s="1">
        <f t="shared" si="51"/>
        <v>2021</v>
      </c>
      <c r="AY24" s="272">
        <f t="shared" si="44"/>
        <v>0</v>
      </c>
      <c r="AZ24" s="272">
        <f t="shared" si="44"/>
        <v>0</v>
      </c>
      <c r="BA24" s="272">
        <f t="shared" si="44"/>
        <v>0</v>
      </c>
      <c r="BB24" s="272">
        <f t="shared" si="44"/>
        <v>0.21249999999999858</v>
      </c>
      <c r="BC24" s="272">
        <f t="shared" si="44"/>
        <v>35.574999999999996</v>
      </c>
      <c r="BD24" s="272">
        <f t="shared" si="44"/>
        <v>124.94583333333331</v>
      </c>
      <c r="BE24" s="272">
        <f t="shared" si="44"/>
        <v>131.62083333333331</v>
      </c>
      <c r="BF24" s="272">
        <f t="shared" si="44"/>
        <v>204.06249999999994</v>
      </c>
      <c r="BG24" s="272">
        <f t="shared" si="44"/>
        <v>49.341666666666683</v>
      </c>
      <c r="BH24" s="272">
        <f t="shared" si="44"/>
        <v>18.245833333333344</v>
      </c>
      <c r="BI24" s="272">
        <f t="shared" si="44"/>
        <v>0</v>
      </c>
      <c r="BJ24" s="272">
        <f t="shared" si="44"/>
        <v>0</v>
      </c>
      <c r="BL24" s="1">
        <f t="shared" si="52"/>
        <v>2021</v>
      </c>
      <c r="BM24" s="272">
        <f t="shared" si="45"/>
        <v>0</v>
      </c>
      <c r="BN24" s="272">
        <f t="shared" si="45"/>
        <v>0</v>
      </c>
      <c r="BO24" s="272">
        <f t="shared" si="45"/>
        <v>0</v>
      </c>
      <c r="BP24" s="272">
        <f t="shared" si="45"/>
        <v>3.7083333333333339</v>
      </c>
      <c r="BQ24" s="272">
        <f t="shared" si="45"/>
        <v>53.908333333333317</v>
      </c>
      <c r="BR24" s="272">
        <f t="shared" si="45"/>
        <v>181.67499999999995</v>
      </c>
      <c r="BS24" s="272">
        <f t="shared" si="45"/>
        <v>192.87499999999994</v>
      </c>
      <c r="BT24" s="272">
        <f t="shared" si="45"/>
        <v>266.0625</v>
      </c>
      <c r="BU24" s="272">
        <f t="shared" si="45"/>
        <v>95.25833333333334</v>
      </c>
      <c r="BV24" s="272">
        <f t="shared" si="45"/>
        <v>44.562500000000028</v>
      </c>
      <c r="BW24" s="272">
        <f t="shared" si="45"/>
        <v>0</v>
      </c>
      <c r="BX24" s="272">
        <f t="shared" si="45"/>
        <v>0</v>
      </c>
      <c r="BZ24" s="1">
        <f t="shared" si="53"/>
        <v>2021</v>
      </c>
      <c r="CA24" s="272">
        <f t="shared" si="46"/>
        <v>0</v>
      </c>
      <c r="CB24" s="272">
        <f t="shared" si="46"/>
        <v>0</v>
      </c>
      <c r="CC24" s="272">
        <f t="shared" si="46"/>
        <v>0.29583333333332895</v>
      </c>
      <c r="CD24" s="272">
        <f t="shared" si="46"/>
        <v>11.054166666666664</v>
      </c>
      <c r="CE24" s="272">
        <f t="shared" si="46"/>
        <v>83.256944444444414</v>
      </c>
      <c r="CF24" s="272">
        <f t="shared" si="46"/>
        <v>241.67500000000001</v>
      </c>
      <c r="CG24" s="272">
        <f t="shared" si="46"/>
        <v>254.87499999999994</v>
      </c>
      <c r="CH24" s="272">
        <f t="shared" si="46"/>
        <v>328.06249999999989</v>
      </c>
      <c r="CI24" s="272">
        <f t="shared" si="46"/>
        <v>149.55833333333328</v>
      </c>
      <c r="CJ24" s="272">
        <f t="shared" si="46"/>
        <v>77.979166666666686</v>
      </c>
      <c r="CK24" s="272">
        <f t="shared" si="46"/>
        <v>0</v>
      </c>
      <c r="CL24" s="272">
        <f t="shared" si="46"/>
        <v>0</v>
      </c>
      <c r="CN24" s="1">
        <f t="shared" si="54"/>
        <v>2021</v>
      </c>
      <c r="CO24" s="272">
        <f t="shared" si="47"/>
        <v>0</v>
      </c>
      <c r="CP24" s="272">
        <f t="shared" si="47"/>
        <v>0</v>
      </c>
      <c r="CQ24" s="272">
        <f t="shared" si="47"/>
        <v>5.1499999999999932</v>
      </c>
      <c r="CR24" s="272">
        <f t="shared" si="47"/>
        <v>22.362499999999997</v>
      </c>
      <c r="CS24" s="272">
        <f t="shared" si="47"/>
        <v>120.51527777777777</v>
      </c>
      <c r="CT24" s="272">
        <f t="shared" si="47"/>
        <v>301.67500000000001</v>
      </c>
      <c r="CU24" s="272">
        <f t="shared" si="47"/>
        <v>316.87499999999994</v>
      </c>
      <c r="CV24" s="272">
        <f t="shared" si="47"/>
        <v>390.06249999999989</v>
      </c>
      <c r="CW24" s="272">
        <f t="shared" si="47"/>
        <v>209.27500000000001</v>
      </c>
      <c r="CX24" s="272">
        <f t="shared" si="47"/>
        <v>118.07916666666668</v>
      </c>
      <c r="CY24" s="272">
        <f t="shared" si="47"/>
        <v>0</v>
      </c>
      <c r="CZ24" s="272">
        <f t="shared" si="47"/>
        <v>0.41249999999999964</v>
      </c>
      <c r="DB24" s="1">
        <f t="shared" si="55"/>
        <v>2021</v>
      </c>
      <c r="DC24" s="272">
        <f t="shared" si="48"/>
        <v>0</v>
      </c>
      <c r="DD24" s="272">
        <f t="shared" si="48"/>
        <v>0</v>
      </c>
      <c r="DE24" s="272">
        <f t="shared" si="48"/>
        <v>12.05416666666666</v>
      </c>
      <c r="DF24" s="272">
        <f t="shared" si="48"/>
        <v>40.658333333333331</v>
      </c>
      <c r="DG24" s="272">
        <f t="shared" si="48"/>
        <v>164.65694444444446</v>
      </c>
      <c r="DH24" s="272">
        <f t="shared" si="48"/>
        <v>361.67500000000001</v>
      </c>
      <c r="DI24" s="272">
        <f t="shared" si="48"/>
        <v>378.87499999999994</v>
      </c>
      <c r="DJ24" s="272">
        <f t="shared" si="48"/>
        <v>452.06249999999989</v>
      </c>
      <c r="DK24" s="272">
        <f t="shared" si="48"/>
        <v>269.27499999999998</v>
      </c>
      <c r="DL24" s="272">
        <f t="shared" si="48"/>
        <v>164.47916666666669</v>
      </c>
      <c r="DM24" s="272">
        <f t="shared" si="48"/>
        <v>2.1916666666666682</v>
      </c>
      <c r="DN24" s="272">
        <f t="shared" si="48"/>
        <v>2.4124999999999996</v>
      </c>
      <c r="DP24" s="18">
        <f>'Monthly Data'!F24</f>
        <v>35135197.641628094</v>
      </c>
      <c r="DQ24" s="18">
        <f>'Monthly Data'!J24</f>
        <v>10467644.593618168</v>
      </c>
      <c r="DR24" s="18">
        <f>'Monthly Data'!N24</f>
        <v>26484968.386753168</v>
      </c>
      <c r="DS24" s="4">
        <f>'Monthly Data'!S24</f>
        <v>7232382.6811063746</v>
      </c>
      <c r="DT24" s="4">
        <f>'Monthly Data'!V24</f>
        <v>3264640.2214974263</v>
      </c>
      <c r="DU24" s="18">
        <f t="shared" si="7"/>
        <v>37952701.47800497</v>
      </c>
      <c r="DV24" s="18">
        <f t="shared" si="8"/>
        <v>10419829.683101879</v>
      </c>
      <c r="DW24" s="18">
        <f t="shared" si="9"/>
        <v>25671392.930415846</v>
      </c>
      <c r="DX24" s="18">
        <f t="shared" si="10"/>
        <v>6823592.4340258958</v>
      </c>
      <c r="DY24" s="18">
        <f t="shared" si="11"/>
        <v>3138625.1468769424</v>
      </c>
      <c r="EK24" s="1" t="s">
        <v>158</v>
      </c>
      <c r="EL24" s="1">
        <v>81.203833988886203</v>
      </c>
      <c r="EM24" s="1" t="s">
        <v>159</v>
      </c>
      <c r="EN24" s="283">
        <v>8.8522609322873005E-23</v>
      </c>
      <c r="ER24" s="24">
        <f>'Monthly Data'!F24/'Monthly Data'!G24/'Monthly Data'!CD24</f>
        <v>22.392941907820816</v>
      </c>
      <c r="ES24" s="268">
        <f>'Monthly Data'!J24/'Monthly Data'!K24/'Monthly Data'!CD24</f>
        <v>84.118005413196457</v>
      </c>
      <c r="ET24" s="24">
        <f>'Monthly Data'!N24/'Monthly Data'!P24/'Monthly Data'!CD24</f>
        <v>1694.4957381160057</v>
      </c>
      <c r="EU24" s="24">
        <f>'Monthly Data'!Q24/'Monthly Data'!U24/'Monthly Data'!CD24</f>
        <v>17373.553926461795</v>
      </c>
      <c r="EV24" s="24">
        <f>'Monthly Data'!V24/'Monthly Data'!Z24/'Monthly Data'!CD24</f>
        <v>108821.34071658087</v>
      </c>
      <c r="EW24" s="24"/>
      <c r="FG24" s="24"/>
    </row>
    <row r="25" spans="1:163" x14ac:dyDescent="0.25">
      <c r="A25" s="3">
        <v>42705</v>
      </c>
      <c r="B25" s="1">
        <v>2016</v>
      </c>
      <c r="C25" s="1">
        <v>12</v>
      </c>
      <c r="D25" s="272">
        <v>-1.8926075268817202</v>
      </c>
      <c r="E25" s="272">
        <v>678.67083333333323</v>
      </c>
      <c r="F25" s="272">
        <v>0</v>
      </c>
      <c r="G25" s="272">
        <v>616.67083333333335</v>
      </c>
      <c r="H25" s="272">
        <v>0</v>
      </c>
      <c r="I25" s="272">
        <v>554.67083333333346</v>
      </c>
      <c r="J25" s="272">
        <v>0</v>
      </c>
      <c r="K25" s="272">
        <v>492.67083333333335</v>
      </c>
      <c r="L25" s="272">
        <v>0</v>
      </c>
      <c r="M25" s="272">
        <v>430.67083333333341</v>
      </c>
      <c r="N25" s="272">
        <v>0</v>
      </c>
      <c r="O25" s="272">
        <v>368.67083333333341</v>
      </c>
      <c r="P25" s="272">
        <v>0</v>
      </c>
      <c r="Q25" s="272">
        <v>306.67083333333341</v>
      </c>
      <c r="R25" s="272">
        <v>0</v>
      </c>
      <c r="U25" s="1">
        <f t="shared" si="49"/>
        <v>2022</v>
      </c>
      <c r="V25" s="272">
        <f t="shared" si="41"/>
        <v>0</v>
      </c>
      <c r="W25" s="272">
        <f t="shared" si="41"/>
        <v>0</v>
      </c>
      <c r="X25" s="272">
        <f t="shared" si="41"/>
        <v>0</v>
      </c>
      <c r="Y25" s="272">
        <f t="shared" si="41"/>
        <v>0</v>
      </c>
      <c r="Z25" s="272">
        <f t="shared" si="41"/>
        <v>6.0166666666666657</v>
      </c>
      <c r="AA25" s="272">
        <f t="shared" si="41"/>
        <v>16.451515151515149</v>
      </c>
      <c r="AB25" s="272">
        <f t="shared" si="41"/>
        <v>44.848903508771912</v>
      </c>
      <c r="AC25" s="272">
        <f t="shared" si="41"/>
        <v>49.674999999999997</v>
      </c>
      <c r="AD25" s="272">
        <f t="shared" si="41"/>
        <v>3.0124999999999957</v>
      </c>
      <c r="AE25" s="272">
        <f t="shared" si="41"/>
        <v>0</v>
      </c>
      <c r="AF25" s="272">
        <f t="shared" si="41"/>
        <v>0</v>
      </c>
      <c r="AG25" s="272">
        <f t="shared" si="41"/>
        <v>0</v>
      </c>
      <c r="AJ25" s="1">
        <f t="shared" si="50"/>
        <v>2022</v>
      </c>
      <c r="AK25" s="272">
        <f t="shared" si="42"/>
        <v>0</v>
      </c>
      <c r="AL25" s="272">
        <f t="shared" si="42"/>
        <v>0</v>
      </c>
      <c r="AM25" s="272">
        <f t="shared" si="42"/>
        <v>0</v>
      </c>
      <c r="AN25" s="272">
        <f t="shared" si="42"/>
        <v>0</v>
      </c>
      <c r="AO25" s="272">
        <f t="shared" si="42"/>
        <v>18.545833333333334</v>
      </c>
      <c r="AP25" s="272">
        <f t="shared" si="42"/>
        <v>37.089015151515156</v>
      </c>
      <c r="AQ25" s="272">
        <f t="shared" si="42"/>
        <v>98.475171624713937</v>
      </c>
      <c r="AR25" s="272">
        <f t="shared" si="42"/>
        <v>105.04583333333332</v>
      </c>
      <c r="AS25" s="272">
        <f t="shared" si="42"/>
        <v>22.633333333333329</v>
      </c>
      <c r="AT25" s="272">
        <f t="shared" si="42"/>
        <v>0</v>
      </c>
      <c r="AU25" s="272">
        <f t="shared" si="42"/>
        <v>0</v>
      </c>
      <c r="AV25" s="272">
        <f t="shared" si="42"/>
        <v>0</v>
      </c>
      <c r="AW25" s="420">
        <f t="shared" si="43"/>
        <v>281.78918677622903</v>
      </c>
      <c r="AX25" s="1">
        <f t="shared" si="51"/>
        <v>2022</v>
      </c>
      <c r="AY25" s="272">
        <f t="shared" si="44"/>
        <v>0</v>
      </c>
      <c r="AZ25" s="272">
        <f t="shared" si="44"/>
        <v>0</v>
      </c>
      <c r="BA25" s="272">
        <f t="shared" si="44"/>
        <v>0</v>
      </c>
      <c r="BB25" s="272">
        <f t="shared" si="44"/>
        <v>0</v>
      </c>
      <c r="BC25" s="272">
        <f t="shared" si="44"/>
        <v>41.6875</v>
      </c>
      <c r="BD25" s="272">
        <f t="shared" si="44"/>
        <v>67.11282467532466</v>
      </c>
      <c r="BE25" s="272">
        <f t="shared" si="44"/>
        <v>159.8543382913806</v>
      </c>
      <c r="BF25" s="272">
        <f t="shared" si="44"/>
        <v>166.28333333333327</v>
      </c>
      <c r="BG25" s="272">
        <f t="shared" si="44"/>
        <v>56.250000000000007</v>
      </c>
      <c r="BH25" s="272">
        <f t="shared" si="44"/>
        <v>0</v>
      </c>
      <c r="BI25" s="272">
        <f t="shared" si="44"/>
        <v>0</v>
      </c>
      <c r="BJ25" s="272">
        <f t="shared" si="44"/>
        <v>0</v>
      </c>
      <c r="BL25" s="1">
        <f t="shared" si="52"/>
        <v>2022</v>
      </c>
      <c r="BM25" s="272">
        <f t="shared" si="45"/>
        <v>0</v>
      </c>
      <c r="BN25" s="272">
        <f t="shared" si="45"/>
        <v>0</v>
      </c>
      <c r="BO25" s="272">
        <f t="shared" si="45"/>
        <v>0</v>
      </c>
      <c r="BP25" s="272">
        <f t="shared" si="45"/>
        <v>0</v>
      </c>
      <c r="BQ25" s="272">
        <f t="shared" si="45"/>
        <v>72.362499999999997</v>
      </c>
      <c r="BR25" s="272">
        <f t="shared" si="45"/>
        <v>120.92250416250417</v>
      </c>
      <c r="BS25" s="272">
        <f t="shared" si="45"/>
        <v>221.8543382913806</v>
      </c>
      <c r="BT25" s="272">
        <f t="shared" si="45"/>
        <v>228.28333333333333</v>
      </c>
      <c r="BU25" s="272">
        <f t="shared" si="45"/>
        <v>94.054166666666674</v>
      </c>
      <c r="BV25" s="272">
        <f t="shared" si="45"/>
        <v>2.4208333333333307</v>
      </c>
      <c r="BW25" s="272">
        <f t="shared" si="45"/>
        <v>2.3083333333333318</v>
      </c>
      <c r="BX25" s="272">
        <f t="shared" si="45"/>
        <v>0</v>
      </c>
      <c r="BZ25" s="1">
        <f t="shared" si="53"/>
        <v>2022</v>
      </c>
      <c r="CA25" s="272">
        <f t="shared" si="46"/>
        <v>0</v>
      </c>
      <c r="CB25" s="272">
        <f t="shared" si="46"/>
        <v>0</v>
      </c>
      <c r="CC25" s="272">
        <f t="shared" si="46"/>
        <v>0</v>
      </c>
      <c r="CD25" s="272">
        <f t="shared" si="46"/>
        <v>2.2541666666666629</v>
      </c>
      <c r="CE25" s="272">
        <f t="shared" si="46"/>
        <v>109.43749999999997</v>
      </c>
      <c r="CF25" s="272">
        <f t="shared" si="46"/>
        <v>180.92250416250408</v>
      </c>
      <c r="CG25" s="272">
        <f t="shared" si="46"/>
        <v>283.8543382913806</v>
      </c>
      <c r="CH25" s="272">
        <f t="shared" si="46"/>
        <v>290.28333333333336</v>
      </c>
      <c r="CI25" s="272">
        <f t="shared" si="46"/>
        <v>139.79166666666663</v>
      </c>
      <c r="CJ25" s="272">
        <f t="shared" si="46"/>
        <v>11.604166666666668</v>
      </c>
      <c r="CK25" s="272">
        <f t="shared" si="46"/>
        <v>6.5791666666666675</v>
      </c>
      <c r="CL25" s="272">
        <f t="shared" si="46"/>
        <v>0</v>
      </c>
      <c r="CN25" s="1">
        <f t="shared" si="54"/>
        <v>2022</v>
      </c>
      <c r="CO25" s="272">
        <f t="shared" si="47"/>
        <v>0</v>
      </c>
      <c r="CP25" s="272">
        <f t="shared" si="47"/>
        <v>0</v>
      </c>
      <c r="CQ25" s="272">
        <f t="shared" si="47"/>
        <v>0</v>
      </c>
      <c r="CR25" s="272">
        <f t="shared" si="47"/>
        <v>8.7083333333333286</v>
      </c>
      <c r="CS25" s="272">
        <f t="shared" si="47"/>
        <v>157.97083333333333</v>
      </c>
      <c r="CT25" s="272">
        <f t="shared" si="47"/>
        <v>240.92250416250408</v>
      </c>
      <c r="CU25" s="272">
        <f t="shared" si="47"/>
        <v>345.85433829138066</v>
      </c>
      <c r="CV25" s="272">
        <f t="shared" si="47"/>
        <v>352.28333333333342</v>
      </c>
      <c r="CW25" s="272">
        <f t="shared" si="47"/>
        <v>193.32083333333327</v>
      </c>
      <c r="CX25" s="272">
        <f t="shared" si="47"/>
        <v>32</v>
      </c>
      <c r="CY25" s="272">
        <f t="shared" si="47"/>
        <v>13.824999999999999</v>
      </c>
      <c r="CZ25" s="272">
        <f t="shared" si="47"/>
        <v>0</v>
      </c>
      <c r="DB25" s="1">
        <f t="shared" si="55"/>
        <v>2022</v>
      </c>
      <c r="DC25" s="272">
        <f t="shared" si="48"/>
        <v>0</v>
      </c>
      <c r="DD25" s="272">
        <f t="shared" si="48"/>
        <v>0</v>
      </c>
      <c r="DE25" s="272">
        <f t="shared" si="48"/>
        <v>1.3208333333333311</v>
      </c>
      <c r="DF25" s="272">
        <f t="shared" si="48"/>
        <v>21.24166666666666</v>
      </c>
      <c r="DG25" s="272">
        <f t="shared" si="48"/>
        <v>219.03749999999999</v>
      </c>
      <c r="DH25" s="272">
        <f t="shared" si="48"/>
        <v>300.92250416250414</v>
      </c>
      <c r="DI25" s="272">
        <f t="shared" si="48"/>
        <v>407.8543382913806</v>
      </c>
      <c r="DJ25" s="272">
        <f t="shared" si="48"/>
        <v>414.28333333333336</v>
      </c>
      <c r="DK25" s="272">
        <f t="shared" si="48"/>
        <v>251.2208333333333</v>
      </c>
      <c r="DL25" s="272">
        <f t="shared" si="48"/>
        <v>64.804166666666674</v>
      </c>
      <c r="DM25" s="272">
        <f t="shared" si="48"/>
        <v>26.966666666666669</v>
      </c>
      <c r="DN25" s="272">
        <f t="shared" si="48"/>
        <v>0</v>
      </c>
      <c r="DP25" s="18">
        <f>'Monthly Data'!F25</f>
        <v>42452801.040332444</v>
      </c>
      <c r="DQ25" s="18">
        <f>'Monthly Data'!J25</f>
        <v>11890572.967155561</v>
      </c>
      <c r="DR25" s="18">
        <f>'Monthly Data'!N25</f>
        <v>31221242.491340503</v>
      </c>
      <c r="DS25" s="4">
        <f>'Monthly Data'!S25</f>
        <v>7259200.5747319283</v>
      </c>
      <c r="DT25" s="4">
        <f>'Monthly Data'!V25</f>
        <v>3043951.7634717003</v>
      </c>
      <c r="DU25" s="18">
        <f t="shared" si="7"/>
        <v>45126995.410532594</v>
      </c>
      <c r="DV25" s="18">
        <f t="shared" si="8"/>
        <v>11747211.511653228</v>
      </c>
      <c r="DW25" s="18">
        <f t="shared" si="9"/>
        <v>30213001.017994195</v>
      </c>
      <c r="DX25" s="18">
        <f t="shared" si="10"/>
        <v>6863660.5256042937</v>
      </c>
      <c r="DY25" s="18">
        <f t="shared" si="11"/>
        <v>3188257.9054157557</v>
      </c>
      <c r="EK25" s="1" t="s">
        <v>160</v>
      </c>
      <c r="EL25" s="1">
        <v>-5.7324566368539102E-2</v>
      </c>
      <c r="EM25" s="1" t="s">
        <v>161</v>
      </c>
      <c r="EN25" s="1">
        <v>2.1118012741938101</v>
      </c>
      <c r="ER25" s="24">
        <f>'Monthly Data'!F25/'Monthly Data'!G25/'Monthly Data'!CD25</f>
        <v>26.197945303491931</v>
      </c>
      <c r="ES25" s="268">
        <f>'Monthly Data'!J25/'Monthly Data'!K25/'Monthly Data'!CD25</f>
        <v>92.425751785119004</v>
      </c>
      <c r="ET25" s="24">
        <f>'Monthly Data'!N25/'Monthly Data'!P25/'Monthly Data'!CD25</f>
        <v>1933.0841738183706</v>
      </c>
      <c r="EU25" s="24">
        <f>'Monthly Data'!Q25/'Monthly Data'!U25/'Monthly Data'!CD25</f>
        <v>16796.761568112091</v>
      </c>
      <c r="EV25" s="24">
        <f>'Monthly Data'!V25/'Monthly Data'!Z25/'Monthly Data'!CD25</f>
        <v>98191.992370054853</v>
      </c>
      <c r="EW25" s="24"/>
      <c r="FG25" s="24"/>
    </row>
    <row r="26" spans="1:163" x14ac:dyDescent="0.25">
      <c r="A26" s="3">
        <v>42736</v>
      </c>
      <c r="B26" s="1">
        <v>2017</v>
      </c>
      <c r="C26" s="1">
        <v>1</v>
      </c>
      <c r="D26" s="272">
        <v>-2.0069892473118278</v>
      </c>
      <c r="E26" s="272">
        <v>682.2166666666667</v>
      </c>
      <c r="F26" s="272">
        <v>0</v>
      </c>
      <c r="G26" s="272">
        <v>620.2166666666667</v>
      </c>
      <c r="H26" s="272">
        <v>0</v>
      </c>
      <c r="I26" s="272">
        <v>558.21666666666658</v>
      </c>
      <c r="J26" s="272">
        <v>0</v>
      </c>
      <c r="K26" s="272">
        <v>496.21666666666664</v>
      </c>
      <c r="L26" s="272">
        <v>0</v>
      </c>
      <c r="M26" s="272">
        <v>434.21666666666664</v>
      </c>
      <c r="N26" s="272">
        <v>0</v>
      </c>
      <c r="O26" s="272">
        <v>372.2166666666667</v>
      </c>
      <c r="P26" s="272">
        <v>0</v>
      </c>
      <c r="Q26" s="272">
        <v>310.2166666666667</v>
      </c>
      <c r="R26" s="272">
        <v>0</v>
      </c>
      <c r="U26" s="1">
        <f t="shared" si="49"/>
        <v>2023</v>
      </c>
      <c r="V26" s="272">
        <f t="shared" si="41"/>
        <v>0</v>
      </c>
      <c r="W26" s="272">
        <f t="shared" si="41"/>
        <v>0</v>
      </c>
      <c r="X26" s="272">
        <f t="shared" si="41"/>
        <v>0</v>
      </c>
      <c r="Y26" s="272">
        <f t="shared" si="41"/>
        <v>0</v>
      </c>
      <c r="Z26" s="272">
        <f t="shared" si="41"/>
        <v>1.6166666666666636</v>
      </c>
      <c r="AA26" s="272">
        <f t="shared" si="41"/>
        <v>21.141666666666666</v>
      </c>
      <c r="AB26" s="272">
        <f t="shared" si="41"/>
        <v>45.099999999999966</v>
      </c>
      <c r="AC26" s="272">
        <f t="shared" si="41"/>
        <v>12.016666666666676</v>
      </c>
      <c r="AD26" s="272">
        <f t="shared" si="41"/>
        <v>18.212499999999995</v>
      </c>
      <c r="AE26" s="272">
        <f t="shared" si="41"/>
        <v>0</v>
      </c>
      <c r="AF26" s="272">
        <f t="shared" si="41"/>
        <v>0</v>
      </c>
      <c r="AG26" s="272">
        <f t="shared" si="41"/>
        <v>0</v>
      </c>
      <c r="AJ26" s="1">
        <f t="shared" si="50"/>
        <v>2023</v>
      </c>
      <c r="AK26" s="272">
        <f t="shared" si="42"/>
        <v>0</v>
      </c>
      <c r="AL26" s="272">
        <f t="shared" si="42"/>
        <v>0</v>
      </c>
      <c r="AM26" s="272">
        <f t="shared" si="42"/>
        <v>0</v>
      </c>
      <c r="AN26" s="272">
        <f t="shared" si="42"/>
        <v>0</v>
      </c>
      <c r="AO26" s="272">
        <f t="shared" si="42"/>
        <v>8.1333333333333258</v>
      </c>
      <c r="AP26" s="272">
        <f t="shared" si="42"/>
        <v>46.983333333333334</v>
      </c>
      <c r="AQ26" s="272">
        <f t="shared" si="42"/>
        <v>99.908333333333317</v>
      </c>
      <c r="AR26" s="272">
        <f t="shared" si="42"/>
        <v>51.079891304347839</v>
      </c>
      <c r="AS26" s="272">
        <f t="shared" si="42"/>
        <v>30.583333333333329</v>
      </c>
      <c r="AT26" s="272">
        <f t="shared" si="42"/>
        <v>7.3041666666666707</v>
      </c>
      <c r="AU26" s="272">
        <f t="shared" si="42"/>
        <v>0</v>
      </c>
      <c r="AV26" s="272">
        <f t="shared" si="42"/>
        <v>0</v>
      </c>
      <c r="AW26" s="420">
        <f t="shared" si="43"/>
        <v>243.99239130434779</v>
      </c>
      <c r="AX26" s="1">
        <f t="shared" si="51"/>
        <v>2023</v>
      </c>
      <c r="AY26" s="272">
        <f t="shared" si="44"/>
        <v>0</v>
      </c>
      <c r="AZ26" s="272">
        <f t="shared" si="44"/>
        <v>0</v>
      </c>
      <c r="BA26" s="272">
        <f t="shared" si="44"/>
        <v>0</v>
      </c>
      <c r="BB26" s="272">
        <f t="shared" si="44"/>
        <v>1.75833333333334</v>
      </c>
      <c r="BC26" s="272">
        <f t="shared" si="44"/>
        <v>19.570833333333329</v>
      </c>
      <c r="BD26" s="272">
        <f t="shared" si="44"/>
        <v>89.8125</v>
      </c>
      <c r="BE26" s="272">
        <f t="shared" si="44"/>
        <v>161.78333333333336</v>
      </c>
      <c r="BF26" s="272">
        <f t="shared" si="44"/>
        <v>105.41739130434784</v>
      </c>
      <c r="BG26" s="272">
        <f t="shared" si="44"/>
        <v>58.208333333333314</v>
      </c>
      <c r="BH26" s="272">
        <f t="shared" si="44"/>
        <v>19.579166666666676</v>
      </c>
      <c r="BI26" s="272">
        <f t="shared" si="44"/>
        <v>0</v>
      </c>
      <c r="BJ26" s="272">
        <f t="shared" si="44"/>
        <v>0</v>
      </c>
      <c r="BL26" s="1">
        <f t="shared" si="52"/>
        <v>2023</v>
      </c>
      <c r="BM26" s="272">
        <f t="shared" si="45"/>
        <v>0</v>
      </c>
      <c r="BN26" s="272">
        <f t="shared" si="45"/>
        <v>0</v>
      </c>
      <c r="BO26" s="272">
        <f t="shared" si="45"/>
        <v>0</v>
      </c>
      <c r="BP26" s="272">
        <f t="shared" si="45"/>
        <v>11.71666666666667</v>
      </c>
      <c r="BQ26" s="272">
        <f t="shared" si="45"/>
        <v>37.345833333333331</v>
      </c>
      <c r="BR26" s="272">
        <f t="shared" si="45"/>
        <v>145.54166666666666</v>
      </c>
      <c r="BS26" s="272">
        <f t="shared" si="45"/>
        <v>223.78333333333336</v>
      </c>
      <c r="BT26" s="272">
        <f t="shared" si="45"/>
        <v>165.80489130434788</v>
      </c>
      <c r="BU26" s="272">
        <f t="shared" si="45"/>
        <v>105.35</v>
      </c>
      <c r="BV26" s="272">
        <f t="shared" si="45"/>
        <v>35.333333333333343</v>
      </c>
      <c r="BW26" s="272">
        <f t="shared" si="45"/>
        <v>0</v>
      </c>
      <c r="BX26" s="272">
        <f t="shared" si="45"/>
        <v>0</v>
      </c>
      <c r="BZ26" s="1">
        <f t="shared" si="53"/>
        <v>2023</v>
      </c>
      <c r="CA26" s="272">
        <f t="shared" si="46"/>
        <v>0</v>
      </c>
      <c r="CB26" s="272">
        <f t="shared" si="46"/>
        <v>0</v>
      </c>
      <c r="CC26" s="272">
        <f t="shared" si="46"/>
        <v>0</v>
      </c>
      <c r="CD26" s="272">
        <f t="shared" si="46"/>
        <v>22.716666666666676</v>
      </c>
      <c r="CE26" s="272">
        <f t="shared" si="46"/>
        <v>68.049999999999983</v>
      </c>
      <c r="CF26" s="272">
        <f t="shared" si="46"/>
        <v>205.54166666666669</v>
      </c>
      <c r="CG26" s="272">
        <f t="shared" si="46"/>
        <v>285.78333333333342</v>
      </c>
      <c r="CH26" s="272">
        <f t="shared" si="46"/>
        <v>227.80489130434788</v>
      </c>
      <c r="CI26" s="272">
        <f t="shared" si="46"/>
        <v>162.99166666666662</v>
      </c>
      <c r="CJ26" s="272">
        <f t="shared" si="46"/>
        <v>54.625</v>
      </c>
      <c r="CK26" s="272">
        <f t="shared" si="46"/>
        <v>0</v>
      </c>
      <c r="CL26" s="272">
        <f t="shared" si="46"/>
        <v>0</v>
      </c>
      <c r="CN26" s="1">
        <f t="shared" si="54"/>
        <v>2023</v>
      </c>
      <c r="CO26" s="272">
        <f t="shared" si="47"/>
        <v>0</v>
      </c>
      <c r="CP26" s="272">
        <f t="shared" si="47"/>
        <v>0</v>
      </c>
      <c r="CQ26" s="272">
        <f t="shared" si="47"/>
        <v>0</v>
      </c>
      <c r="CR26" s="272">
        <f t="shared" si="47"/>
        <v>37.175000000000004</v>
      </c>
      <c r="CS26" s="272">
        <f t="shared" si="47"/>
        <v>112.85416666666666</v>
      </c>
      <c r="CT26" s="272">
        <f t="shared" si="47"/>
        <v>265.54166666666669</v>
      </c>
      <c r="CU26" s="272">
        <f t="shared" si="47"/>
        <v>347.78333333333342</v>
      </c>
      <c r="CV26" s="272">
        <f t="shared" si="47"/>
        <v>289.8048913043479</v>
      </c>
      <c r="CW26" s="272">
        <f t="shared" si="47"/>
        <v>222.99166666666656</v>
      </c>
      <c r="CX26" s="272">
        <f t="shared" si="47"/>
        <v>85.929166666666674</v>
      </c>
      <c r="CY26" s="272">
        <f t="shared" si="47"/>
        <v>0.36249999999999893</v>
      </c>
      <c r="CZ26" s="272">
        <f t="shared" si="47"/>
        <v>0</v>
      </c>
      <c r="DB26" s="1">
        <f t="shared" si="55"/>
        <v>2023</v>
      </c>
      <c r="DC26" s="272">
        <f t="shared" si="48"/>
        <v>0</v>
      </c>
      <c r="DD26" s="272">
        <f t="shared" si="48"/>
        <v>8.3333333333332149E-2</v>
      </c>
      <c r="DE26" s="272">
        <f t="shared" si="48"/>
        <v>0</v>
      </c>
      <c r="DF26" s="272">
        <f t="shared" si="48"/>
        <v>56.716666666666676</v>
      </c>
      <c r="DG26" s="272">
        <f t="shared" si="48"/>
        <v>161.77500000000001</v>
      </c>
      <c r="DH26" s="272">
        <f t="shared" si="48"/>
        <v>325.54166666666669</v>
      </c>
      <c r="DI26" s="272">
        <f t="shared" si="48"/>
        <v>409.7833333333333</v>
      </c>
      <c r="DJ26" s="272">
        <f t="shared" si="48"/>
        <v>351.80489130434785</v>
      </c>
      <c r="DK26" s="272">
        <f t="shared" si="48"/>
        <v>282.99166666666656</v>
      </c>
      <c r="DL26" s="272">
        <f t="shared" si="48"/>
        <v>127.93333333333337</v>
      </c>
      <c r="DM26" s="272">
        <f t="shared" si="48"/>
        <v>2.8333333333333304</v>
      </c>
      <c r="DN26" s="272">
        <f t="shared" si="48"/>
        <v>0.68750000000000178</v>
      </c>
      <c r="DP26" s="18">
        <f>'Monthly Data'!F26</f>
        <v>46444289.199650407</v>
      </c>
      <c r="DQ26" s="18">
        <f>'Monthly Data'!J26</f>
        <v>12355535.106722897</v>
      </c>
      <c r="DR26" s="18">
        <f>'Monthly Data'!N26</f>
        <v>34806736.410082474</v>
      </c>
      <c r="DS26" s="4">
        <f>'Monthly Data'!S26</f>
        <v>7748576.2980715707</v>
      </c>
      <c r="DT26" s="4">
        <f>'Monthly Data'!V26</f>
        <v>3134927.0234779711</v>
      </c>
      <c r="DU26" s="18">
        <f t="shared" si="7"/>
        <v>45236499.793577306</v>
      </c>
      <c r="DV26" s="18">
        <f t="shared" si="8"/>
        <v>11767042.807368258</v>
      </c>
      <c r="DW26" s="18">
        <f t="shared" si="9"/>
        <v>30284057.687988568</v>
      </c>
      <c r="DX26" s="18">
        <f t="shared" si="10"/>
        <v>6864272.8995919237</v>
      </c>
      <c r="DY26" s="18">
        <f t="shared" si="11"/>
        <v>3189016.4593939008</v>
      </c>
      <c r="ER26" s="24">
        <f>'Monthly Data'!F26/'Monthly Data'!G26/'Monthly Data'!CD26</f>
        <v>28.647422031589691</v>
      </c>
      <c r="ES26" s="268">
        <f>'Monthly Data'!J26/'Monthly Data'!K26/'Monthly Data'!CD26</f>
        <v>96.039915326256491</v>
      </c>
      <c r="ET26" s="24">
        <f>'Monthly Data'!N26/'Monthly Data'!P26/'Monthly Data'!CD26</f>
        <v>2142.7441769319425</v>
      </c>
      <c r="EU26" s="24">
        <f>'Monthly Data'!Q26/'Monthly Data'!U26/'Monthly Data'!CD26</f>
        <v>18559.029621303183</v>
      </c>
      <c r="EV26" s="24">
        <f>'Monthly Data'!V26/'Monthly Data'!Z26/'Monthly Data'!CD26</f>
        <v>101126.67817670874</v>
      </c>
      <c r="EW26" s="24"/>
      <c r="FG26" s="24"/>
    </row>
    <row r="27" spans="1:163" x14ac:dyDescent="0.25">
      <c r="A27" s="3">
        <v>42767</v>
      </c>
      <c r="B27" s="1">
        <v>2017</v>
      </c>
      <c r="C27" s="1">
        <v>2</v>
      </c>
      <c r="D27" s="272">
        <v>-0.93154761904761851</v>
      </c>
      <c r="E27" s="272">
        <v>586.08333333333337</v>
      </c>
      <c r="F27" s="272">
        <v>0</v>
      </c>
      <c r="G27" s="272">
        <v>530.08333333333337</v>
      </c>
      <c r="H27" s="272">
        <v>0</v>
      </c>
      <c r="I27" s="272">
        <v>474.08333333333337</v>
      </c>
      <c r="J27" s="272">
        <v>0</v>
      </c>
      <c r="K27" s="272">
        <v>418.08333333333331</v>
      </c>
      <c r="L27" s="272">
        <v>0</v>
      </c>
      <c r="M27" s="272">
        <v>362.08333333333331</v>
      </c>
      <c r="N27" s="272">
        <v>0</v>
      </c>
      <c r="O27" s="272">
        <v>306.08333333333326</v>
      </c>
      <c r="P27" s="272">
        <v>0</v>
      </c>
      <c r="Q27" s="272">
        <v>251.42499999999998</v>
      </c>
      <c r="R27" s="272">
        <v>1.3416666666666668</v>
      </c>
      <c r="U27" s="1">
        <f t="shared" si="49"/>
        <v>2024</v>
      </c>
      <c r="V27" s="272">
        <f t="shared" si="41"/>
        <v>0</v>
      </c>
      <c r="W27" s="272">
        <f t="shared" si="41"/>
        <v>0</v>
      </c>
      <c r="X27" s="272">
        <f t="shared" si="41"/>
        <v>0</v>
      </c>
      <c r="Y27" s="272">
        <f t="shared" si="41"/>
        <v>0</v>
      </c>
      <c r="Z27" s="272">
        <f t="shared" si="41"/>
        <v>2.6999999999999957</v>
      </c>
      <c r="AA27" s="272">
        <f t="shared" si="41"/>
        <v>25.01666666666668</v>
      </c>
      <c r="AB27" s="272">
        <f t="shared" si="41"/>
        <v>60.708333333333343</v>
      </c>
      <c r="AC27" s="272">
        <f t="shared" si="41"/>
        <v>41.841666666666654</v>
      </c>
      <c r="AD27" s="272">
        <f t="shared" si="41"/>
        <v>0.63750000000000284</v>
      </c>
      <c r="AE27" s="272">
        <f t="shared" si="41"/>
        <v>0</v>
      </c>
      <c r="AF27" s="272">
        <f t="shared" si="41"/>
        <v>0</v>
      </c>
      <c r="AG27" s="272">
        <f t="shared" si="41"/>
        <v>0</v>
      </c>
      <c r="AJ27" s="1">
        <f t="shared" si="50"/>
        <v>2024</v>
      </c>
      <c r="AK27" s="272">
        <f t="shared" si="42"/>
        <v>0</v>
      </c>
      <c r="AL27" s="272">
        <f t="shared" si="42"/>
        <v>0</v>
      </c>
      <c r="AM27" s="272">
        <f t="shared" si="42"/>
        <v>0</v>
      </c>
      <c r="AN27" s="272">
        <f t="shared" si="42"/>
        <v>0</v>
      </c>
      <c r="AO27" s="272">
        <f t="shared" si="42"/>
        <v>10.658333333333328</v>
      </c>
      <c r="AP27" s="272">
        <f t="shared" si="42"/>
        <v>55.725000000000009</v>
      </c>
      <c r="AQ27" s="272">
        <f t="shared" si="42"/>
        <v>117.47083333333335</v>
      </c>
      <c r="AR27" s="272">
        <f t="shared" si="42"/>
        <v>85.09999999999998</v>
      </c>
      <c r="AS27" s="272">
        <f t="shared" si="42"/>
        <v>20.666666666666679</v>
      </c>
      <c r="AT27" s="272">
        <f t="shared" si="42"/>
        <v>0</v>
      </c>
      <c r="AU27" s="272">
        <f t="shared" si="42"/>
        <v>0</v>
      </c>
      <c r="AV27" s="272">
        <f t="shared" si="42"/>
        <v>0</v>
      </c>
      <c r="AW27" s="420">
        <f>SUM(AK27:AV27)</f>
        <v>289.62083333333334</v>
      </c>
      <c r="AX27" s="1">
        <f t="shared" si="51"/>
        <v>2024</v>
      </c>
      <c r="AY27" s="272">
        <f t="shared" si="44"/>
        <v>0</v>
      </c>
      <c r="AZ27" s="272">
        <f t="shared" si="44"/>
        <v>0</v>
      </c>
      <c r="BA27" s="272">
        <f t="shared" si="44"/>
        <v>0</v>
      </c>
      <c r="BB27" s="272">
        <f t="shared" si="44"/>
        <v>0</v>
      </c>
      <c r="BC27" s="272">
        <f t="shared" si="44"/>
        <v>27.287500000000005</v>
      </c>
      <c r="BD27" s="272">
        <f t="shared" si="44"/>
        <v>94.466666666666669</v>
      </c>
      <c r="BE27" s="272">
        <f t="shared" si="44"/>
        <v>179.14166666666668</v>
      </c>
      <c r="BF27" s="272">
        <f t="shared" si="44"/>
        <v>140.625</v>
      </c>
      <c r="BG27" s="272">
        <f t="shared" si="44"/>
        <v>62.220833333333331</v>
      </c>
      <c r="BH27" s="272">
        <f t="shared" si="44"/>
        <v>3.0458333333333378</v>
      </c>
      <c r="BI27" s="272">
        <f t="shared" si="44"/>
        <v>1.5041666666666629</v>
      </c>
      <c r="BJ27" s="272">
        <f t="shared" si="44"/>
        <v>0</v>
      </c>
      <c r="BL27" s="1">
        <f t="shared" si="52"/>
        <v>2024</v>
      </c>
      <c r="BM27" s="272">
        <f t="shared" si="45"/>
        <v>0</v>
      </c>
      <c r="BN27" s="272">
        <f t="shared" si="45"/>
        <v>0</v>
      </c>
      <c r="BO27" s="272">
        <f t="shared" si="45"/>
        <v>0</v>
      </c>
      <c r="BP27" s="272">
        <f t="shared" si="45"/>
        <v>0</v>
      </c>
      <c r="BQ27" s="272">
        <f t="shared" si="45"/>
        <v>60.691666666666663</v>
      </c>
      <c r="BR27" s="272">
        <f t="shared" si="45"/>
        <v>146.61250000000007</v>
      </c>
      <c r="BS27" s="272">
        <f t="shared" si="45"/>
        <v>241.14166666666668</v>
      </c>
      <c r="BT27" s="272">
        <f t="shared" si="45"/>
        <v>200.86666666666665</v>
      </c>
      <c r="BU27" s="272">
        <f t="shared" si="45"/>
        <v>113.86250000000001</v>
      </c>
      <c r="BV27" s="272">
        <f t="shared" si="45"/>
        <v>12.120833333333337</v>
      </c>
      <c r="BW27" s="272">
        <f t="shared" si="45"/>
        <v>5.5041666666666629</v>
      </c>
      <c r="BX27" s="272">
        <f t="shared" si="45"/>
        <v>0</v>
      </c>
      <c r="BZ27" s="1">
        <f t="shared" si="53"/>
        <v>2024</v>
      </c>
      <c r="CA27" s="272">
        <f t="shared" si="46"/>
        <v>0</v>
      </c>
      <c r="CB27" s="272">
        <f t="shared" si="46"/>
        <v>0</v>
      </c>
      <c r="CC27" s="272">
        <f t="shared" si="46"/>
        <v>0</v>
      </c>
      <c r="CD27" s="272">
        <f t="shared" si="46"/>
        <v>2.3833333333333346</v>
      </c>
      <c r="CE27" s="272">
        <f t="shared" si="46"/>
        <v>110.05000000000001</v>
      </c>
      <c r="CF27" s="272">
        <f t="shared" si="46"/>
        <v>204.15416666666667</v>
      </c>
      <c r="CG27" s="272">
        <f t="shared" si="46"/>
        <v>303.14166666666665</v>
      </c>
      <c r="CH27" s="272">
        <f t="shared" si="46"/>
        <v>262.86666666666667</v>
      </c>
      <c r="CI27" s="272">
        <f t="shared" si="46"/>
        <v>171.29999999999998</v>
      </c>
      <c r="CJ27" s="272">
        <f t="shared" si="46"/>
        <v>31.104166666666679</v>
      </c>
      <c r="CK27" s="272">
        <f t="shared" si="46"/>
        <v>9.5041666666666629</v>
      </c>
      <c r="CL27" s="272">
        <f t="shared" si="46"/>
        <v>0</v>
      </c>
      <c r="CN27" s="1">
        <f t="shared" si="54"/>
        <v>2024</v>
      </c>
      <c r="CO27" s="272">
        <f t="shared" si="47"/>
        <v>0</v>
      </c>
      <c r="CP27" s="272">
        <f t="shared" si="47"/>
        <v>0</v>
      </c>
      <c r="CQ27" s="272">
        <f t="shared" si="47"/>
        <v>0</v>
      </c>
      <c r="CR27" s="272">
        <f t="shared" si="47"/>
        <v>10.625</v>
      </c>
      <c r="CS27" s="272">
        <f t="shared" si="47"/>
        <v>169.12916666666669</v>
      </c>
      <c r="CT27" s="272">
        <f t="shared" si="47"/>
        <v>264.15416666666664</v>
      </c>
      <c r="CU27" s="272">
        <f t="shared" si="47"/>
        <v>365.14166666666671</v>
      </c>
      <c r="CV27" s="272">
        <f t="shared" si="47"/>
        <v>324.86666666666667</v>
      </c>
      <c r="CW27" s="272">
        <f t="shared" si="47"/>
        <v>231.3</v>
      </c>
      <c r="CX27" s="272">
        <f t="shared" si="47"/>
        <v>60.087500000000006</v>
      </c>
      <c r="CY27" s="272">
        <f t="shared" si="47"/>
        <v>15.029166666666661</v>
      </c>
      <c r="CZ27" s="272">
        <f t="shared" si="47"/>
        <v>0</v>
      </c>
      <c r="DB27" s="1">
        <f t="shared" si="55"/>
        <v>2024</v>
      </c>
      <c r="DC27" s="272">
        <f t="shared" si="48"/>
        <v>0</v>
      </c>
      <c r="DD27" s="272">
        <f t="shared" si="48"/>
        <v>0</v>
      </c>
      <c r="DE27" s="272">
        <f t="shared" si="48"/>
        <v>4.5791666666666657</v>
      </c>
      <c r="DF27" s="272">
        <f t="shared" si="48"/>
        <v>32.795833333333334</v>
      </c>
      <c r="DG27" s="272">
        <f t="shared" si="48"/>
        <v>231.12916666666669</v>
      </c>
      <c r="DH27" s="272">
        <f t="shared" si="48"/>
        <v>324.1541666666667</v>
      </c>
      <c r="DI27" s="272">
        <f t="shared" si="48"/>
        <v>427.14166666666677</v>
      </c>
      <c r="DJ27" s="272">
        <f t="shared" si="48"/>
        <v>386.86666666666656</v>
      </c>
      <c r="DK27" s="272">
        <f t="shared" si="48"/>
        <v>291.30000000000007</v>
      </c>
      <c r="DL27" s="272">
        <f t="shared" si="48"/>
        <v>94.675000000000011</v>
      </c>
      <c r="DM27" s="272">
        <f t="shared" si="48"/>
        <v>27.141666666666666</v>
      </c>
      <c r="DN27" s="272">
        <f t="shared" si="48"/>
        <v>0</v>
      </c>
      <c r="DP27" s="18">
        <f>'Monthly Data'!F27</f>
        <v>42786099.90316622</v>
      </c>
      <c r="DQ27" s="18">
        <f>'Monthly Data'!J27</f>
        <v>11059039.500129096</v>
      </c>
      <c r="DR27" s="18">
        <f>'Monthly Data'!N27</f>
        <v>28838170.041093104</v>
      </c>
      <c r="DS27" s="4">
        <f>'Monthly Data'!S27</f>
        <v>7030359.4291701298</v>
      </c>
      <c r="DT27" s="4">
        <f>'Monthly Data'!V27</f>
        <v>2672619.768727066</v>
      </c>
      <c r="DU27" s="18">
        <f t="shared" si="7"/>
        <v>42823543.047567382</v>
      </c>
      <c r="DV27" s="18">
        <f t="shared" si="8"/>
        <v>11296498.126900662</v>
      </c>
      <c r="DW27" s="18">
        <f t="shared" si="9"/>
        <v>28958779.819421403</v>
      </c>
      <c r="DX27" s="18">
        <f t="shared" si="10"/>
        <v>6851815.2985650729</v>
      </c>
      <c r="DY27" s="18">
        <f t="shared" si="11"/>
        <v>3173585.1004401371</v>
      </c>
      <c r="EK27" s="1" t="s">
        <v>162</v>
      </c>
      <c r="ER27" s="24">
        <f>'Monthly Data'!F27/'Monthly Data'!G27/'Monthly Data'!CD27</f>
        <v>29.214702161201618</v>
      </c>
      <c r="ES27" s="268">
        <f>'Monthly Data'!J27/'Monthly Data'!K27/'Monthly Data'!CD27</f>
        <v>95.310254930787167</v>
      </c>
      <c r="ET27" s="24">
        <f>'Monthly Data'!N27/'Monthly Data'!P27/'Monthly Data'!CD27</f>
        <v>1969.2823027241943</v>
      </c>
      <c r="EU27" s="24">
        <f>'Monthly Data'!Q27/'Monthly Data'!U27/'Monthly Data'!CD27</f>
        <v>18404.084562755936</v>
      </c>
      <c r="EV27" s="24">
        <f>'Monthly Data'!V27/'Monthly Data'!Z27/'Monthly Data'!CD27</f>
        <v>95450.706025966647</v>
      </c>
      <c r="EW27" s="24"/>
      <c r="FG27" s="24"/>
    </row>
    <row r="28" spans="1:163" x14ac:dyDescent="0.25">
      <c r="A28" s="3">
        <v>42795</v>
      </c>
      <c r="B28" s="1">
        <v>2017</v>
      </c>
      <c r="C28" s="1">
        <v>3</v>
      </c>
      <c r="D28" s="272">
        <v>-1.3444892473118288</v>
      </c>
      <c r="E28" s="272">
        <v>661.67916666666667</v>
      </c>
      <c r="F28" s="272">
        <v>0</v>
      </c>
      <c r="G28" s="272">
        <v>599.67916666666667</v>
      </c>
      <c r="H28" s="272">
        <v>0</v>
      </c>
      <c r="I28" s="272">
        <v>537.67916666666656</v>
      </c>
      <c r="J28" s="272">
        <v>0</v>
      </c>
      <c r="K28" s="272">
        <v>475.67916666666662</v>
      </c>
      <c r="L28" s="272">
        <v>0</v>
      </c>
      <c r="M28" s="272">
        <v>413.67916666666662</v>
      </c>
      <c r="N28" s="272">
        <v>0</v>
      </c>
      <c r="O28" s="272">
        <v>351.67916666666656</v>
      </c>
      <c r="P28" s="272">
        <v>0</v>
      </c>
      <c r="Q28" s="272">
        <v>290.67916666666662</v>
      </c>
      <c r="R28" s="272">
        <v>0.99999999999999645</v>
      </c>
      <c r="U28" s="253">
        <f t="shared" si="49"/>
        <v>2025</v>
      </c>
      <c r="V28" s="421">
        <f>AVERAGE(V18:V27)</f>
        <v>0</v>
      </c>
      <c r="W28" s="421">
        <f>AVERAGE(W18:W27)</f>
        <v>0</v>
      </c>
      <c r="X28" s="421">
        <f>AVERAGE(X18:X27)</f>
        <v>0</v>
      </c>
      <c r="Y28" s="421">
        <f t="shared" ref="Y28:AG28" si="56">AVERAGE(Y18:Y27)</f>
        <v>0</v>
      </c>
      <c r="Z28" s="421">
        <f t="shared" si="56"/>
        <v>4.8953571428571401</v>
      </c>
      <c r="AA28" s="421">
        <f t="shared" si="56"/>
        <v>20.517524703557307</v>
      </c>
      <c r="AB28" s="421">
        <f t="shared" si="56"/>
        <v>60.196441734276391</v>
      </c>
      <c r="AC28" s="421">
        <f t="shared" si="56"/>
        <v>46.16051548089591</v>
      </c>
      <c r="AD28" s="421">
        <f t="shared" si="56"/>
        <v>12.738333333333333</v>
      </c>
      <c r="AE28" s="421">
        <f t="shared" si="56"/>
        <v>1.666666666666572E-3</v>
      </c>
      <c r="AF28" s="421">
        <f t="shared" si="56"/>
        <v>0</v>
      </c>
      <c r="AG28" s="421">
        <f t="shared" si="56"/>
        <v>0</v>
      </c>
      <c r="AJ28" s="253">
        <f t="shared" si="50"/>
        <v>2025</v>
      </c>
      <c r="AK28" s="421">
        <f>AVERAGE(AK18:AK27)</f>
        <v>0</v>
      </c>
      <c r="AL28" s="421">
        <f>AVERAGE(AL18:AL27)</f>
        <v>0</v>
      </c>
      <c r="AM28" s="421">
        <f>AVERAGE(AM18:AM27)</f>
        <v>0</v>
      </c>
      <c r="AN28" s="421">
        <f t="shared" ref="AN28:AV28" si="57">AVERAGE(AN18:AN27)</f>
        <v>3.4583333333333854E-2</v>
      </c>
      <c r="AO28" s="421">
        <f t="shared" si="57"/>
        <v>14.32952380952381</v>
      </c>
      <c r="AP28" s="421">
        <f t="shared" si="57"/>
        <v>46.941274703557312</v>
      </c>
      <c r="AQ28" s="421">
        <f t="shared" si="57"/>
        <v>113.56529525394512</v>
      </c>
      <c r="AR28" s="421">
        <f t="shared" si="57"/>
        <v>92.615587944664043</v>
      </c>
      <c r="AS28" s="421">
        <f t="shared" si="57"/>
        <v>30.962083333333332</v>
      </c>
      <c r="AT28" s="421">
        <f t="shared" si="57"/>
        <v>1.6875000000000011</v>
      </c>
      <c r="AU28" s="421">
        <f t="shared" si="57"/>
        <v>0</v>
      </c>
      <c r="AV28" s="421">
        <f t="shared" si="57"/>
        <v>0</v>
      </c>
      <c r="AW28" s="420">
        <f>SUM(AK28:AV28)</f>
        <v>300.13584837835697</v>
      </c>
      <c r="AX28" s="253">
        <f t="shared" si="51"/>
        <v>2025</v>
      </c>
      <c r="AY28" s="421">
        <f>AVERAGE(AY18:AY27)</f>
        <v>0</v>
      </c>
      <c r="AZ28" s="421">
        <f>AVERAGE(AZ18:AZ27)</f>
        <v>0</v>
      </c>
      <c r="BA28" s="421">
        <f>AVERAGE(BA18:BA27)</f>
        <v>0</v>
      </c>
      <c r="BB28" s="421">
        <f t="shared" ref="BB28:BJ28" si="58">AVERAGE(BB18:BB27)</f>
        <v>0.4316666666666677</v>
      </c>
      <c r="BC28" s="421">
        <f t="shared" si="58"/>
        <v>29.4520183982684</v>
      </c>
      <c r="BD28" s="421">
        <f t="shared" si="58"/>
        <v>86.311049595332207</v>
      </c>
      <c r="BE28" s="421">
        <f t="shared" si="58"/>
        <v>174.0219619206118</v>
      </c>
      <c r="BF28" s="421">
        <f t="shared" si="58"/>
        <v>149.7160046113307</v>
      </c>
      <c r="BG28" s="421">
        <f t="shared" si="58"/>
        <v>62.345178571428576</v>
      </c>
      <c r="BH28" s="421">
        <f t="shared" si="58"/>
        <v>7.1541666666666703</v>
      </c>
      <c r="BI28" s="421">
        <f t="shared" si="58"/>
        <v>0.15041666666666628</v>
      </c>
      <c r="BJ28" s="421">
        <f t="shared" si="58"/>
        <v>0</v>
      </c>
      <c r="BL28" s="253">
        <f t="shared" si="52"/>
        <v>2025</v>
      </c>
      <c r="BM28" s="421">
        <f>AVERAGE(BM18:BM27)</f>
        <v>0</v>
      </c>
      <c r="BN28" s="421">
        <f>AVERAGE(BN18:BN27)</f>
        <v>0</v>
      </c>
      <c r="BO28" s="421">
        <f>AVERAGE(BO18:BO27)</f>
        <v>0</v>
      </c>
      <c r="BP28" s="421">
        <f t="shared" ref="BP28:BX28" si="59">AVERAGE(BP18:BP27)</f>
        <v>2.1908333333333347</v>
      </c>
      <c r="BQ28" s="421">
        <f t="shared" si="59"/>
        <v>52.487435064935063</v>
      </c>
      <c r="BR28" s="421">
        <f t="shared" si="59"/>
        <v>137.65451754405018</v>
      </c>
      <c r="BS28" s="421">
        <f t="shared" si="59"/>
        <v>235.94737858727848</v>
      </c>
      <c r="BT28" s="421">
        <f t="shared" si="59"/>
        <v>210.96558794466404</v>
      </c>
      <c r="BU28" s="421">
        <f t="shared" si="59"/>
        <v>106.4160119047619</v>
      </c>
      <c r="BV28" s="421">
        <f t="shared" si="59"/>
        <v>17.987083333333334</v>
      </c>
      <c r="BW28" s="421">
        <f t="shared" si="59"/>
        <v>0.8083333333333329</v>
      </c>
      <c r="BX28" s="421">
        <f t="shared" si="59"/>
        <v>0</v>
      </c>
      <c r="BZ28" s="253">
        <f t="shared" si="53"/>
        <v>2025</v>
      </c>
      <c r="CA28" s="421">
        <f>AVERAGE(CA18:CA27)</f>
        <v>0</v>
      </c>
      <c r="CB28" s="421">
        <f>AVERAGE(CB18:CB27)</f>
        <v>0</v>
      </c>
      <c r="CC28" s="421">
        <f>AVERAGE(CC18:CC27)</f>
        <v>2.9583333333332896E-2</v>
      </c>
      <c r="CD28" s="421">
        <f t="shared" ref="CD28:CL28" si="60">AVERAGE(CD18:CD27)</f>
        <v>5.6420833333333338</v>
      </c>
      <c r="CE28" s="421">
        <f t="shared" si="60"/>
        <v>86.191046176046171</v>
      </c>
      <c r="CF28" s="421">
        <f t="shared" si="60"/>
        <v>194.94285087738348</v>
      </c>
      <c r="CG28" s="421">
        <f t="shared" si="60"/>
        <v>297.94737858727848</v>
      </c>
      <c r="CH28" s="421">
        <f t="shared" si="60"/>
        <v>272.96558794466404</v>
      </c>
      <c r="CI28" s="421">
        <f t="shared" si="60"/>
        <v>158.67014233954447</v>
      </c>
      <c r="CJ28" s="421">
        <f t="shared" si="60"/>
        <v>35.32833333333334</v>
      </c>
      <c r="CK28" s="421">
        <f t="shared" si="60"/>
        <v>2.2779166666666657</v>
      </c>
      <c r="CL28" s="421">
        <f t="shared" si="60"/>
        <v>0</v>
      </c>
      <c r="CN28" s="253">
        <f t="shared" si="54"/>
        <v>2025</v>
      </c>
      <c r="CO28" s="421">
        <f>AVERAGE(CO18:CO27)</f>
        <v>0</v>
      </c>
      <c r="CP28" s="421">
        <f>AVERAGE(CP18:CP27)</f>
        <v>0</v>
      </c>
      <c r="CQ28" s="421">
        <f>AVERAGE(CQ18:CQ27)</f>
        <v>0.51874999999999927</v>
      </c>
      <c r="CR28" s="421">
        <f t="shared" ref="CR28:CZ28" si="61">AVERAGE(CR18:CR27)</f>
        <v>12.79125</v>
      </c>
      <c r="CS28" s="421">
        <f t="shared" si="61"/>
        <v>130.22445928308915</v>
      </c>
      <c r="CT28" s="421">
        <f t="shared" si="61"/>
        <v>254.51826754405016</v>
      </c>
      <c r="CU28" s="421">
        <f t="shared" si="61"/>
        <v>359.94737858727854</v>
      </c>
      <c r="CV28" s="421">
        <f t="shared" si="61"/>
        <v>334.96558794466404</v>
      </c>
      <c r="CW28" s="421">
        <f t="shared" si="61"/>
        <v>216.57430900621117</v>
      </c>
      <c r="CX28" s="421">
        <f t="shared" si="61"/>
        <v>62.266666666666673</v>
      </c>
      <c r="CY28" s="421">
        <f t="shared" si="61"/>
        <v>5.6391666666666662</v>
      </c>
      <c r="CZ28" s="421">
        <f t="shared" si="61"/>
        <v>0.12791666666666668</v>
      </c>
      <c r="DB28" s="253">
        <f t="shared" si="55"/>
        <v>2025</v>
      </c>
      <c r="DC28" s="421">
        <f>AVERAGE(DC18:DC27)</f>
        <v>0</v>
      </c>
      <c r="DD28" s="421">
        <f>AVERAGE(DD18:DD27)</f>
        <v>0.1424999999999999</v>
      </c>
      <c r="DE28" s="421">
        <f>AVERAGE(DE18:DE27)</f>
        <v>2.4454166666666657</v>
      </c>
      <c r="DF28" s="421">
        <f t="shared" ref="DF28:DN28" si="62">AVERAGE(DF18:DF27)</f>
        <v>27.605</v>
      </c>
      <c r="DG28" s="421">
        <f t="shared" si="62"/>
        <v>181.39445928308913</v>
      </c>
      <c r="DH28" s="421">
        <f t="shared" si="62"/>
        <v>314.42035087738344</v>
      </c>
      <c r="DI28" s="421">
        <f t="shared" si="62"/>
        <v>421.94737858727848</v>
      </c>
      <c r="DJ28" s="421">
        <f t="shared" si="62"/>
        <v>396.96558794466398</v>
      </c>
      <c r="DK28" s="421">
        <f t="shared" si="62"/>
        <v>276.00264233954448</v>
      </c>
      <c r="DL28" s="421">
        <f t="shared" si="62"/>
        <v>98.552083333333343</v>
      </c>
      <c r="DM28" s="421">
        <f t="shared" si="62"/>
        <v>13.393750000000001</v>
      </c>
      <c r="DN28" s="421">
        <f t="shared" si="62"/>
        <v>0.99248188405797111</v>
      </c>
      <c r="DP28" s="18">
        <f>'Monthly Data'!F28</f>
        <v>40837973.445211791</v>
      </c>
      <c r="DQ28" s="18">
        <f>'Monthly Data'!J28</f>
        <v>12183406.064573791</v>
      </c>
      <c r="DR28" s="18">
        <f>'Monthly Data'!N28</f>
        <v>30947017.582069278</v>
      </c>
      <c r="DS28" s="4">
        <f>'Monthly Data'!S28</f>
        <v>7867386.6453418816</v>
      </c>
      <c r="DT28" s="4">
        <f>'Monthly Data'!V28</f>
        <v>3167625.9681110834</v>
      </c>
      <c r="DU28" s="18">
        <f t="shared" si="7"/>
        <v>44602249.377563924</v>
      </c>
      <c r="DV28" s="18">
        <f t="shared" si="8"/>
        <v>11652179.756158631</v>
      </c>
      <c r="DW28" s="18">
        <f t="shared" si="9"/>
        <v>29872496.787398372</v>
      </c>
      <c r="DX28" s="18">
        <f t="shared" si="10"/>
        <v>6860726.0236988235</v>
      </c>
      <c r="DY28" s="18">
        <f t="shared" si="11"/>
        <v>3184622.9076215406</v>
      </c>
      <c r="EK28" s="1" t="s">
        <v>163</v>
      </c>
      <c r="EL28" s="1">
        <v>43049491.419230103</v>
      </c>
      <c r="EM28" s="1" t="s">
        <v>164</v>
      </c>
      <c r="EN28" s="1">
        <v>6524852.2854974298</v>
      </c>
      <c r="ER28" s="24">
        <f>'Monthly Data'!F28/'Monthly Data'!G28/'Monthly Data'!CD28</f>
        <v>25.083379007665915</v>
      </c>
      <c r="ES28" s="268">
        <f>'Monthly Data'!J28/'Monthly Data'!K28/'Monthly Data'!CD28</f>
        <v>94.701951531860018</v>
      </c>
      <c r="ET28" s="24">
        <f>'Monthly Data'!N28/'Monthly Data'!P28/'Monthly Data'!CD28</f>
        <v>1905.1352857713171</v>
      </c>
      <c r="EU28" s="24">
        <f>'Monthly Data'!Q28/'Monthly Data'!U28/'Monthly Data'!CD28</f>
        <v>18867.822290646229</v>
      </c>
      <c r="EV28" s="24">
        <f>'Monthly Data'!V28/'Monthly Data'!Z28/'Monthly Data'!CD28</f>
        <v>102181.48284229301</v>
      </c>
      <c r="EW28" s="24"/>
      <c r="FG28" s="24"/>
    </row>
    <row r="29" spans="1:163" x14ac:dyDescent="0.25">
      <c r="A29" s="3">
        <v>42826</v>
      </c>
      <c r="B29" s="1">
        <v>2017</v>
      </c>
      <c r="C29" s="1">
        <v>4</v>
      </c>
      <c r="D29" s="272">
        <v>8.3870833333333312</v>
      </c>
      <c r="E29" s="272">
        <v>348.38749999999999</v>
      </c>
      <c r="F29" s="272">
        <v>0</v>
      </c>
      <c r="G29" s="272">
        <v>288.73333333333335</v>
      </c>
      <c r="H29" s="272">
        <v>0.34583333333333854</v>
      </c>
      <c r="I29" s="272">
        <v>230.73333333333338</v>
      </c>
      <c r="J29" s="272">
        <v>2.3458333333333385</v>
      </c>
      <c r="K29" s="272">
        <v>174.03750000000005</v>
      </c>
      <c r="L29" s="272">
        <v>5.6500000000000057</v>
      </c>
      <c r="M29" s="272">
        <v>120.79999999999997</v>
      </c>
      <c r="N29" s="272">
        <v>12.412500000000001</v>
      </c>
      <c r="O29" s="272">
        <v>73.1458333333333</v>
      </c>
      <c r="P29" s="272">
        <v>24.758333333333333</v>
      </c>
      <c r="Q29" s="272">
        <v>34.695833333333326</v>
      </c>
      <c r="R29" s="272">
        <v>46.308333333333337</v>
      </c>
      <c r="U29" s="253">
        <f t="shared" si="49"/>
        <v>2026</v>
      </c>
      <c r="V29" s="421">
        <f>V28</f>
        <v>0</v>
      </c>
      <c r="W29" s="421">
        <f t="shared" ref="W29:AG29" si="63">W28</f>
        <v>0</v>
      </c>
      <c r="X29" s="421">
        <f t="shared" si="63"/>
        <v>0</v>
      </c>
      <c r="Y29" s="421">
        <f t="shared" si="63"/>
        <v>0</v>
      </c>
      <c r="Z29" s="421">
        <f t="shared" si="63"/>
        <v>4.8953571428571401</v>
      </c>
      <c r="AA29" s="421">
        <f t="shared" si="63"/>
        <v>20.517524703557307</v>
      </c>
      <c r="AB29" s="421">
        <f t="shared" si="63"/>
        <v>60.196441734276391</v>
      </c>
      <c r="AC29" s="421">
        <f t="shared" si="63"/>
        <v>46.16051548089591</v>
      </c>
      <c r="AD29" s="421">
        <f t="shared" si="63"/>
        <v>12.738333333333333</v>
      </c>
      <c r="AE29" s="421">
        <f t="shared" si="63"/>
        <v>1.666666666666572E-3</v>
      </c>
      <c r="AF29" s="421">
        <f t="shared" si="63"/>
        <v>0</v>
      </c>
      <c r="AG29" s="421">
        <f t="shared" si="63"/>
        <v>0</v>
      </c>
      <c r="AJ29" s="253">
        <f t="shared" si="50"/>
        <v>2026</v>
      </c>
      <c r="AK29" s="421">
        <f>AK28</f>
        <v>0</v>
      </c>
      <c r="AL29" s="421">
        <f t="shared" ref="AL29:AV29" si="64">AL28</f>
        <v>0</v>
      </c>
      <c r="AM29" s="421">
        <f t="shared" si="64"/>
        <v>0</v>
      </c>
      <c r="AN29" s="421">
        <f t="shared" si="64"/>
        <v>3.4583333333333854E-2</v>
      </c>
      <c r="AO29" s="421">
        <f t="shared" si="64"/>
        <v>14.32952380952381</v>
      </c>
      <c r="AP29" s="421">
        <f t="shared" si="64"/>
        <v>46.941274703557312</v>
      </c>
      <c r="AQ29" s="421">
        <f t="shared" si="64"/>
        <v>113.56529525394512</v>
      </c>
      <c r="AR29" s="421">
        <f t="shared" si="64"/>
        <v>92.615587944664043</v>
      </c>
      <c r="AS29" s="421">
        <f t="shared" si="64"/>
        <v>30.962083333333332</v>
      </c>
      <c r="AT29" s="421">
        <f t="shared" si="64"/>
        <v>1.6875000000000011</v>
      </c>
      <c r="AU29" s="421">
        <f t="shared" si="64"/>
        <v>0</v>
      </c>
      <c r="AV29" s="421">
        <f t="shared" si="64"/>
        <v>0</v>
      </c>
      <c r="AW29" s="420">
        <f>SUM(AK29:AV29)</f>
        <v>300.13584837835697</v>
      </c>
      <c r="AX29" s="253">
        <f t="shared" si="51"/>
        <v>2026</v>
      </c>
      <c r="AY29" s="421">
        <f>AY28</f>
        <v>0</v>
      </c>
      <c r="AZ29" s="421">
        <f t="shared" ref="AZ29:BJ29" si="65">AZ28</f>
        <v>0</v>
      </c>
      <c r="BA29" s="421">
        <f t="shared" si="65"/>
        <v>0</v>
      </c>
      <c r="BB29" s="421">
        <f t="shared" si="65"/>
        <v>0.4316666666666677</v>
      </c>
      <c r="BC29" s="421">
        <f t="shared" si="65"/>
        <v>29.4520183982684</v>
      </c>
      <c r="BD29" s="421">
        <f t="shared" si="65"/>
        <v>86.311049595332207</v>
      </c>
      <c r="BE29" s="421">
        <f t="shared" si="65"/>
        <v>174.0219619206118</v>
      </c>
      <c r="BF29" s="421">
        <f t="shared" si="65"/>
        <v>149.7160046113307</v>
      </c>
      <c r="BG29" s="421">
        <f t="shared" si="65"/>
        <v>62.345178571428576</v>
      </c>
      <c r="BH29" s="421">
        <f t="shared" si="65"/>
        <v>7.1541666666666703</v>
      </c>
      <c r="BI29" s="421">
        <f t="shared" si="65"/>
        <v>0.15041666666666628</v>
      </c>
      <c r="BJ29" s="421">
        <f t="shared" si="65"/>
        <v>0</v>
      </c>
      <c r="BL29" s="253">
        <f t="shared" si="52"/>
        <v>2026</v>
      </c>
      <c r="BM29" s="421">
        <f>BM28</f>
        <v>0</v>
      </c>
      <c r="BN29" s="421">
        <f t="shared" ref="BN29:BX29" si="66">BN28</f>
        <v>0</v>
      </c>
      <c r="BO29" s="421">
        <f t="shared" si="66"/>
        <v>0</v>
      </c>
      <c r="BP29" s="421">
        <f t="shared" si="66"/>
        <v>2.1908333333333347</v>
      </c>
      <c r="BQ29" s="421">
        <f t="shared" si="66"/>
        <v>52.487435064935063</v>
      </c>
      <c r="BR29" s="421">
        <f t="shared" si="66"/>
        <v>137.65451754405018</v>
      </c>
      <c r="BS29" s="421">
        <f t="shared" si="66"/>
        <v>235.94737858727848</v>
      </c>
      <c r="BT29" s="421">
        <f t="shared" si="66"/>
        <v>210.96558794466404</v>
      </c>
      <c r="BU29" s="421">
        <f t="shared" si="66"/>
        <v>106.4160119047619</v>
      </c>
      <c r="BV29" s="421">
        <f t="shared" si="66"/>
        <v>17.987083333333334</v>
      </c>
      <c r="BW29" s="421">
        <f t="shared" si="66"/>
        <v>0.8083333333333329</v>
      </c>
      <c r="BX29" s="421">
        <f t="shared" si="66"/>
        <v>0</v>
      </c>
      <c r="BZ29" s="253">
        <f t="shared" si="53"/>
        <v>2026</v>
      </c>
      <c r="CA29" s="421">
        <f>CA28</f>
        <v>0</v>
      </c>
      <c r="CB29" s="421">
        <f t="shared" ref="CB29:CL29" si="67">CB28</f>
        <v>0</v>
      </c>
      <c r="CC29" s="421">
        <f t="shared" si="67"/>
        <v>2.9583333333332896E-2</v>
      </c>
      <c r="CD29" s="421">
        <f t="shared" si="67"/>
        <v>5.6420833333333338</v>
      </c>
      <c r="CE29" s="421">
        <f t="shared" si="67"/>
        <v>86.191046176046171</v>
      </c>
      <c r="CF29" s="421">
        <f t="shared" si="67"/>
        <v>194.94285087738348</v>
      </c>
      <c r="CG29" s="421">
        <f t="shared" si="67"/>
        <v>297.94737858727848</v>
      </c>
      <c r="CH29" s="421">
        <f t="shared" si="67"/>
        <v>272.96558794466404</v>
      </c>
      <c r="CI29" s="421">
        <f t="shared" si="67"/>
        <v>158.67014233954447</v>
      </c>
      <c r="CJ29" s="421">
        <f t="shared" si="67"/>
        <v>35.32833333333334</v>
      </c>
      <c r="CK29" s="421">
        <f t="shared" si="67"/>
        <v>2.2779166666666657</v>
      </c>
      <c r="CL29" s="421">
        <f t="shared" si="67"/>
        <v>0</v>
      </c>
      <c r="CN29" s="253">
        <f t="shared" si="54"/>
        <v>2026</v>
      </c>
      <c r="CO29" s="421">
        <f>CO28</f>
        <v>0</v>
      </c>
      <c r="CP29" s="421">
        <f t="shared" ref="CP29:CZ29" si="68">CP28</f>
        <v>0</v>
      </c>
      <c r="CQ29" s="421">
        <f t="shared" si="68"/>
        <v>0.51874999999999927</v>
      </c>
      <c r="CR29" s="421">
        <f t="shared" si="68"/>
        <v>12.79125</v>
      </c>
      <c r="CS29" s="421">
        <f t="shared" si="68"/>
        <v>130.22445928308915</v>
      </c>
      <c r="CT29" s="421">
        <f t="shared" si="68"/>
        <v>254.51826754405016</v>
      </c>
      <c r="CU29" s="421">
        <f t="shared" si="68"/>
        <v>359.94737858727854</v>
      </c>
      <c r="CV29" s="421">
        <f t="shared" si="68"/>
        <v>334.96558794466404</v>
      </c>
      <c r="CW29" s="421">
        <f t="shared" si="68"/>
        <v>216.57430900621117</v>
      </c>
      <c r="CX29" s="421">
        <f t="shared" si="68"/>
        <v>62.266666666666673</v>
      </c>
      <c r="CY29" s="421">
        <f t="shared" si="68"/>
        <v>5.6391666666666662</v>
      </c>
      <c r="CZ29" s="421">
        <f t="shared" si="68"/>
        <v>0.12791666666666668</v>
      </c>
      <c r="DB29" s="253">
        <f t="shared" si="55"/>
        <v>2026</v>
      </c>
      <c r="DC29" s="421">
        <f>DC28</f>
        <v>0</v>
      </c>
      <c r="DD29" s="421">
        <f t="shared" ref="DD29:DN29" si="69">DD28</f>
        <v>0.1424999999999999</v>
      </c>
      <c r="DE29" s="421">
        <f t="shared" si="69"/>
        <v>2.4454166666666657</v>
      </c>
      <c r="DF29" s="421">
        <f t="shared" si="69"/>
        <v>27.605</v>
      </c>
      <c r="DG29" s="421">
        <f t="shared" si="69"/>
        <v>181.39445928308913</v>
      </c>
      <c r="DH29" s="421">
        <f t="shared" si="69"/>
        <v>314.42035087738344</v>
      </c>
      <c r="DI29" s="421">
        <f t="shared" si="69"/>
        <v>421.94737858727848</v>
      </c>
      <c r="DJ29" s="421">
        <f t="shared" si="69"/>
        <v>396.96558794466398</v>
      </c>
      <c r="DK29" s="421">
        <f t="shared" si="69"/>
        <v>276.00264233954448</v>
      </c>
      <c r="DL29" s="421">
        <f t="shared" si="69"/>
        <v>98.552083333333343</v>
      </c>
      <c r="DM29" s="421">
        <f t="shared" si="69"/>
        <v>13.393750000000001</v>
      </c>
      <c r="DN29" s="421">
        <f t="shared" si="69"/>
        <v>0.99248188405797111</v>
      </c>
      <c r="DP29" s="18">
        <f>'Monthly Data'!F29</f>
        <v>36940740.360373333</v>
      </c>
      <c r="DQ29" s="18">
        <f>'Monthly Data'!J29</f>
        <v>10307837.783077231</v>
      </c>
      <c r="DR29" s="18">
        <f>'Monthly Data'!N29</f>
        <v>25802014.556424748</v>
      </c>
      <c r="DS29" s="4">
        <f>'Monthly Data'!S29</f>
        <v>7658302.3379697306</v>
      </c>
      <c r="DT29" s="4">
        <f>'Monthly Data'!V29</f>
        <v>2851633.5451566167</v>
      </c>
      <c r="DU29" s="18">
        <f t="shared" si="7"/>
        <v>36159693.032891601</v>
      </c>
      <c r="DV29" s="18">
        <f t="shared" si="8"/>
        <v>10011404.545390276</v>
      </c>
      <c r="DW29" s="18">
        <f t="shared" si="9"/>
        <v>24484720.862279017</v>
      </c>
      <c r="DX29" s="18">
        <f t="shared" si="10"/>
        <v>6850529.6144307256</v>
      </c>
      <c r="DY29" s="18">
        <f t="shared" si="11"/>
        <v>3129810.7411797089</v>
      </c>
      <c r="ER29" s="24">
        <f>'Monthly Data'!F29/'Monthly Data'!G29/'Monthly Data'!CD29</f>
        <v>23.512660149177858</v>
      </c>
      <c r="ES29" s="268">
        <f>'Monthly Data'!J29/'Monthly Data'!K29/'Monthly Data'!CD29</f>
        <v>82.773932249877376</v>
      </c>
      <c r="ET29" s="24">
        <f>'Monthly Data'!N29/'Monthly Data'!P29/'Monthly Data'!CD29</f>
        <v>1647.6382219939176</v>
      </c>
      <c r="EU29" s="24">
        <f>'Monthly Data'!Q29/'Monthly Data'!U29/'Monthly Data'!CD29</f>
        <v>18910.488465585822</v>
      </c>
      <c r="EV29" s="24">
        <f>'Monthly Data'!V29/'Monthly Data'!Z29/'Monthly Data'!CD29</f>
        <v>95054.451505220553</v>
      </c>
      <c r="EW29" s="24"/>
      <c r="FG29" s="24"/>
    </row>
    <row r="30" spans="1:163" x14ac:dyDescent="0.25">
      <c r="A30" s="3">
        <v>42856</v>
      </c>
      <c r="B30" s="1">
        <v>2017</v>
      </c>
      <c r="C30" s="1">
        <v>5</v>
      </c>
      <c r="D30" s="272">
        <v>12.072311827956989</v>
      </c>
      <c r="E30" s="272">
        <v>247.16666666666663</v>
      </c>
      <c r="F30" s="272">
        <v>1.4083333333333314</v>
      </c>
      <c r="G30" s="272">
        <v>188.63749999999999</v>
      </c>
      <c r="H30" s="272">
        <v>4.8791666666666664</v>
      </c>
      <c r="I30" s="272">
        <v>134.83333333333331</v>
      </c>
      <c r="J30" s="272">
        <v>13.075000000000003</v>
      </c>
      <c r="K30" s="272">
        <v>88.129166666666677</v>
      </c>
      <c r="L30" s="272">
        <v>28.370833333333344</v>
      </c>
      <c r="M30" s="272">
        <v>52.287499999999987</v>
      </c>
      <c r="N30" s="272">
        <v>54.529166666666683</v>
      </c>
      <c r="O30" s="272">
        <v>26.741666666666656</v>
      </c>
      <c r="P30" s="272">
        <v>90.983333333333348</v>
      </c>
      <c r="Q30" s="272">
        <v>10.045833333333327</v>
      </c>
      <c r="R30" s="272">
        <v>136.28750000000002</v>
      </c>
      <c r="DP30" s="18">
        <f>'Monthly Data'!F30</f>
        <v>33272849.356663078</v>
      </c>
      <c r="DQ30" s="18">
        <f>'Monthly Data'!J30</f>
        <v>10255191.139574682</v>
      </c>
      <c r="DR30" s="18">
        <f>'Monthly Data'!N30</f>
        <v>27647143.955622979</v>
      </c>
      <c r="DS30" s="4">
        <f>'Monthly Data'!S30</f>
        <v>7506438.3334006667</v>
      </c>
      <c r="DT30" s="4">
        <f>'Monthly Data'!V30</f>
        <v>3104012.6835156321</v>
      </c>
      <c r="DU30" s="18">
        <f t="shared" si="7"/>
        <v>36468476.015011474</v>
      </c>
      <c r="DV30" s="18">
        <f t="shared" si="8"/>
        <v>9780375.3489389475</v>
      </c>
      <c r="DW30" s="18">
        <f t="shared" si="9"/>
        <v>24212684.860464726</v>
      </c>
      <c r="DX30" s="18">
        <f t="shared" si="10"/>
        <v>7001099.144083146</v>
      </c>
      <c r="DY30" s="18">
        <f t="shared" si="11"/>
        <v>3146693.5777301281</v>
      </c>
      <c r="ER30" s="24">
        <f>'Monthly Data'!F30/'Monthly Data'!G30/'Monthly Data'!CD30</f>
        <v>20.349955845945054</v>
      </c>
      <c r="ES30" s="268">
        <f>'Monthly Data'!J30/'Monthly Data'!K30/'Monthly Data'!CD30</f>
        <v>79.522263799431471</v>
      </c>
      <c r="ET30" s="24">
        <f>'Monthly Data'!N30/'Monthly Data'!P30/'Monthly Data'!CD30</f>
        <v>1705.2454176045751</v>
      </c>
      <c r="EU30" s="24">
        <f>'Monthly Data'!Q30/'Monthly Data'!U30/'Monthly Data'!CD30</f>
        <v>17886.941144904522</v>
      </c>
      <c r="EV30" s="24">
        <f>'Monthly Data'!V30/'Monthly Data'!Z30/'Monthly Data'!CD30</f>
        <v>100129.44140373006</v>
      </c>
      <c r="EW30" s="24"/>
      <c r="FG30" s="24"/>
    </row>
    <row r="31" spans="1:163" x14ac:dyDescent="0.25">
      <c r="A31" s="3">
        <v>42887</v>
      </c>
      <c r="B31" s="1">
        <v>2017</v>
      </c>
      <c r="C31" s="1">
        <v>6</v>
      </c>
      <c r="D31" s="272">
        <v>17.620722222222227</v>
      </c>
      <c r="E31" s="272">
        <v>85.453333333333319</v>
      </c>
      <c r="F31" s="272">
        <v>14.074999999999999</v>
      </c>
      <c r="G31" s="272">
        <v>47.73249999999998</v>
      </c>
      <c r="H31" s="272">
        <v>36.354166666666671</v>
      </c>
      <c r="I31" s="272">
        <v>20.287499999999987</v>
      </c>
      <c r="J31" s="272">
        <v>68.909166666666678</v>
      </c>
      <c r="K31" s="272">
        <v>4.091666666666665</v>
      </c>
      <c r="L31" s="272">
        <v>112.71333333333334</v>
      </c>
      <c r="M31" s="272">
        <v>0</v>
      </c>
      <c r="N31" s="272">
        <v>168.62166666666667</v>
      </c>
      <c r="O31" s="272">
        <v>0</v>
      </c>
      <c r="P31" s="272">
        <v>228.62166666666667</v>
      </c>
      <c r="Q31" s="272">
        <v>0</v>
      </c>
      <c r="R31" s="272">
        <v>288.62166666666667</v>
      </c>
      <c r="AW31" s="420"/>
      <c r="DP31" s="18">
        <f>'Monthly Data'!F31</f>
        <v>37271121.64391619</v>
      </c>
      <c r="DQ31" s="18">
        <f>'Monthly Data'!J31</f>
        <v>10271714.846599523</v>
      </c>
      <c r="DR31" s="18">
        <f>'Monthly Data'!N31</f>
        <v>24510322.97232236</v>
      </c>
      <c r="DS31" s="4">
        <f>'Monthly Data'!S31</f>
        <v>8030339.2459057812</v>
      </c>
      <c r="DT31" s="4">
        <f>'Monthly Data'!V31</f>
        <v>3164334.3234939571</v>
      </c>
      <c r="DU31" s="18">
        <f t="shared" si="7"/>
        <v>41896730.437385842</v>
      </c>
      <c r="DV31" s="18">
        <f t="shared" si="8"/>
        <v>10273140.461569482</v>
      </c>
      <c r="DW31" s="18">
        <f t="shared" si="9"/>
        <v>25458967.148404371</v>
      </c>
      <c r="DX31" s="18">
        <f t="shared" si="10"/>
        <v>7594924.2382465424</v>
      </c>
      <c r="DY31" s="18">
        <f t="shared" si="11"/>
        <v>3252586.6277214349</v>
      </c>
      <c r="ER31" s="24">
        <f>'Monthly Data'!F31/'Monthly Data'!G31/'Monthly Data'!CD31</f>
        <v>23.427254275119704</v>
      </c>
      <c r="ES31" s="268">
        <f>'Monthly Data'!J31/'Monthly Data'!K31/'Monthly Data'!CD31</f>
        <v>82.424288610171104</v>
      </c>
      <c r="ET31" s="24">
        <f>'Monthly Data'!N31/'Monthly Data'!P31/'Monthly Data'!CD31</f>
        <v>1556.2109823696737</v>
      </c>
      <c r="EU31" s="24">
        <f>'Monthly Data'!Q31/'Monthly Data'!U31/'Monthly Data'!CD31</f>
        <v>19932.981336867357</v>
      </c>
      <c r="EV31" s="24">
        <f>'Monthly Data'!V31/'Monthly Data'!Z31/'Monthly Data'!CD31</f>
        <v>105477.81078313191</v>
      </c>
      <c r="EW31" s="24"/>
      <c r="FG31" s="24"/>
    </row>
    <row r="32" spans="1:163" x14ac:dyDescent="0.25">
      <c r="A32" s="3">
        <v>42917</v>
      </c>
      <c r="B32" s="1">
        <v>2017</v>
      </c>
      <c r="C32" s="1">
        <v>7</v>
      </c>
      <c r="D32" s="272">
        <v>20.392473118279565</v>
      </c>
      <c r="E32" s="272">
        <v>14.412500000000009</v>
      </c>
      <c r="F32" s="272">
        <v>26.579166666666627</v>
      </c>
      <c r="G32" s="272">
        <v>1.8041666666666707</v>
      </c>
      <c r="H32" s="272">
        <v>75.970833333333289</v>
      </c>
      <c r="I32" s="272">
        <v>0</v>
      </c>
      <c r="J32" s="272">
        <v>136.16666666666663</v>
      </c>
      <c r="K32" s="272">
        <v>0</v>
      </c>
      <c r="L32" s="272">
        <v>198.16666666666666</v>
      </c>
      <c r="M32" s="272">
        <v>0</v>
      </c>
      <c r="N32" s="272">
        <v>260.16666666666657</v>
      </c>
      <c r="O32" s="272">
        <v>0</v>
      </c>
      <c r="P32" s="272">
        <v>322.16666666666657</v>
      </c>
      <c r="Q32" s="272">
        <v>0</v>
      </c>
      <c r="R32" s="272">
        <v>384.16666666666657</v>
      </c>
      <c r="U32" s="1"/>
      <c r="Y32" s="422" t="s">
        <v>165</v>
      </c>
      <c r="AN32" s="422" t="s">
        <v>165</v>
      </c>
      <c r="AS32" s="422"/>
      <c r="BB32" s="422" t="s">
        <v>165</v>
      </c>
      <c r="BG32" s="422"/>
      <c r="BP32" s="422" t="s">
        <v>165</v>
      </c>
      <c r="BU32" s="422"/>
      <c r="CD32" s="422" t="s">
        <v>165</v>
      </c>
      <c r="CI32" s="422"/>
      <c r="CR32" s="422" t="s">
        <v>165</v>
      </c>
      <c r="CW32" s="422"/>
      <c r="DF32" s="422" t="s">
        <v>165</v>
      </c>
      <c r="DP32" s="18">
        <f>'Monthly Data'!F32</f>
        <v>43007005.802366681</v>
      </c>
      <c r="DQ32" s="18">
        <f>'Monthly Data'!J32</f>
        <v>11368071.321868924</v>
      </c>
      <c r="DR32" s="18">
        <f>'Monthly Data'!N32</f>
        <v>31469547.442503113</v>
      </c>
      <c r="DS32" s="4">
        <f>'Monthly Data'!S32</f>
        <v>8822626.0175652429</v>
      </c>
      <c r="DT32" s="4">
        <f>'Monthly Data'!V32</f>
        <v>3330834.0260694562</v>
      </c>
      <c r="DU32" s="18">
        <f t="shared" si="7"/>
        <v>48208264.90652667</v>
      </c>
      <c r="DV32" s="18">
        <f t="shared" si="8"/>
        <v>11308005.28820527</v>
      </c>
      <c r="DW32" s="18">
        <f t="shared" si="9"/>
        <v>26888937.468424659</v>
      </c>
      <c r="DX32" s="18">
        <f t="shared" si="10"/>
        <v>8205719.4185303301</v>
      </c>
      <c r="DY32" s="18">
        <f t="shared" si="11"/>
        <v>3371207.4392062812</v>
      </c>
      <c r="EK32" s="1" t="s">
        <v>166</v>
      </c>
      <c r="ER32" s="24">
        <f>'Monthly Data'!F32/'Monthly Data'!G32/'Monthly Data'!CD32</f>
        <v>26.287997267940273</v>
      </c>
      <c r="ES32" s="268">
        <f>'Monthly Data'!J32/'Monthly Data'!K32/'Monthly Data'!CD32</f>
        <v>88.194318933334301</v>
      </c>
      <c r="ET32" s="24">
        <f>'Monthly Data'!N32/'Monthly Data'!P32/'Monthly Data'!CD32</f>
        <v>1929.9366762236671</v>
      </c>
      <c r="EU32" s="24">
        <f>'Monthly Data'!Q32/'Monthly Data'!U32/'Monthly Data'!CD32</f>
        <v>21414.490096221405</v>
      </c>
      <c r="EV32" s="24">
        <f>'Monthly Data'!V32/'Monthly Data'!Z32/'Monthly Data'!CD32</f>
        <v>107446.25890546633</v>
      </c>
      <c r="EW32" s="24"/>
      <c r="FG32" s="24"/>
    </row>
    <row r="33" spans="1:163" x14ac:dyDescent="0.25">
      <c r="A33" s="3">
        <v>42948</v>
      </c>
      <c r="B33" s="1">
        <v>2017</v>
      </c>
      <c r="C33" s="1">
        <v>8</v>
      </c>
      <c r="D33" s="272">
        <v>19.013680458158017</v>
      </c>
      <c r="E33" s="272">
        <v>46.587500000000006</v>
      </c>
      <c r="F33" s="272">
        <v>16.01159420289855</v>
      </c>
      <c r="G33" s="272">
        <v>17.950000000000006</v>
      </c>
      <c r="H33" s="272">
        <v>49.374094202898547</v>
      </c>
      <c r="I33" s="272">
        <v>3.6416666666666693</v>
      </c>
      <c r="J33" s="272">
        <v>97.06576086956521</v>
      </c>
      <c r="K33" s="272">
        <v>0</v>
      </c>
      <c r="L33" s="272">
        <v>155.42409420289857</v>
      </c>
      <c r="M33" s="272">
        <v>0</v>
      </c>
      <c r="N33" s="272">
        <v>217.42409420289852</v>
      </c>
      <c r="O33" s="272">
        <v>0</v>
      </c>
      <c r="P33" s="272">
        <v>279.42409420289852</v>
      </c>
      <c r="Q33" s="272">
        <v>0</v>
      </c>
      <c r="R33" s="272">
        <v>341.42409420289852</v>
      </c>
      <c r="U33" s="1"/>
      <c r="V33" s="272"/>
      <c r="AA33" s="255" t="str">
        <f>U3</f>
        <v>HDD20</v>
      </c>
      <c r="AB33" s="255" t="str">
        <f>U17</f>
        <v>CDD20</v>
      </c>
      <c r="AP33" s="255" t="s">
        <v>53</v>
      </c>
      <c r="AQ33" s="255" t="s">
        <v>54</v>
      </c>
      <c r="BD33" s="255" t="str">
        <f>AX3</f>
        <v>HDD16</v>
      </c>
      <c r="BE33" s="255" t="str">
        <f>AX17</f>
        <v>CDD16</v>
      </c>
      <c r="BR33" s="255" t="str">
        <f>BL3</f>
        <v>HDD14</v>
      </c>
      <c r="BS33" s="255" t="str">
        <f>BL17</f>
        <v>CDD14</v>
      </c>
      <c r="CF33" s="255" t="str">
        <f>BZ3</f>
        <v>HDD12</v>
      </c>
      <c r="CG33" s="255" t="str">
        <f>BZ17</f>
        <v>CDD12</v>
      </c>
      <c r="CT33" s="255" t="str">
        <f>CN3</f>
        <v>HDD10</v>
      </c>
      <c r="CU33" s="255" t="str">
        <f>CN17</f>
        <v>CDD10</v>
      </c>
      <c r="DH33" s="255" t="str">
        <f>DB3</f>
        <v>HDD8</v>
      </c>
      <c r="DI33" s="255" t="str">
        <f>DB17</f>
        <v>CDD8</v>
      </c>
      <c r="DK33" s="272"/>
      <c r="DL33" s="272"/>
      <c r="DM33" s="272"/>
      <c r="DN33" s="272"/>
      <c r="DP33" s="18">
        <f>'Monthly Data'!F33</f>
        <v>43246511.74715858</v>
      </c>
      <c r="DQ33" s="18">
        <f>'Monthly Data'!J33</f>
        <v>11009225.659270091</v>
      </c>
      <c r="DR33" s="18">
        <f>'Monthly Data'!N33</f>
        <v>27041145.811984874</v>
      </c>
      <c r="DS33" s="4">
        <f>'Monthly Data'!S33</f>
        <v>9105942.2354655229</v>
      </c>
      <c r="DT33" s="4">
        <f>'Monthly Data'!V33</f>
        <v>3426068.7581383074</v>
      </c>
      <c r="DU33" s="18">
        <f t="shared" si="7"/>
        <v>45202396.554541409</v>
      </c>
      <c r="DV33" s="18">
        <f t="shared" si="8"/>
        <v>10753993.988021415</v>
      </c>
      <c r="DW33" s="18">
        <f t="shared" si="9"/>
        <v>26221281.015046485</v>
      </c>
      <c r="DX33" s="18">
        <f t="shared" si="10"/>
        <v>7900208.1384499734</v>
      </c>
      <c r="DY33" s="18">
        <f t="shared" si="11"/>
        <v>3311874.9540611492</v>
      </c>
      <c r="EK33" s="1" t="s">
        <v>167</v>
      </c>
      <c r="ER33" s="24">
        <f>'Monthly Data'!F33/'Monthly Data'!G33/'Monthly Data'!CD33</f>
        <v>26.348022853747587</v>
      </c>
      <c r="ES33" s="268">
        <f>'Monthly Data'!J33/'Monthly Data'!K33/'Monthly Data'!CD33</f>
        <v>85.430914503093035</v>
      </c>
      <c r="ET33" s="24">
        <f>'Monthly Data'!N33/'Monthly Data'!P33/'Monthly Data'!CD33</f>
        <v>1661.5143356058295</v>
      </c>
      <c r="EU33" s="24">
        <f>'Monthly Data'!Q33/'Monthly Data'!U33/'Monthly Data'!CD33</f>
        <v>22170.797840207775</v>
      </c>
      <c r="EV33" s="24">
        <f>'Monthly Data'!V33/'Monthly Data'!Z33/'Monthly Data'!CD33</f>
        <v>110518.3470367196</v>
      </c>
      <c r="EW33" s="24"/>
      <c r="FG33" s="24"/>
    </row>
    <row r="34" spans="1:163" x14ac:dyDescent="0.25">
      <c r="A34" s="3">
        <v>42979</v>
      </c>
      <c r="B34" s="1">
        <v>2017</v>
      </c>
      <c r="C34" s="1">
        <v>9</v>
      </c>
      <c r="D34" s="272">
        <v>17.194861111111109</v>
      </c>
      <c r="E34" s="272">
        <v>100.06666666666666</v>
      </c>
      <c r="F34" s="272">
        <v>15.912499999999994</v>
      </c>
      <c r="G34" s="272">
        <v>65.699999999999989</v>
      </c>
      <c r="H34" s="272">
        <v>41.54583333333332</v>
      </c>
      <c r="I34" s="272">
        <v>37.391666666666666</v>
      </c>
      <c r="J34" s="272">
        <v>73.237499999999983</v>
      </c>
      <c r="K34" s="272">
        <v>16.833333333333329</v>
      </c>
      <c r="L34" s="272">
        <v>112.67916666666666</v>
      </c>
      <c r="M34" s="272">
        <v>5.466666666666665</v>
      </c>
      <c r="N34" s="272">
        <v>161.3125</v>
      </c>
      <c r="O34" s="272">
        <v>1.3833333333333311</v>
      </c>
      <c r="P34" s="272">
        <v>217.22916666666663</v>
      </c>
      <c r="Q34" s="272">
        <v>0</v>
      </c>
      <c r="R34" s="272">
        <v>275.8458333333333</v>
      </c>
      <c r="U34" s="1"/>
      <c r="Y34" s="1" t="s">
        <v>168</v>
      </c>
      <c r="Z34" s="1" t="s">
        <v>169</v>
      </c>
      <c r="AA34" s="423">
        <f t="shared" ref="AA34:AA45" ca="1" si="70">OFFSET(V$15,0,(ROW()-ROW(AA$34)))</f>
        <v>759.33418478260865</v>
      </c>
      <c r="AB34" s="423">
        <f t="shared" ref="AB34:AB45" ca="1" si="71">OFFSET(V$29,0,(ROW()-ROW(AB$34)))</f>
        <v>0</v>
      </c>
      <c r="AN34" s="1" t="s">
        <v>168</v>
      </c>
      <c r="AO34" s="1" t="s">
        <v>169</v>
      </c>
      <c r="AP34" s="423">
        <f t="shared" ref="AP34:AP45" ca="1" si="72">OFFSET($AK$15,0,(ROW()-ROW(AP$34)))</f>
        <v>697.33418478260876</v>
      </c>
      <c r="AQ34" s="423">
        <f t="shared" ref="AQ34:AQ45" ca="1" si="73">OFFSET($AK$29,0,(ROW()-ROW(AQ$34)))</f>
        <v>0</v>
      </c>
      <c r="AU34" s="423"/>
      <c r="AV34" s="423"/>
      <c r="BB34" s="1" t="s">
        <v>168</v>
      </c>
      <c r="BC34" s="1" t="s">
        <v>169</v>
      </c>
      <c r="BD34" s="423">
        <f t="shared" ref="BD34:BD45" ca="1" si="74">OFFSET(AY$15,0,(ROW()-ROW(BD$34)))</f>
        <v>635.33418478260876</v>
      </c>
      <c r="BE34" s="423">
        <f t="shared" ref="BE34:BE45" ca="1" si="75">OFFSET(AY$29,0,(ROW()-ROW(BE$34)))</f>
        <v>0</v>
      </c>
      <c r="BI34" s="423"/>
      <c r="BJ34" s="423"/>
      <c r="BP34" s="1" t="s">
        <v>168</v>
      </c>
      <c r="BQ34" s="1" t="s">
        <v>169</v>
      </c>
      <c r="BR34" s="423">
        <f t="shared" ref="BR34:BR45" ca="1" si="76">OFFSET(BM$15,0,(ROW()-ROW(BR$34)))</f>
        <v>573.33418478260865</v>
      </c>
      <c r="BS34" s="423">
        <f t="shared" ref="BS34:BS45" ca="1" si="77">OFFSET(BM$29,0,(ROW()-ROW(BS$34)))</f>
        <v>0</v>
      </c>
      <c r="BW34" s="423"/>
      <c r="BX34" s="423"/>
      <c r="CD34" s="1" t="s">
        <v>168</v>
      </c>
      <c r="CE34" s="1" t="s">
        <v>169</v>
      </c>
      <c r="CF34" s="423">
        <f t="shared" ref="CF34:CF45" ca="1" si="78">OFFSET(CA$15,0,(ROW()-ROW(CF$34)))</f>
        <v>511.33418478260876</v>
      </c>
      <c r="CG34" s="423">
        <f t="shared" ref="CG34:CG45" ca="1" si="79">OFFSET(CA$29,0,(ROW()-ROW(CG$34)))</f>
        <v>0</v>
      </c>
      <c r="CK34" s="423"/>
      <c r="CL34" s="423"/>
      <c r="CR34" s="1" t="s">
        <v>168</v>
      </c>
      <c r="CS34" s="1" t="s">
        <v>169</v>
      </c>
      <c r="CT34" s="423">
        <f t="shared" ref="CT34:CT45" ca="1" si="80">OFFSET(CO$15,0,(ROW()-ROW(CT$34)))</f>
        <v>449.33418478260865</v>
      </c>
      <c r="CU34" s="423">
        <f t="shared" ref="CU34:CU45" ca="1" si="81">OFFSET(CO$29,0,(ROW()-ROW(CU$34)))</f>
        <v>0</v>
      </c>
      <c r="CY34" s="423"/>
      <c r="CZ34" s="423"/>
      <c r="DF34" s="1" t="s">
        <v>168</v>
      </c>
      <c r="DG34" s="1" t="s">
        <v>169</v>
      </c>
      <c r="DH34" s="423">
        <f t="shared" ref="DH34:DH45" ca="1" si="82">OFFSET(DC$15,0,(ROW()-ROW(DH$34)))</f>
        <v>387.33418478260865</v>
      </c>
      <c r="DI34" s="423">
        <f t="shared" ref="DI34:DI45" ca="1" si="83">OFFSET(DC$29,0,(ROW()-ROW(DI$34)))</f>
        <v>0</v>
      </c>
      <c r="DP34" s="18">
        <f>'Monthly Data'!F34</f>
        <v>40173512.443843894</v>
      </c>
      <c r="DQ34" s="18">
        <f>'Monthly Data'!J34</f>
        <v>10614412.668142477</v>
      </c>
      <c r="DR34" s="18">
        <f>'Monthly Data'!N34</f>
        <v>27701627.05622584</v>
      </c>
      <c r="DS34" s="4">
        <f>'Monthly Data'!S34</f>
        <v>7578589.9761335328</v>
      </c>
      <c r="DT34" s="4">
        <f>'Monthly Data'!V34</f>
        <v>3363510.2194956485</v>
      </c>
      <c r="DU34" s="18">
        <f t="shared" si="7"/>
        <v>41776209.000308424</v>
      </c>
      <c r="DV34" s="18">
        <f t="shared" si="8"/>
        <v>10368342.277335614</v>
      </c>
      <c r="DW34" s="18">
        <f t="shared" si="9"/>
        <v>25372516.263430454</v>
      </c>
      <c r="DX34" s="18">
        <f t="shared" si="10"/>
        <v>7595624.1315547498</v>
      </c>
      <c r="DY34" s="18">
        <f t="shared" si="11"/>
        <v>3253708.6742794607</v>
      </c>
      <c r="EK34" s="1" t="s">
        <v>170</v>
      </c>
      <c r="ER34" s="24">
        <f>'Monthly Data'!F34/'Monthly Data'!G34/'Monthly Data'!CD34</f>
        <v>25.308859811031034</v>
      </c>
      <c r="ES34" s="268">
        <f>'Monthly Data'!J34/'Monthly Data'!K34/'Monthly Data'!CD34</f>
        <v>84.867775390920912</v>
      </c>
      <c r="ET34" s="24">
        <f>'Monthly Data'!N34/'Monthly Data'!P34/'Monthly Data'!CD34</f>
        <v>1758.833463887355</v>
      </c>
      <c r="EU34" s="24">
        <f>'Monthly Data'!Q34/'Monthly Data'!U34/'Monthly Data'!CD34</f>
        <v>18661.707778022093</v>
      </c>
      <c r="EV34" s="24">
        <f>'Monthly Data'!V34/'Monthly Data'!Z34/'Monthly Data'!CD34</f>
        <v>112117.00731652162</v>
      </c>
      <c r="EW34" s="24"/>
      <c r="FG34" s="24"/>
    </row>
    <row r="35" spans="1:163" x14ac:dyDescent="0.25">
      <c r="A35" s="3">
        <v>43009</v>
      </c>
      <c r="B35" s="1">
        <v>2017</v>
      </c>
      <c r="C35" s="1">
        <v>10</v>
      </c>
      <c r="D35" s="272">
        <v>12.306989247311826</v>
      </c>
      <c r="E35" s="272">
        <v>238.48333333333335</v>
      </c>
      <c r="F35" s="272">
        <v>0</v>
      </c>
      <c r="G35" s="272">
        <v>179.70833333333334</v>
      </c>
      <c r="H35" s="272">
        <v>3.2250000000000014</v>
      </c>
      <c r="I35" s="272">
        <v>124.7625</v>
      </c>
      <c r="J35" s="272">
        <v>10.279166666666672</v>
      </c>
      <c r="K35" s="272">
        <v>82.137500000000017</v>
      </c>
      <c r="L35" s="272">
        <v>29.654166666666669</v>
      </c>
      <c r="M35" s="272">
        <v>49.88333333333334</v>
      </c>
      <c r="N35" s="272">
        <v>59.400000000000006</v>
      </c>
      <c r="O35" s="272">
        <v>26.758333333333336</v>
      </c>
      <c r="P35" s="272">
        <v>98.274999999999977</v>
      </c>
      <c r="Q35" s="272">
        <v>11.620833333333334</v>
      </c>
      <c r="R35" s="272">
        <v>145.13749999999999</v>
      </c>
      <c r="U35" s="1"/>
      <c r="Y35" s="1" t="s">
        <v>168</v>
      </c>
      <c r="Z35" s="1" t="s">
        <v>171</v>
      </c>
      <c r="AA35" s="423">
        <f t="shared" ca="1" si="70"/>
        <v>680.85501811594202</v>
      </c>
      <c r="AB35" s="423">
        <f t="shared" ca="1" si="71"/>
        <v>0</v>
      </c>
      <c r="AN35" s="1" t="s">
        <v>168</v>
      </c>
      <c r="AO35" s="1" t="s">
        <v>171</v>
      </c>
      <c r="AP35" s="423">
        <f t="shared" ca="1" si="72"/>
        <v>624.25501811594188</v>
      </c>
      <c r="AQ35" s="423">
        <f t="shared" ca="1" si="73"/>
        <v>0</v>
      </c>
      <c r="AU35" s="423"/>
      <c r="AV35" s="423"/>
      <c r="BB35" s="1" t="s">
        <v>168</v>
      </c>
      <c r="BC35" s="1" t="s">
        <v>171</v>
      </c>
      <c r="BD35" s="423">
        <f t="shared" ca="1" si="74"/>
        <v>567.65501811594208</v>
      </c>
      <c r="BE35" s="423">
        <f t="shared" ca="1" si="75"/>
        <v>0</v>
      </c>
      <c r="BI35" s="423"/>
      <c r="BJ35" s="423"/>
      <c r="BP35" s="1" t="s">
        <v>168</v>
      </c>
      <c r="BQ35" s="1" t="s">
        <v>171</v>
      </c>
      <c r="BR35" s="423">
        <f t="shared" ca="1" si="76"/>
        <v>511.05501811594206</v>
      </c>
      <c r="BS35" s="423">
        <f t="shared" ca="1" si="77"/>
        <v>0</v>
      </c>
      <c r="BW35" s="423"/>
      <c r="BX35" s="423"/>
      <c r="CD35" s="1" t="s">
        <v>168</v>
      </c>
      <c r="CE35" s="1" t="s">
        <v>171</v>
      </c>
      <c r="CF35" s="423">
        <f t="shared" ca="1" si="78"/>
        <v>454.45501811594193</v>
      </c>
      <c r="CG35" s="423">
        <f t="shared" ca="1" si="79"/>
        <v>0</v>
      </c>
      <c r="CK35" s="423"/>
      <c r="CL35" s="423"/>
      <c r="CR35" s="1" t="s">
        <v>168</v>
      </c>
      <c r="CS35" s="1" t="s">
        <v>171</v>
      </c>
      <c r="CT35" s="423">
        <f t="shared" ca="1" si="80"/>
        <v>397.85501811594202</v>
      </c>
      <c r="CU35" s="423">
        <f t="shared" ca="1" si="81"/>
        <v>0</v>
      </c>
      <c r="CY35" s="423"/>
      <c r="CZ35" s="423"/>
      <c r="DF35" s="1" t="s">
        <v>168</v>
      </c>
      <c r="DG35" s="1" t="s">
        <v>171</v>
      </c>
      <c r="DH35" s="423">
        <f t="shared" ca="1" si="82"/>
        <v>341.39751811594203</v>
      </c>
      <c r="DI35" s="423">
        <f t="shared" ca="1" si="83"/>
        <v>0.1424999999999999</v>
      </c>
      <c r="DP35" s="18">
        <f>'Monthly Data'!F35</f>
        <v>36831928.279389635</v>
      </c>
      <c r="DQ35" s="18">
        <f>'Monthly Data'!J35</f>
        <v>10086644.014943147</v>
      </c>
      <c r="DR35" s="18">
        <f>'Monthly Data'!N35</f>
        <v>28543126.735597521</v>
      </c>
      <c r="DS35" s="4">
        <f>'Monthly Data'!S35</f>
        <v>7201241.0247569699</v>
      </c>
      <c r="DT35" s="4">
        <f>'Monthly Data'!V35</f>
        <v>3363510.2194956485</v>
      </c>
      <c r="DU35" s="18">
        <f t="shared" si="7"/>
        <v>36625979.062205553</v>
      </c>
      <c r="DV35" s="18">
        <f t="shared" si="8"/>
        <v>9741296.2906173114</v>
      </c>
      <c r="DW35" s="18">
        <f t="shared" si="9"/>
        <v>24289103.259536136</v>
      </c>
      <c r="DX35" s="18">
        <f t="shared" si="10"/>
        <v>7009856.8262063926</v>
      </c>
      <c r="DY35" s="18">
        <f t="shared" si="11"/>
        <v>3147960.6991696656</v>
      </c>
      <c r="ER35" s="24">
        <f>'Monthly Data'!F35/'Monthly Data'!G35/'Monthly Data'!CD35</f>
        <v>22.46410888050649</v>
      </c>
      <c r="ES35" s="268">
        <f>'Monthly Data'!J35/'Monthly Data'!K35/'Monthly Data'!CD35</f>
        <v>77.934278655152767</v>
      </c>
      <c r="ET35" s="24">
        <f>'Monthly Data'!N35/'Monthly Data'!P35/'Monthly Data'!CD35</f>
        <v>1760.5086495773464</v>
      </c>
      <c r="EU35" s="24">
        <f>'Monthly Data'!Q35/'Monthly Data'!U35/'Monthly Data'!CD35</f>
        <v>17040.043310682904</v>
      </c>
      <c r="EV35" s="24">
        <f>'Monthly Data'!V35/'Monthly Data'!Z35/'Monthly Data'!CD35</f>
        <v>108500.32966114995</v>
      </c>
      <c r="EW35" s="24"/>
      <c r="FG35" s="24"/>
    </row>
    <row r="36" spans="1:163" x14ac:dyDescent="0.25">
      <c r="A36" s="3">
        <v>43040</v>
      </c>
      <c r="B36" s="1">
        <v>2017</v>
      </c>
      <c r="C36" s="1">
        <v>11</v>
      </c>
      <c r="D36" s="272">
        <v>3.2462752525252521</v>
      </c>
      <c r="E36" s="272">
        <v>502.61174242424244</v>
      </c>
      <c r="F36" s="272">
        <v>0</v>
      </c>
      <c r="G36" s="272">
        <v>442.61174242424244</v>
      </c>
      <c r="H36" s="272">
        <v>0</v>
      </c>
      <c r="I36" s="272">
        <v>382.61174242424244</v>
      </c>
      <c r="J36" s="272">
        <v>0</v>
      </c>
      <c r="K36" s="272">
        <v>322.61174242424249</v>
      </c>
      <c r="L36" s="272">
        <v>0</v>
      </c>
      <c r="M36" s="272">
        <v>262.61174242424244</v>
      </c>
      <c r="N36" s="272">
        <v>0</v>
      </c>
      <c r="O36" s="272">
        <v>203.9075757575757</v>
      </c>
      <c r="P36" s="272">
        <v>1.2958333333333325</v>
      </c>
      <c r="Q36" s="272">
        <v>148.02424242424243</v>
      </c>
      <c r="R36" s="272">
        <v>5.4124999999999979</v>
      </c>
      <c r="Y36" s="1" t="s">
        <v>168</v>
      </c>
      <c r="Z36" s="1" t="s">
        <v>172</v>
      </c>
      <c r="AA36" s="423">
        <f t="shared" ca="1" si="70"/>
        <v>608.13298913043479</v>
      </c>
      <c r="AB36" s="423">
        <f t="shared" ca="1" si="71"/>
        <v>0</v>
      </c>
      <c r="AN36" s="1" t="s">
        <v>168</v>
      </c>
      <c r="AO36" s="1" t="s">
        <v>172</v>
      </c>
      <c r="AP36" s="423">
        <f t="shared" ca="1" si="72"/>
        <v>546.13298913043491</v>
      </c>
      <c r="AQ36" s="423">
        <f t="shared" ca="1" si="73"/>
        <v>0</v>
      </c>
      <c r="AU36" s="423"/>
      <c r="AV36" s="423"/>
      <c r="BB36" s="1" t="s">
        <v>168</v>
      </c>
      <c r="BC36" s="1" t="s">
        <v>172</v>
      </c>
      <c r="BD36" s="423">
        <f t="shared" ca="1" si="74"/>
        <v>484.13298913043479</v>
      </c>
      <c r="BE36" s="423">
        <f t="shared" ca="1" si="75"/>
        <v>0</v>
      </c>
      <c r="BI36" s="423"/>
      <c r="BJ36" s="423"/>
      <c r="BP36" s="1" t="s">
        <v>168</v>
      </c>
      <c r="BQ36" s="1" t="s">
        <v>172</v>
      </c>
      <c r="BR36" s="423">
        <f t="shared" ca="1" si="76"/>
        <v>422.13298913043479</v>
      </c>
      <c r="BS36" s="423">
        <f t="shared" ca="1" si="77"/>
        <v>0</v>
      </c>
      <c r="BW36" s="423"/>
      <c r="BX36" s="423"/>
      <c r="CD36" s="1" t="s">
        <v>168</v>
      </c>
      <c r="CE36" s="1" t="s">
        <v>172</v>
      </c>
      <c r="CF36" s="423">
        <f t="shared" ca="1" si="78"/>
        <v>360.16257246376813</v>
      </c>
      <c r="CG36" s="423">
        <f t="shared" ca="1" si="79"/>
        <v>2.9583333333332896E-2</v>
      </c>
      <c r="CK36" s="423"/>
      <c r="CL36" s="423"/>
      <c r="CR36" s="1" t="s">
        <v>168</v>
      </c>
      <c r="CS36" s="1" t="s">
        <v>172</v>
      </c>
      <c r="CT36" s="423">
        <f t="shared" ca="1" si="80"/>
        <v>298.65173913043481</v>
      </c>
      <c r="CU36" s="423">
        <f t="shared" ca="1" si="81"/>
        <v>0.51874999999999927</v>
      </c>
      <c r="CY36" s="423"/>
      <c r="CZ36" s="423"/>
      <c r="DF36" s="1" t="s">
        <v>168</v>
      </c>
      <c r="DG36" s="1" t="s">
        <v>172</v>
      </c>
      <c r="DH36" s="423">
        <f t="shared" ca="1" si="82"/>
        <v>238.57840579710145</v>
      </c>
      <c r="DI36" s="423">
        <f t="shared" ca="1" si="83"/>
        <v>2.4454166666666657</v>
      </c>
      <c r="DP36" s="18">
        <f>'Monthly Data'!F36</f>
        <v>39177413.497449182</v>
      </c>
      <c r="DQ36" s="18">
        <f>'Monthly Data'!J36</f>
        <v>11102990.29685051</v>
      </c>
      <c r="DR36" s="18">
        <f>'Monthly Data'!N36</f>
        <v>28958644.867446724</v>
      </c>
      <c r="DS36" s="4">
        <f>'Monthly Data'!S36</f>
        <v>7272686.6406943528</v>
      </c>
      <c r="DT36" s="4">
        <f>'Monthly Data'!V36</f>
        <v>2918187.1957343561</v>
      </c>
      <c r="DU36" s="18">
        <f t="shared" si="7"/>
        <v>39875136.656743273</v>
      </c>
      <c r="DV36" s="18">
        <f t="shared" si="8"/>
        <v>10784911.710305803</v>
      </c>
      <c r="DW36" s="18">
        <f t="shared" si="9"/>
        <v>26911230.370541837</v>
      </c>
      <c r="DX36" s="18">
        <f t="shared" si="10"/>
        <v>6834636.3143730462</v>
      </c>
      <c r="DY36" s="18">
        <f t="shared" si="11"/>
        <v>3152305.3154352368</v>
      </c>
      <c r="EL36" s="1" t="s">
        <v>148</v>
      </c>
      <c r="EM36" s="1" t="s">
        <v>149</v>
      </c>
      <c r="EN36" s="1" t="s">
        <v>150</v>
      </c>
      <c r="EO36" s="1" t="s">
        <v>151</v>
      </c>
      <c r="ER36" s="24">
        <f>'Monthly Data'!F36/'Monthly Data'!G36/'Monthly Data'!CD36</f>
        <v>24.618979795424753</v>
      </c>
      <c r="ES36" s="268">
        <f>'Monthly Data'!J36/'Monthly Data'!K36/'Monthly Data'!CD36</f>
        <v>88.350364421504807</v>
      </c>
      <c r="ET36" s="24">
        <f>'Monthly Data'!N36/'Monthly Data'!P36/'Monthly Data'!CD36</f>
        <v>1842.1529813897407</v>
      </c>
      <c r="EU36" s="24">
        <f>'Monthly Data'!Q36/'Monthly Data'!U36/'Monthly Data'!CD36</f>
        <v>19419.309061739619</v>
      </c>
      <c r="EV36" s="24">
        <f>'Monthly Data'!V36/'Monthly Data'!Z36/'Monthly Data'!CD36</f>
        <v>97272.906524478531</v>
      </c>
      <c r="EW36" s="24"/>
      <c r="FG36" s="24"/>
    </row>
    <row r="37" spans="1:163" x14ac:dyDescent="0.25">
      <c r="A37" s="3">
        <v>43070</v>
      </c>
      <c r="B37" s="1">
        <v>2017</v>
      </c>
      <c r="C37" s="1">
        <v>12</v>
      </c>
      <c r="D37" s="272">
        <v>-5.7520161290322589</v>
      </c>
      <c r="E37" s="272">
        <v>798.31250000000011</v>
      </c>
      <c r="F37" s="272">
        <v>0</v>
      </c>
      <c r="G37" s="272">
        <v>736.31250000000011</v>
      </c>
      <c r="H37" s="272">
        <v>0</v>
      </c>
      <c r="I37" s="272">
        <v>674.31250000000011</v>
      </c>
      <c r="J37" s="272">
        <v>0</v>
      </c>
      <c r="K37" s="272">
        <v>612.31250000000011</v>
      </c>
      <c r="L37" s="272">
        <v>0</v>
      </c>
      <c r="M37" s="272">
        <v>550.3125</v>
      </c>
      <c r="N37" s="272">
        <v>0</v>
      </c>
      <c r="O37" s="272">
        <v>488.31250000000011</v>
      </c>
      <c r="P37" s="272">
        <v>0</v>
      </c>
      <c r="Q37" s="272">
        <v>426.3125</v>
      </c>
      <c r="R37" s="272">
        <v>0</v>
      </c>
      <c r="Y37" s="1" t="s">
        <v>168</v>
      </c>
      <c r="Z37" s="1" t="s">
        <v>173</v>
      </c>
      <c r="AA37" s="423">
        <f t="shared" ca="1" si="70"/>
        <v>412.37941287878795</v>
      </c>
      <c r="AB37" s="423">
        <f t="shared" ca="1" si="71"/>
        <v>0</v>
      </c>
      <c r="AN37" s="1" t="s">
        <v>168</v>
      </c>
      <c r="AO37" s="1" t="s">
        <v>173</v>
      </c>
      <c r="AP37" s="423">
        <f t="shared" ca="1" si="72"/>
        <v>352.41399621212122</v>
      </c>
      <c r="AQ37" s="423">
        <f t="shared" ca="1" si="73"/>
        <v>3.4583333333333854E-2</v>
      </c>
      <c r="AU37" s="423"/>
      <c r="AV37" s="423"/>
      <c r="BB37" s="1" t="s">
        <v>168</v>
      </c>
      <c r="BC37" s="1" t="s">
        <v>173</v>
      </c>
      <c r="BD37" s="423">
        <f t="shared" ca="1" si="74"/>
        <v>292.81107954545462</v>
      </c>
      <c r="BE37" s="423">
        <f t="shared" ca="1" si="75"/>
        <v>0.4316666666666677</v>
      </c>
      <c r="BI37" s="423"/>
      <c r="BJ37" s="423"/>
      <c r="BP37" s="1" t="s">
        <v>168</v>
      </c>
      <c r="BQ37" s="1" t="s">
        <v>173</v>
      </c>
      <c r="BR37" s="423">
        <f t="shared" ca="1" si="76"/>
        <v>234.57024621212122</v>
      </c>
      <c r="BS37" s="423">
        <f t="shared" ca="1" si="77"/>
        <v>2.1908333333333347</v>
      </c>
      <c r="BW37" s="423"/>
      <c r="BX37" s="423"/>
      <c r="CD37" s="1" t="s">
        <v>168</v>
      </c>
      <c r="CE37" s="1" t="s">
        <v>173</v>
      </c>
      <c r="CF37" s="423">
        <f t="shared" ca="1" si="78"/>
        <v>178.02149621212124</v>
      </c>
      <c r="CG37" s="423">
        <f t="shared" ca="1" si="79"/>
        <v>5.6420833333333338</v>
      </c>
      <c r="CK37" s="423"/>
      <c r="CL37" s="423"/>
      <c r="CR37" s="1" t="s">
        <v>168</v>
      </c>
      <c r="CS37" s="1" t="s">
        <v>173</v>
      </c>
      <c r="CT37" s="423">
        <f t="shared" ca="1" si="80"/>
        <v>125.17066287878788</v>
      </c>
      <c r="CU37" s="423">
        <f t="shared" ca="1" si="81"/>
        <v>12.79125</v>
      </c>
      <c r="CY37" s="423"/>
      <c r="CZ37" s="423"/>
      <c r="DF37" s="1" t="s">
        <v>168</v>
      </c>
      <c r="DG37" s="1" t="s">
        <v>173</v>
      </c>
      <c r="DH37" s="423">
        <f t="shared" ca="1" si="82"/>
        <v>79.984412878787879</v>
      </c>
      <c r="DI37" s="423">
        <f t="shared" ca="1" si="83"/>
        <v>27.605</v>
      </c>
      <c r="DP37" s="18">
        <f>'Monthly Data'!F37</f>
        <v>45743096.906611487</v>
      </c>
      <c r="DQ37" s="18">
        <f>'Monthly Data'!J37</f>
        <v>12738018.510544082</v>
      </c>
      <c r="DR37" s="18">
        <f>'Monthly Data'!N37</f>
        <v>32603693.979294565</v>
      </c>
      <c r="DS37" s="4">
        <f>'Monthly Data'!S37</f>
        <v>6901002.2880553724</v>
      </c>
      <c r="DT37" s="4">
        <f>'Monthly Data'!V37</f>
        <v>3038979.2685842598</v>
      </c>
      <c r="DU37" s="18">
        <f t="shared" si="7"/>
        <v>48821835.42786029</v>
      </c>
      <c r="DV37" s="18">
        <f t="shared" si="8"/>
        <v>12416348.791513892</v>
      </c>
      <c r="DW37" s="18">
        <f t="shared" si="9"/>
        <v>32610558.270894751</v>
      </c>
      <c r="DX37" s="18">
        <f t="shared" si="10"/>
        <v>6884322.9306346187</v>
      </c>
      <c r="DY37" s="18">
        <f t="shared" si="11"/>
        <v>3213852.6397617804</v>
      </c>
      <c r="EK37" s="1" t="s">
        <v>152</v>
      </c>
      <c r="EL37" s="1">
        <v>8645023.5952246003</v>
      </c>
      <c r="EM37" s="1">
        <v>210486.87267082499</v>
      </c>
      <c r="EN37" s="1">
        <v>41.071557031227897</v>
      </c>
      <c r="EO37" s="283">
        <v>5.9641991978616998E-71</v>
      </c>
      <c r="ER37" s="24">
        <f>'Monthly Data'!F37/'Monthly Data'!G37/'Monthly Data'!CD37</f>
        <v>27.844880855603865</v>
      </c>
      <c r="ES37" s="268">
        <f>'Monthly Data'!J37/'Monthly Data'!K37/'Monthly Data'!CD37</f>
        <v>98.161448380500929</v>
      </c>
      <c r="ET37" s="24">
        <f>'Monthly Data'!N37/'Monthly Data'!P37/'Monthly Data'!CD37</f>
        <v>2007.1222592523125</v>
      </c>
      <c r="EU37" s="24">
        <f>'Monthly Data'!Q37/'Monthly Data'!U37/'Monthly Data'!CD37</f>
        <v>17697.11994310189</v>
      </c>
      <c r="EV37" s="24">
        <f>'Monthly Data'!V37/'Monthly Data'!Z37/'Monthly Data'!CD37</f>
        <v>98031.589309169663</v>
      </c>
      <c r="EW37" s="24"/>
      <c r="FG37" s="24"/>
    </row>
    <row r="38" spans="1:163" x14ac:dyDescent="0.25">
      <c r="A38" s="3">
        <v>43101</v>
      </c>
      <c r="B38" s="1">
        <v>2018</v>
      </c>
      <c r="C38" s="1">
        <v>1</v>
      </c>
      <c r="D38" s="272">
        <v>-6.2108870967741945</v>
      </c>
      <c r="E38" s="272">
        <v>812.53750000000002</v>
      </c>
      <c r="F38" s="272">
        <v>0</v>
      </c>
      <c r="G38" s="272">
        <v>750.53750000000002</v>
      </c>
      <c r="H38" s="272">
        <v>0</v>
      </c>
      <c r="I38" s="272">
        <v>688.53749999999991</v>
      </c>
      <c r="J38" s="272">
        <v>0</v>
      </c>
      <c r="K38" s="272">
        <v>626.53750000000002</v>
      </c>
      <c r="L38" s="272">
        <v>0</v>
      </c>
      <c r="M38" s="272">
        <v>564.53750000000002</v>
      </c>
      <c r="N38" s="272">
        <v>0</v>
      </c>
      <c r="O38" s="272">
        <v>502.53750000000002</v>
      </c>
      <c r="P38" s="272">
        <v>0</v>
      </c>
      <c r="Q38" s="272">
        <v>440.53750000000002</v>
      </c>
      <c r="R38" s="272">
        <v>0</v>
      </c>
      <c r="Y38" s="1" t="s">
        <v>168</v>
      </c>
      <c r="Z38" s="1" t="s">
        <v>69</v>
      </c>
      <c r="AA38" s="423">
        <f t="shared" ca="1" si="70"/>
        <v>202.70273119310133</v>
      </c>
      <c r="AB38" s="423">
        <f t="shared" ca="1" si="71"/>
        <v>4.8953571428571401</v>
      </c>
      <c r="AN38" s="1" t="s">
        <v>168</v>
      </c>
      <c r="AO38" s="1" t="s">
        <v>69</v>
      </c>
      <c r="AP38" s="423">
        <f t="shared" ca="1" si="72"/>
        <v>150.136897859768</v>
      </c>
      <c r="AQ38" s="423">
        <f t="shared" ca="1" si="73"/>
        <v>14.32952380952381</v>
      </c>
      <c r="AU38" s="423"/>
      <c r="AV38" s="423"/>
      <c r="BB38" s="1" t="s">
        <v>168</v>
      </c>
      <c r="BC38" s="1" t="s">
        <v>69</v>
      </c>
      <c r="BD38" s="423">
        <f t="shared" ca="1" si="74"/>
        <v>103.25939244851259</v>
      </c>
      <c r="BE38" s="423">
        <f t="shared" ca="1" si="75"/>
        <v>29.4520183982684</v>
      </c>
      <c r="BI38" s="423"/>
      <c r="BJ38" s="423"/>
      <c r="BP38" s="1" t="s">
        <v>168</v>
      </c>
      <c r="BQ38" s="1" t="s">
        <v>69</v>
      </c>
      <c r="BR38" s="423">
        <f t="shared" ca="1" si="76"/>
        <v>64.294809115179262</v>
      </c>
      <c r="BS38" s="423">
        <f t="shared" ca="1" si="77"/>
        <v>52.487435064935063</v>
      </c>
      <c r="BW38" s="423"/>
      <c r="BX38" s="423"/>
      <c r="CD38" s="1" t="s">
        <v>168</v>
      </c>
      <c r="CE38" s="1" t="s">
        <v>69</v>
      </c>
      <c r="CF38" s="423">
        <f t="shared" ca="1" si="78"/>
        <v>35.998420226290364</v>
      </c>
      <c r="CG38" s="423">
        <f t="shared" ca="1" si="79"/>
        <v>86.191046176046171</v>
      </c>
      <c r="CK38" s="423"/>
      <c r="CL38" s="423"/>
      <c r="CR38" s="1" t="s">
        <v>168</v>
      </c>
      <c r="CS38" s="1" t="s">
        <v>69</v>
      </c>
      <c r="CT38" s="423">
        <f t="shared" ca="1" si="80"/>
        <v>18.031833333333331</v>
      </c>
      <c r="CU38" s="423">
        <f t="shared" ca="1" si="81"/>
        <v>130.22445928308915</v>
      </c>
      <c r="CY38" s="423"/>
      <c r="CZ38" s="423"/>
      <c r="DF38" s="1" t="s">
        <v>168</v>
      </c>
      <c r="DG38" s="1" t="s">
        <v>69</v>
      </c>
      <c r="DH38" s="423">
        <f t="shared" ca="1" si="82"/>
        <v>7.2018333333333331</v>
      </c>
      <c r="DI38" s="423">
        <f t="shared" ca="1" si="83"/>
        <v>181.39445928308913</v>
      </c>
      <c r="DP38" s="18">
        <f>'Monthly Data'!F38</f>
        <v>49182543.969667621</v>
      </c>
      <c r="DQ38" s="18">
        <f>'Monthly Data'!J38</f>
        <v>13743847.236236988</v>
      </c>
      <c r="DR38" s="18">
        <f>'Monthly Data'!N38</f>
        <v>33872703.090109438</v>
      </c>
      <c r="DS38" s="4">
        <f>'Monthly Data'!S38</f>
        <v>7124030.899678275</v>
      </c>
      <c r="DT38" s="4">
        <f>'Monthly Data'!V38</f>
        <v>3601834.996090522</v>
      </c>
      <c r="DU38" s="18">
        <f t="shared" si="7"/>
        <v>49261139.733047888</v>
      </c>
      <c r="DV38" s="18">
        <f t="shared" si="8"/>
        <v>12495907.009576309</v>
      </c>
      <c r="DW38" s="18">
        <f t="shared" si="9"/>
        <v>32895619.929368053</v>
      </c>
      <c r="DX38" s="18">
        <f t="shared" si="10"/>
        <v>6886779.6225191886</v>
      </c>
      <c r="DY38" s="18">
        <f t="shared" si="11"/>
        <v>3216895.7693521306</v>
      </c>
      <c r="EK38" s="1" t="s">
        <v>55</v>
      </c>
      <c r="EL38" s="1">
        <v>5592.8448550031198</v>
      </c>
      <c r="EM38" s="1">
        <v>456.90178877395499</v>
      </c>
      <c r="EN38" s="1">
        <v>12.2408031494271</v>
      </c>
      <c r="EO38" s="283">
        <v>1.2627344322490999E-22</v>
      </c>
      <c r="ER38" s="24">
        <f>'Monthly Data'!F38/'Monthly Data'!G38/'Monthly Data'!CD38</f>
        <v>29.90131130328297</v>
      </c>
      <c r="ES38" s="268">
        <f>'Monthly Data'!J38/'Monthly Data'!K38/'Monthly Data'!CD38</f>
        <v>105.55950258246534</v>
      </c>
      <c r="ET38" s="24">
        <f>'Monthly Data'!N38/'Monthly Data'!P38/'Monthly Data'!CD38</f>
        <v>2097.2511355401793</v>
      </c>
      <c r="EU38" s="24">
        <f>'Monthly Data'!Q38/'Monthly Data'!U38/'Monthly Data'!CD38</f>
        <v>18382.699267243152</v>
      </c>
      <c r="EV38" s="24">
        <f>'Monthly Data'!V38/'Monthly Data'!Z38/'Monthly Data'!CD38</f>
        <v>116188.22568033943</v>
      </c>
      <c r="EW38" s="24"/>
      <c r="FG38" s="24"/>
    </row>
    <row r="39" spans="1:163" x14ac:dyDescent="0.25">
      <c r="A39" s="3">
        <v>43132</v>
      </c>
      <c r="B39" s="1">
        <v>2018</v>
      </c>
      <c r="C39" s="1">
        <v>2</v>
      </c>
      <c r="D39" s="272">
        <v>-2.5891369047619053</v>
      </c>
      <c r="E39" s="272">
        <v>632.49583333333328</v>
      </c>
      <c r="F39" s="272">
        <v>0</v>
      </c>
      <c r="G39" s="272">
        <v>576.49583333333317</v>
      </c>
      <c r="H39" s="272">
        <v>0</v>
      </c>
      <c r="I39" s="272">
        <v>520.49583333333328</v>
      </c>
      <c r="J39" s="272">
        <v>0</v>
      </c>
      <c r="K39" s="272">
        <v>464.49583333333334</v>
      </c>
      <c r="L39" s="272">
        <v>0</v>
      </c>
      <c r="M39" s="272">
        <v>408.49583333333334</v>
      </c>
      <c r="N39" s="272">
        <v>0</v>
      </c>
      <c r="O39" s="272">
        <v>352.49583333333334</v>
      </c>
      <c r="P39" s="272">
        <v>0</v>
      </c>
      <c r="Q39" s="272">
        <v>296.49583333333334</v>
      </c>
      <c r="R39" s="272">
        <v>0</v>
      </c>
      <c r="Y39" s="1" t="s">
        <v>168</v>
      </c>
      <c r="Z39" s="1" t="s">
        <v>142</v>
      </c>
      <c r="AA39" s="423">
        <f t="shared" ca="1" si="70"/>
        <v>66.09717382617383</v>
      </c>
      <c r="AB39" s="423">
        <f t="shared" ca="1" si="71"/>
        <v>20.517524703557307</v>
      </c>
      <c r="AN39" s="1" t="s">
        <v>168</v>
      </c>
      <c r="AO39" s="1" t="s">
        <v>142</v>
      </c>
      <c r="AP39" s="423">
        <f t="shared" ca="1" si="72"/>
        <v>32.520923826173821</v>
      </c>
      <c r="AQ39" s="423">
        <f t="shared" ca="1" si="73"/>
        <v>46.941274703557312</v>
      </c>
      <c r="AU39" s="423"/>
      <c r="AV39" s="423"/>
      <c r="BB39" s="1" t="s">
        <v>168</v>
      </c>
      <c r="BC39" s="1" t="s">
        <v>142</v>
      </c>
      <c r="BD39" s="423">
        <f t="shared" ca="1" si="74"/>
        <v>11.89069871794872</v>
      </c>
      <c r="BE39" s="423">
        <f t="shared" ca="1" si="75"/>
        <v>86.311049595332207</v>
      </c>
      <c r="BI39" s="423"/>
      <c r="BJ39" s="423"/>
      <c r="BP39" s="1" t="s">
        <v>168</v>
      </c>
      <c r="BQ39" s="1" t="s">
        <v>142</v>
      </c>
      <c r="BR39" s="423">
        <f t="shared" ca="1" si="76"/>
        <v>3.2341666666666669</v>
      </c>
      <c r="BS39" s="423">
        <f t="shared" ca="1" si="77"/>
        <v>137.65451754405018</v>
      </c>
      <c r="BW39" s="423"/>
      <c r="BX39" s="423"/>
      <c r="CD39" s="1" t="s">
        <v>168</v>
      </c>
      <c r="CE39" s="1" t="s">
        <v>142</v>
      </c>
      <c r="CF39" s="423">
        <f t="shared" ca="1" si="78"/>
        <v>0.5225000000000003</v>
      </c>
      <c r="CG39" s="423">
        <f t="shared" ca="1" si="79"/>
        <v>194.94285087738348</v>
      </c>
      <c r="CK39" s="423"/>
      <c r="CL39" s="423"/>
      <c r="CR39" s="1" t="s">
        <v>168</v>
      </c>
      <c r="CS39" s="1" t="s">
        <v>142</v>
      </c>
      <c r="CT39" s="423">
        <f t="shared" ca="1" si="80"/>
        <v>9.7916666666666957E-2</v>
      </c>
      <c r="CU39" s="423">
        <f t="shared" ca="1" si="81"/>
        <v>254.51826754405016</v>
      </c>
      <c r="CY39" s="423"/>
      <c r="CZ39" s="423"/>
      <c r="DF39" s="1" t="s">
        <v>168</v>
      </c>
      <c r="DG39" s="1" t="s">
        <v>142</v>
      </c>
      <c r="DH39" s="423">
        <f t="shared" ca="1" si="82"/>
        <v>0</v>
      </c>
      <c r="DI39" s="423">
        <f t="shared" ca="1" si="83"/>
        <v>314.42035087738344</v>
      </c>
      <c r="DP39" s="18">
        <f>'Monthly Data'!F39</f>
        <v>42254490.640547559</v>
      </c>
      <c r="DQ39" s="18">
        <f>'Monthly Data'!J39</f>
        <v>11791318.027232353</v>
      </c>
      <c r="DR39" s="18">
        <f>'Monthly Data'!N39</f>
        <v>27039739.170188677</v>
      </c>
      <c r="DS39" s="4">
        <f>'Monthly Data'!S39</f>
        <v>6399514.7034799419</v>
      </c>
      <c r="DT39" s="4">
        <f>'Monthly Data'!V39</f>
        <v>3368081.2940163556</v>
      </c>
      <c r="DU39" s="18">
        <f t="shared" si="7"/>
        <v>44256879.502015151</v>
      </c>
      <c r="DV39" s="18">
        <f t="shared" si="8"/>
        <v>11556076.038733494</v>
      </c>
      <c r="DW39" s="18">
        <f t="shared" si="9"/>
        <v>29888862.365916468</v>
      </c>
      <c r="DX39" s="18">
        <f t="shared" si="10"/>
        <v>6859830.8495030403</v>
      </c>
      <c r="DY39" s="18">
        <f t="shared" si="11"/>
        <v>3183514.0461070719</v>
      </c>
      <c r="EK39" s="1" t="s">
        <v>58</v>
      </c>
      <c r="EL39" s="1">
        <v>13438.0909654197</v>
      </c>
      <c r="EM39" s="1">
        <v>1135.19337700035</v>
      </c>
      <c r="EN39" s="1">
        <v>11.8377108585047</v>
      </c>
      <c r="EO39" s="283">
        <v>1.1078031430678501E-21</v>
      </c>
      <c r="ER39" s="24">
        <f>'Monthly Data'!F39/'Monthly Data'!G39/'Monthly Data'!CD39</f>
        <v>28.393553057407047</v>
      </c>
      <c r="ES39" s="268">
        <f>'Monthly Data'!J39/'Monthly Data'!K39/'Monthly Data'!CD39</f>
        <v>100.02814749942614</v>
      </c>
      <c r="ET39" s="24">
        <f>'Monthly Data'!N39/'Monthly Data'!P39/'Monthly Data'!CD39</f>
        <v>1853.5604037694459</v>
      </c>
      <c r="EU39" s="24">
        <f>'Monthly Data'!Q39/'Monthly Data'!U39/'Monthly Data'!CD39</f>
        <v>17999.914410450521</v>
      </c>
      <c r="EV39" s="24">
        <f>'Monthly Data'!V39/'Monthly Data'!Z39/'Monthly Data'!CD39</f>
        <v>120288.61764344128</v>
      </c>
      <c r="EW39" s="24"/>
      <c r="FG39" s="24"/>
    </row>
    <row r="40" spans="1:163" x14ac:dyDescent="0.25">
      <c r="A40" s="3">
        <v>43160</v>
      </c>
      <c r="B40" s="1">
        <v>2018</v>
      </c>
      <c r="C40" s="1">
        <v>3</v>
      </c>
      <c r="D40" s="272">
        <v>-0.29932795698924713</v>
      </c>
      <c r="E40" s="272">
        <v>629.27916666666681</v>
      </c>
      <c r="F40" s="272">
        <v>0</v>
      </c>
      <c r="G40" s="272">
        <v>567.2791666666667</v>
      </c>
      <c r="H40" s="272">
        <v>0</v>
      </c>
      <c r="I40" s="272">
        <v>505.2791666666667</v>
      </c>
      <c r="J40" s="272">
        <v>0</v>
      </c>
      <c r="K40" s="272">
        <v>443.2791666666667</v>
      </c>
      <c r="L40" s="272">
        <v>0</v>
      </c>
      <c r="M40" s="272">
        <v>381.27916666666664</v>
      </c>
      <c r="N40" s="272">
        <v>0</v>
      </c>
      <c r="O40" s="272">
        <v>319.2791666666667</v>
      </c>
      <c r="P40" s="272">
        <v>0</v>
      </c>
      <c r="Q40" s="272">
        <v>257.2791666666667</v>
      </c>
      <c r="R40" s="272">
        <v>0</v>
      </c>
      <c r="Y40" s="1" t="s">
        <v>168</v>
      </c>
      <c r="Z40" s="1" t="s">
        <v>143</v>
      </c>
      <c r="AA40" s="423">
        <f t="shared" ca="1" si="70"/>
        <v>10.249063146997932</v>
      </c>
      <c r="AB40" s="423">
        <f t="shared" ca="1" si="71"/>
        <v>60.196441734276391</v>
      </c>
      <c r="AN40" s="1" t="s">
        <v>168</v>
      </c>
      <c r="AO40" s="1" t="s">
        <v>143</v>
      </c>
      <c r="AP40" s="423">
        <f t="shared" ca="1" si="72"/>
        <v>1.6179166666666653</v>
      </c>
      <c r="AQ40" s="423">
        <f t="shared" ca="1" si="73"/>
        <v>113.56529525394512</v>
      </c>
      <c r="AU40" s="423"/>
      <c r="AV40" s="423"/>
      <c r="BB40" s="1" t="s">
        <v>168</v>
      </c>
      <c r="BC40" s="1" t="s">
        <v>143</v>
      </c>
      <c r="BD40" s="423">
        <f t="shared" ca="1" si="74"/>
        <v>7.4583333333333002E-2</v>
      </c>
      <c r="BE40" s="423">
        <f t="shared" ca="1" si="75"/>
        <v>174.0219619206118</v>
      </c>
      <c r="BI40" s="423"/>
      <c r="BJ40" s="423"/>
      <c r="BP40" s="1" t="s">
        <v>168</v>
      </c>
      <c r="BQ40" s="1" t="s">
        <v>143</v>
      </c>
      <c r="BR40" s="423">
        <f t="shared" ca="1" si="76"/>
        <v>0</v>
      </c>
      <c r="BS40" s="423">
        <f t="shared" ca="1" si="77"/>
        <v>235.94737858727848</v>
      </c>
      <c r="BW40" s="423"/>
      <c r="BX40" s="423"/>
      <c r="CD40" s="1" t="s">
        <v>168</v>
      </c>
      <c r="CE40" s="1" t="s">
        <v>143</v>
      </c>
      <c r="CF40" s="423">
        <f t="shared" ca="1" si="78"/>
        <v>0</v>
      </c>
      <c r="CG40" s="423">
        <f t="shared" ca="1" si="79"/>
        <v>297.94737858727848</v>
      </c>
      <c r="CK40" s="423"/>
      <c r="CL40" s="423"/>
      <c r="CR40" s="1" t="s">
        <v>168</v>
      </c>
      <c r="CS40" s="1" t="s">
        <v>143</v>
      </c>
      <c r="CT40" s="423">
        <f t="shared" ca="1" si="80"/>
        <v>0</v>
      </c>
      <c r="CU40" s="423">
        <f t="shared" ca="1" si="81"/>
        <v>359.94737858727854</v>
      </c>
      <c r="CY40" s="423"/>
      <c r="CZ40" s="423"/>
      <c r="DF40" s="1" t="s">
        <v>168</v>
      </c>
      <c r="DG40" s="1" t="s">
        <v>143</v>
      </c>
      <c r="DH40" s="423">
        <f t="shared" ca="1" si="82"/>
        <v>0</v>
      </c>
      <c r="DI40" s="423">
        <f t="shared" ca="1" si="83"/>
        <v>421.94737858727848</v>
      </c>
      <c r="DP40" s="18">
        <f>'Monthly Data'!F40</f>
        <v>43432566.137043901</v>
      </c>
      <c r="DQ40" s="18">
        <f>'Monthly Data'!J40</f>
        <v>12122391.504287651</v>
      </c>
      <c r="DR40" s="18">
        <f>'Monthly Data'!N40</f>
        <v>28989337.312387191</v>
      </c>
      <c r="DS40" s="4">
        <f>'Monthly Data'!S40</f>
        <v>6880257.4649304906</v>
      </c>
      <c r="DT40" s="4">
        <f>'Monthly Data'!V40</f>
        <v>3716883.3500913847</v>
      </c>
      <c r="DU40" s="18">
        <f t="shared" si="7"/>
        <v>43601654.685959131</v>
      </c>
      <c r="DV40" s="18">
        <f t="shared" si="8"/>
        <v>11470971.58285653</v>
      </c>
      <c r="DW40" s="18">
        <f t="shared" si="9"/>
        <v>29223217.509047929</v>
      </c>
      <c r="DX40" s="18">
        <f t="shared" si="10"/>
        <v>6855130.4653817723</v>
      </c>
      <c r="DY40" s="18">
        <f t="shared" si="11"/>
        <v>3177691.6317883343</v>
      </c>
      <c r="ER40" s="24">
        <f>'Monthly Data'!F40/'Monthly Data'!G40/'Monthly Data'!CD40</f>
        <v>26.299448511437376</v>
      </c>
      <c r="ES40" s="268">
        <f>'Monthly Data'!J40/'Monthly Data'!K40/'Monthly Data'!CD40</f>
        <v>92.774587718881492</v>
      </c>
      <c r="ET40" s="24">
        <f>'Monthly Data'!N40/'Monthly Data'!P40/'Monthly Data'!CD40</f>
        <v>1788.0304269652249</v>
      </c>
      <c r="EU40" s="24">
        <f>'Monthly Data'!Q40/'Monthly Data'!U40/'Monthly Data'!CD40</f>
        <v>17667.758898406126</v>
      </c>
      <c r="EV40" s="24">
        <f>'Monthly Data'!V40/'Monthly Data'!Z40/'Monthly Data'!CD40</f>
        <v>119899.46290617371</v>
      </c>
      <c r="EW40" s="24"/>
      <c r="FG40" s="24"/>
    </row>
    <row r="41" spans="1:163" x14ac:dyDescent="0.25">
      <c r="A41" s="3">
        <v>43191</v>
      </c>
      <c r="B41" s="1">
        <v>2018</v>
      </c>
      <c r="C41" s="1">
        <v>4</v>
      </c>
      <c r="D41" s="272">
        <v>2.9161111111111113</v>
      </c>
      <c r="E41" s="272">
        <v>512.51666666666677</v>
      </c>
      <c r="F41" s="272">
        <v>0</v>
      </c>
      <c r="G41" s="272">
        <v>452.51666666666677</v>
      </c>
      <c r="H41" s="272">
        <v>0</v>
      </c>
      <c r="I41" s="272">
        <v>392.51666666666677</v>
      </c>
      <c r="J41" s="272">
        <v>0</v>
      </c>
      <c r="K41" s="272">
        <v>332.51666666666671</v>
      </c>
      <c r="L41" s="272">
        <v>0</v>
      </c>
      <c r="M41" s="272">
        <v>272.51666666666665</v>
      </c>
      <c r="N41" s="272">
        <v>0</v>
      </c>
      <c r="O41" s="272">
        <v>212.57916666666659</v>
      </c>
      <c r="P41" s="272">
        <v>6.2499999999998224E-2</v>
      </c>
      <c r="Q41" s="272">
        <v>158.6666666666666</v>
      </c>
      <c r="R41" s="272">
        <v>6.15</v>
      </c>
      <c r="Y41" s="1" t="s">
        <v>168</v>
      </c>
      <c r="Z41" s="1" t="s">
        <v>144</v>
      </c>
      <c r="AA41" s="423">
        <f t="shared" ca="1" si="70"/>
        <v>21.194927536231887</v>
      </c>
      <c r="AB41" s="423">
        <f t="shared" ca="1" si="71"/>
        <v>46.16051548089591</v>
      </c>
      <c r="AN41" s="1" t="s">
        <v>168</v>
      </c>
      <c r="AO41" s="1" t="s">
        <v>144</v>
      </c>
      <c r="AP41" s="423">
        <f t="shared" ca="1" si="72"/>
        <v>5.6499999999999977</v>
      </c>
      <c r="AQ41" s="423">
        <f t="shared" ca="1" si="73"/>
        <v>92.615587944664043</v>
      </c>
      <c r="AU41" s="423"/>
      <c r="AV41" s="423"/>
      <c r="BB41" s="1" t="s">
        <v>168</v>
      </c>
      <c r="BC41" s="1" t="s">
        <v>144</v>
      </c>
      <c r="BD41" s="423">
        <f t="shared" ca="1" si="74"/>
        <v>0.75041666666666718</v>
      </c>
      <c r="BE41" s="423">
        <f t="shared" ca="1" si="75"/>
        <v>149.7160046113307</v>
      </c>
      <c r="BI41" s="423"/>
      <c r="BJ41" s="423"/>
      <c r="BP41" s="1" t="s">
        <v>168</v>
      </c>
      <c r="BQ41" s="1" t="s">
        <v>144</v>
      </c>
      <c r="BR41" s="423">
        <f t="shared" ca="1" si="76"/>
        <v>0</v>
      </c>
      <c r="BS41" s="423">
        <f t="shared" ca="1" si="77"/>
        <v>210.96558794466404</v>
      </c>
      <c r="BW41" s="423"/>
      <c r="BX41" s="423"/>
      <c r="CD41" s="1" t="s">
        <v>168</v>
      </c>
      <c r="CE41" s="1" t="s">
        <v>144</v>
      </c>
      <c r="CF41" s="423">
        <f t="shared" ca="1" si="78"/>
        <v>0</v>
      </c>
      <c r="CG41" s="423">
        <f t="shared" ca="1" si="79"/>
        <v>272.96558794466404</v>
      </c>
      <c r="CK41" s="423"/>
      <c r="CL41" s="423"/>
      <c r="CR41" s="1" t="s">
        <v>168</v>
      </c>
      <c r="CS41" s="1" t="s">
        <v>144</v>
      </c>
      <c r="CT41" s="423">
        <f t="shared" ca="1" si="80"/>
        <v>0</v>
      </c>
      <c r="CU41" s="423">
        <f t="shared" ca="1" si="81"/>
        <v>334.96558794466404</v>
      </c>
      <c r="CY41" s="423"/>
      <c r="CZ41" s="423"/>
      <c r="DF41" s="1" t="s">
        <v>168</v>
      </c>
      <c r="DG41" s="1" t="s">
        <v>144</v>
      </c>
      <c r="DH41" s="423">
        <f t="shared" ca="1" si="82"/>
        <v>0</v>
      </c>
      <c r="DI41" s="423">
        <f t="shared" ca="1" si="83"/>
        <v>396.96558794466398</v>
      </c>
      <c r="DP41" s="18">
        <f>'Monthly Data'!F41</f>
        <v>40741485.304550432</v>
      </c>
      <c r="DQ41" s="18">
        <f>'Monthly Data'!J41</f>
        <v>11217887.058367977</v>
      </c>
      <c r="DR41" s="18">
        <f>'Monthly Data'!N41</f>
        <v>27292635.35976962</v>
      </c>
      <c r="DS41" s="4">
        <f>'Monthly Data'!S41</f>
        <v>7045665.0089409975</v>
      </c>
      <c r="DT41" s="4">
        <f>'Monthly Data'!V41</f>
        <v>3398029.7079421505</v>
      </c>
      <c r="DU41" s="18">
        <f t="shared" si="7"/>
        <v>40181025.99679628</v>
      </c>
      <c r="DV41" s="18">
        <f t="shared" si="8"/>
        <v>10840308.414894242</v>
      </c>
      <c r="DW41" s="18">
        <f t="shared" si="9"/>
        <v>27085004.576949392</v>
      </c>
      <c r="DX41" s="18">
        <f t="shared" si="10"/>
        <v>6836346.9187318254</v>
      </c>
      <c r="DY41" s="18">
        <f t="shared" si="11"/>
        <v>3154424.2587078065</v>
      </c>
      <c r="EK41" s="1" t="s">
        <v>153</v>
      </c>
      <c r="ER41" s="24">
        <f>'Monthly Data'!F41/'Monthly Data'!G41/'Monthly Data'!CD41</f>
        <v>25.413554215196697</v>
      </c>
      <c r="ES41" s="268">
        <f>'Monthly Data'!J41/'Monthly Data'!K41/'Monthly Data'!CD41</f>
        <v>88.650917167440937</v>
      </c>
      <c r="ET41" s="24">
        <f>'Monthly Data'!N41/'Monthly Data'!P41/'Monthly Data'!CD41</f>
        <v>1739.492374746311</v>
      </c>
      <c r="EU41" s="24">
        <f>'Monthly Data'!Q41/'Monthly Data'!U41/'Monthly Data'!CD41</f>
        <v>18757.887008649013</v>
      </c>
      <c r="EV41" s="24">
        <f>'Monthly Data'!V41/'Monthly Data'!Z41/'Monthly Data'!CD41</f>
        <v>113267.65693140501</v>
      </c>
      <c r="EW41" s="24"/>
      <c r="FG41" s="24"/>
    </row>
    <row r="42" spans="1:163" x14ac:dyDescent="0.25">
      <c r="A42" s="3">
        <v>43221</v>
      </c>
      <c r="B42" s="1">
        <v>2018</v>
      </c>
      <c r="C42" s="1">
        <v>5</v>
      </c>
      <c r="D42" s="272">
        <v>15.888323907275522</v>
      </c>
      <c r="E42" s="272">
        <v>140.84469696969697</v>
      </c>
      <c r="F42" s="272">
        <v>13.3827380952381</v>
      </c>
      <c r="G42" s="272">
        <v>95.407196969696969</v>
      </c>
      <c r="H42" s="272">
        <v>29.9452380952381</v>
      </c>
      <c r="I42" s="272">
        <v>53.462500000000013</v>
      </c>
      <c r="J42" s="272">
        <v>50.000541125541133</v>
      </c>
      <c r="K42" s="272">
        <v>22.062500000000014</v>
      </c>
      <c r="L42" s="272">
        <v>80.600541125541127</v>
      </c>
      <c r="M42" s="272">
        <v>6.9291666666666698</v>
      </c>
      <c r="N42" s="272">
        <v>127.46720779220779</v>
      </c>
      <c r="O42" s="272">
        <v>2.7874999999999988</v>
      </c>
      <c r="P42" s="272">
        <v>185.32554112554109</v>
      </c>
      <c r="Q42" s="272">
        <v>0.50416666666666554</v>
      </c>
      <c r="R42" s="272">
        <v>245.04220779220779</v>
      </c>
      <c r="Y42" s="1" t="s">
        <v>168</v>
      </c>
      <c r="Z42" s="1" t="s">
        <v>174</v>
      </c>
      <c r="AA42" s="423">
        <f t="shared" ca="1" si="70"/>
        <v>96.735690993788822</v>
      </c>
      <c r="AB42" s="423">
        <f t="shared" ca="1" si="71"/>
        <v>12.738333333333333</v>
      </c>
      <c r="AN42" s="1" t="s">
        <v>168</v>
      </c>
      <c r="AO42" s="1" t="s">
        <v>174</v>
      </c>
      <c r="AP42" s="423">
        <f t="shared" ca="1" si="72"/>
        <v>54.959440993788824</v>
      </c>
      <c r="AQ42" s="423">
        <f t="shared" ca="1" si="73"/>
        <v>30.962083333333332</v>
      </c>
      <c r="AU42" s="423"/>
      <c r="AV42" s="423"/>
      <c r="BB42" s="1" t="s">
        <v>168</v>
      </c>
      <c r="BC42" s="1" t="s">
        <v>174</v>
      </c>
      <c r="BD42" s="423">
        <f t="shared" ca="1" si="74"/>
        <v>26.342536231884061</v>
      </c>
      <c r="BE42" s="423">
        <f t="shared" ca="1" si="75"/>
        <v>62.345178571428576</v>
      </c>
      <c r="BI42" s="423"/>
      <c r="BJ42" s="423"/>
      <c r="BP42" s="1" t="s">
        <v>168</v>
      </c>
      <c r="BQ42" s="1" t="s">
        <v>174</v>
      </c>
      <c r="BR42" s="423">
        <f t="shared" ca="1" si="76"/>
        <v>10.413369565217392</v>
      </c>
      <c r="BS42" s="423">
        <f t="shared" ca="1" si="77"/>
        <v>106.4160119047619</v>
      </c>
      <c r="BW42" s="423"/>
      <c r="BX42" s="423"/>
      <c r="CD42" s="1" t="s">
        <v>168</v>
      </c>
      <c r="CE42" s="1" t="s">
        <v>174</v>
      </c>
      <c r="CF42" s="423">
        <f t="shared" ca="1" si="78"/>
        <v>2.6674999999999995</v>
      </c>
      <c r="CG42" s="423">
        <f t="shared" ca="1" si="79"/>
        <v>158.67014233954447</v>
      </c>
      <c r="CK42" s="423"/>
      <c r="CL42" s="423"/>
      <c r="CR42" s="1" t="s">
        <v>168</v>
      </c>
      <c r="CS42" s="1" t="s">
        <v>174</v>
      </c>
      <c r="CT42" s="423">
        <f t="shared" ca="1" si="80"/>
        <v>0.57166666666666666</v>
      </c>
      <c r="CU42" s="423">
        <f t="shared" ca="1" si="81"/>
        <v>216.57430900621117</v>
      </c>
      <c r="CY42" s="423"/>
      <c r="CZ42" s="423"/>
      <c r="DF42" s="1" t="s">
        <v>168</v>
      </c>
      <c r="DG42" s="1" t="s">
        <v>174</v>
      </c>
      <c r="DH42" s="423">
        <f t="shared" ca="1" si="82"/>
        <v>0</v>
      </c>
      <c r="DI42" s="423">
        <f t="shared" ca="1" si="83"/>
        <v>276.00264233954448</v>
      </c>
      <c r="DP42" s="18">
        <f>'Monthly Data'!F42</f>
        <v>32656333.018106893</v>
      </c>
      <c r="DQ42" s="18">
        <f>'Monthly Data'!J42</f>
        <v>10536315.185701128</v>
      </c>
      <c r="DR42" s="18">
        <f>'Monthly Data'!N42</f>
        <v>23108874.049163755</v>
      </c>
      <c r="DS42" s="4">
        <f>'Monthly Data'!S42</f>
        <v>7498547.6286311271</v>
      </c>
      <c r="DT42" s="4">
        <f>'Monthly Data'!V42</f>
        <v>3765155.0246874741</v>
      </c>
      <c r="DU42" s="18">
        <f t="shared" si="7"/>
        <v>39557531.258676767</v>
      </c>
      <c r="DV42" s="18">
        <f t="shared" si="8"/>
        <v>10027148.466792278</v>
      </c>
      <c r="DW42" s="18">
        <f t="shared" si="9"/>
        <v>24871977.739820443</v>
      </c>
      <c r="DX42" s="18">
        <f t="shared" si="10"/>
        <v>7366588.1707998589</v>
      </c>
      <c r="DY42" s="18">
        <f t="shared" si="11"/>
        <v>3209492.0632526758</v>
      </c>
      <c r="EK42" s="1" t="s">
        <v>154</v>
      </c>
      <c r="EL42" s="1">
        <v>43475084324851</v>
      </c>
      <c r="EM42" s="1" t="s">
        <v>155</v>
      </c>
      <c r="EN42" s="1">
        <v>612197.03502793203</v>
      </c>
      <c r="ER42" s="24">
        <f>'Monthly Data'!F42/'Monthly Data'!G42/'Monthly Data'!CD42</f>
        <v>19.633766305555724</v>
      </c>
      <c r="ES42" s="268">
        <f>'Monthly Data'!J42/'Monthly Data'!K42/'Monthly Data'!CD42</f>
        <v>81.662934892507693</v>
      </c>
      <c r="ET42" s="24">
        <f>'Monthly Data'!N42/'Monthly Data'!P42/'Monthly Data'!CD42</f>
        <v>1430.8014394875709</v>
      </c>
      <c r="EU42" s="24">
        <f>'Monthly Data'!Q42/'Monthly Data'!U42/'Monthly Data'!CD42</f>
        <v>19480.864272819603</v>
      </c>
      <c r="EV42" s="24">
        <f>'Monthly Data'!V42/'Monthly Data'!Z42/'Monthly Data'!CD42</f>
        <v>121456.61369959594</v>
      </c>
      <c r="EW42" s="24"/>
      <c r="FG42" s="24"/>
    </row>
    <row r="43" spans="1:163" x14ac:dyDescent="0.25">
      <c r="A43" s="3">
        <v>43252</v>
      </c>
      <c r="B43" s="1">
        <v>2018</v>
      </c>
      <c r="C43" s="1">
        <v>6</v>
      </c>
      <c r="D43" s="272">
        <v>18.606464646464644</v>
      </c>
      <c r="E43" s="272">
        <v>63.468560606060585</v>
      </c>
      <c r="F43" s="272">
        <v>21.662499999999998</v>
      </c>
      <c r="G43" s="272">
        <v>23.060227272727261</v>
      </c>
      <c r="H43" s="272">
        <v>41.254166666666663</v>
      </c>
      <c r="I43" s="272">
        <v>7.645833333333325</v>
      </c>
      <c r="J43" s="272">
        <v>85.839772727272717</v>
      </c>
      <c r="K43" s="272">
        <v>3.3208333333333275</v>
      </c>
      <c r="L43" s="272">
        <v>141.51477272727271</v>
      </c>
      <c r="M43" s="272">
        <v>0</v>
      </c>
      <c r="N43" s="272">
        <v>198.19393939393944</v>
      </c>
      <c r="O43" s="272">
        <v>0</v>
      </c>
      <c r="P43" s="272">
        <v>258.19393939393944</v>
      </c>
      <c r="Q43" s="272">
        <v>0</v>
      </c>
      <c r="R43" s="272">
        <v>318.19393939393939</v>
      </c>
      <c r="Y43" s="1" t="s">
        <v>168</v>
      </c>
      <c r="Z43" s="1" t="s">
        <v>175</v>
      </c>
      <c r="AA43" s="423">
        <f t="shared" ca="1" si="70"/>
        <v>298.21097826086958</v>
      </c>
      <c r="AB43" s="423">
        <f t="shared" ca="1" si="71"/>
        <v>1.666666666666572E-3</v>
      </c>
      <c r="AN43" s="1" t="s">
        <v>168</v>
      </c>
      <c r="AO43" s="1" t="s">
        <v>175</v>
      </c>
      <c r="AP43" s="423">
        <f t="shared" ca="1" si="72"/>
        <v>237.89681159420289</v>
      </c>
      <c r="AQ43" s="423">
        <f t="shared" ca="1" si="73"/>
        <v>1.6875000000000011</v>
      </c>
      <c r="AU43" s="423"/>
      <c r="AV43" s="423"/>
      <c r="BB43" s="1" t="s">
        <v>168</v>
      </c>
      <c r="BC43" s="1" t="s">
        <v>175</v>
      </c>
      <c r="BD43" s="423">
        <f t="shared" ca="1" si="74"/>
        <v>181.36347826086953</v>
      </c>
      <c r="BE43" s="423">
        <f t="shared" ca="1" si="75"/>
        <v>7.1541666666666703</v>
      </c>
      <c r="BI43" s="423"/>
      <c r="BJ43" s="423"/>
      <c r="BP43" s="1" t="s">
        <v>168</v>
      </c>
      <c r="BQ43" s="1" t="s">
        <v>175</v>
      </c>
      <c r="BR43" s="423">
        <f t="shared" ca="1" si="76"/>
        <v>130.19639492753623</v>
      </c>
      <c r="BS43" s="423">
        <f t="shared" ca="1" si="77"/>
        <v>17.987083333333334</v>
      </c>
      <c r="BW43" s="423"/>
      <c r="BX43" s="423"/>
      <c r="CD43" s="1" t="s">
        <v>168</v>
      </c>
      <c r="CE43" s="1" t="s">
        <v>175</v>
      </c>
      <c r="CF43" s="423">
        <f t="shared" ca="1" si="78"/>
        <v>85.537644927536221</v>
      </c>
      <c r="CG43" s="423">
        <f t="shared" ca="1" si="79"/>
        <v>35.32833333333334</v>
      </c>
      <c r="CK43" s="423"/>
      <c r="CL43" s="423"/>
      <c r="CR43" s="1" t="s">
        <v>168</v>
      </c>
      <c r="CS43" s="1" t="s">
        <v>175</v>
      </c>
      <c r="CT43" s="423">
        <f t="shared" ca="1" si="80"/>
        <v>50.475978260869567</v>
      </c>
      <c r="CU43" s="423">
        <f t="shared" ca="1" si="81"/>
        <v>62.266666666666673</v>
      </c>
      <c r="CY43" s="423"/>
      <c r="CZ43" s="423"/>
      <c r="DF43" s="1" t="s">
        <v>168</v>
      </c>
      <c r="DG43" s="1" t="s">
        <v>175</v>
      </c>
      <c r="DH43" s="423">
        <f t="shared" ca="1" si="82"/>
        <v>24.76139492753623</v>
      </c>
      <c r="DI43" s="423">
        <f t="shared" ca="1" si="83"/>
        <v>98.552083333333343</v>
      </c>
      <c r="DP43" s="18">
        <f>'Monthly Data'!F43</f>
        <v>39427584.09957619</v>
      </c>
      <c r="DQ43" s="18">
        <f>'Monthly Data'!J43</f>
        <v>10734643.372216791</v>
      </c>
      <c r="DR43" s="18">
        <f>'Monthly Data'!N43</f>
        <v>26998818.891324371</v>
      </c>
      <c r="DS43" s="4">
        <f>'Monthly Data'!S43</f>
        <v>7218892.5771825379</v>
      </c>
      <c r="DT43" s="4">
        <f>'Monthly Data'!V43</f>
        <v>3542268.7592087607</v>
      </c>
      <c r="DU43" s="18">
        <f t="shared" si="7"/>
        <v>43952593.101550728</v>
      </c>
      <c r="DV43" s="18">
        <f t="shared" si="8"/>
        <v>10589473.943704931</v>
      </c>
      <c r="DW43" s="18">
        <f t="shared" si="9"/>
        <v>25920898.136394382</v>
      </c>
      <c r="DX43" s="18">
        <f t="shared" si="10"/>
        <v>7800788.4179202877</v>
      </c>
      <c r="DY43" s="18">
        <f t="shared" si="11"/>
        <v>3292566.9301809533</v>
      </c>
      <c r="EK43" s="1" t="s">
        <v>156</v>
      </c>
      <c r="EL43" s="1">
        <v>0.69388887628277895</v>
      </c>
      <c r="EM43" s="1" t="s">
        <v>157</v>
      </c>
      <c r="EN43" s="1">
        <v>0.68861109828765399</v>
      </c>
      <c r="ER43" s="24">
        <f>'Monthly Data'!F43/'Monthly Data'!G43/'Monthly Data'!CD43</f>
        <v>24.440756575218167</v>
      </c>
      <c r="ES43" s="268">
        <f>'Monthly Data'!J43/'Monthly Data'!K43/'Monthly Data'!CD43</f>
        <v>86.014770610711466</v>
      </c>
      <c r="ET43" s="24">
        <f>'Monthly Data'!N43/'Monthly Data'!P43/'Monthly Data'!CD43</f>
        <v>1727.3716501167223</v>
      </c>
      <c r="EU43" s="24">
        <f>'Monthly Data'!Q43/'Monthly Data'!U43/'Monthly Data'!CD43</f>
        <v>17675.858472416872</v>
      </c>
      <c r="EV43" s="24">
        <f>'Monthly Data'!V43/'Monthly Data'!Z43/'Monthly Data'!CD43</f>
        <v>118075.6253069587</v>
      </c>
      <c r="EW43" s="24"/>
      <c r="FG43" s="24"/>
    </row>
    <row r="44" spans="1:163" x14ac:dyDescent="0.25">
      <c r="A44" s="3">
        <v>43282</v>
      </c>
      <c r="B44" s="1">
        <v>2018</v>
      </c>
      <c r="C44" s="1">
        <v>7</v>
      </c>
      <c r="D44" s="272">
        <v>22.270923040260342</v>
      </c>
      <c r="E44" s="272">
        <v>4.9668995859213254</v>
      </c>
      <c r="F44" s="272">
        <v>75.365513833992097</v>
      </c>
      <c r="G44" s="272">
        <v>0.19999999999999574</v>
      </c>
      <c r="H44" s="272">
        <v>132.59861424807079</v>
      </c>
      <c r="I44" s="272">
        <v>0</v>
      </c>
      <c r="J44" s="272">
        <v>194.39861424807077</v>
      </c>
      <c r="K44" s="272">
        <v>0</v>
      </c>
      <c r="L44" s="272">
        <v>256.39861424807077</v>
      </c>
      <c r="M44" s="272">
        <v>0</v>
      </c>
      <c r="N44" s="272">
        <v>318.39861424807077</v>
      </c>
      <c r="O44" s="272">
        <v>0</v>
      </c>
      <c r="P44" s="272">
        <v>380.39861424807083</v>
      </c>
      <c r="Q44" s="272">
        <v>0</v>
      </c>
      <c r="R44" s="272">
        <v>442.39861424807088</v>
      </c>
      <c r="Y44" s="1" t="s">
        <v>168</v>
      </c>
      <c r="Z44" s="1" t="s">
        <v>176</v>
      </c>
      <c r="AA44" s="423">
        <f t="shared" ca="1" si="70"/>
        <v>486.62991389045737</v>
      </c>
      <c r="AB44" s="423">
        <f t="shared" ca="1" si="71"/>
        <v>0</v>
      </c>
      <c r="AN44" s="1" t="s">
        <v>168</v>
      </c>
      <c r="AO44" s="1" t="s">
        <v>176</v>
      </c>
      <c r="AP44" s="423">
        <f t="shared" ca="1" si="72"/>
        <v>426.62991389045737</v>
      </c>
      <c r="AQ44" s="423">
        <f t="shared" ca="1" si="73"/>
        <v>0</v>
      </c>
      <c r="AU44" s="423"/>
      <c r="AV44" s="423"/>
      <c r="BB44" s="1" t="s">
        <v>168</v>
      </c>
      <c r="BC44" s="1" t="s">
        <v>176</v>
      </c>
      <c r="BD44" s="423">
        <f t="shared" ca="1" si="74"/>
        <v>366.78033055712399</v>
      </c>
      <c r="BE44" s="423">
        <f t="shared" ca="1" si="75"/>
        <v>0.15041666666666628</v>
      </c>
      <c r="BI44" s="423"/>
      <c r="BJ44" s="423"/>
      <c r="BP44" s="1" t="s">
        <v>168</v>
      </c>
      <c r="BQ44" s="1" t="s">
        <v>176</v>
      </c>
      <c r="BR44" s="423">
        <f t="shared" ca="1" si="76"/>
        <v>307.43824722379077</v>
      </c>
      <c r="BS44" s="423">
        <f t="shared" ca="1" si="77"/>
        <v>0.8083333333333329</v>
      </c>
      <c r="BW44" s="423"/>
      <c r="BX44" s="423"/>
      <c r="CD44" s="1" t="s">
        <v>168</v>
      </c>
      <c r="CE44" s="1" t="s">
        <v>176</v>
      </c>
      <c r="CF44" s="423">
        <f t="shared" ca="1" si="78"/>
        <v>248.90783055712399</v>
      </c>
      <c r="CG44" s="423">
        <f t="shared" ca="1" si="79"/>
        <v>2.2779166666666657</v>
      </c>
      <c r="CK44" s="423"/>
      <c r="CL44" s="423"/>
      <c r="CR44" s="1" t="s">
        <v>168</v>
      </c>
      <c r="CS44" s="1" t="s">
        <v>176</v>
      </c>
      <c r="CT44" s="423">
        <f t="shared" ca="1" si="80"/>
        <v>192.26908055712403</v>
      </c>
      <c r="CU44" s="423">
        <f t="shared" ca="1" si="81"/>
        <v>5.6391666666666662</v>
      </c>
      <c r="CY44" s="423"/>
      <c r="CZ44" s="423"/>
      <c r="DF44" s="1" t="s">
        <v>168</v>
      </c>
      <c r="DG44" s="1" t="s">
        <v>176</v>
      </c>
      <c r="DH44" s="423">
        <f t="shared" ca="1" si="82"/>
        <v>140.02366389045739</v>
      </c>
      <c r="DI44" s="423">
        <f t="shared" ca="1" si="83"/>
        <v>13.393750000000001</v>
      </c>
      <c r="DP44" s="18">
        <f>'Monthly Data'!F44</f>
        <v>48882916.889358468</v>
      </c>
      <c r="DQ44" s="18">
        <f>'Monthly Data'!J44</f>
        <v>12267261.026286196</v>
      </c>
      <c r="DR44" s="18">
        <f>'Monthly Data'!N44</f>
        <v>29341632.11251267</v>
      </c>
      <c r="DS44" s="4">
        <f>'Monthly Data'!S44</f>
        <v>7674844.1264595538</v>
      </c>
      <c r="DT44" s="4">
        <f>'Monthly Data'!V44</f>
        <v>3944834.7222399656</v>
      </c>
      <c r="DU44" s="18">
        <f t="shared" si="7"/>
        <v>52303422.456011623</v>
      </c>
      <c r="DV44" s="18">
        <f t="shared" si="8"/>
        <v>12090531.496897731</v>
      </c>
      <c r="DW44" s="18">
        <f t="shared" si="9"/>
        <v>27798544.292591847</v>
      </c>
      <c r="DX44" s="18">
        <f t="shared" si="10"/>
        <v>8621944.1757614873</v>
      </c>
      <c r="DY44" s="18">
        <f t="shared" si="11"/>
        <v>3452041.2768929228</v>
      </c>
      <c r="EK44" s="1" t="s">
        <v>158</v>
      </c>
      <c r="EL44" s="1">
        <v>137.85002481116001</v>
      </c>
      <c r="EM44" s="1" t="s">
        <v>159</v>
      </c>
      <c r="EN44" s="283">
        <v>2.2246056419138101E-31</v>
      </c>
      <c r="ER44" s="24">
        <f>'Monthly Data'!F44/'Monthly Data'!G44/'Monthly Data'!CD44</f>
        <v>29.286412100988038</v>
      </c>
      <c r="ES44" s="268">
        <f>'Monthly Data'!J44/'Monthly Data'!K44/'Monthly Data'!CD44</f>
        <v>94.941962001472007</v>
      </c>
      <c r="ET44" s="24">
        <f>'Monthly Data'!N44/'Monthly Data'!P44/'Monthly Data'!CD44</f>
        <v>1816.7068362647929</v>
      </c>
      <c r="EU44" s="24">
        <f>'Monthly Data'!Q44/'Monthly Data'!U44/'Monthly Data'!CD44</f>
        <v>18331.31716084481</v>
      </c>
      <c r="EV44" s="24">
        <f>'Monthly Data'!V44/'Monthly Data'!Z44/'Monthly Data'!CD44</f>
        <v>127252.73297548277</v>
      </c>
      <c r="EW44" s="24"/>
      <c r="FG44" s="24"/>
    </row>
    <row r="45" spans="1:163" x14ac:dyDescent="0.25">
      <c r="A45" s="3">
        <v>43313</v>
      </c>
      <c r="B45" s="1">
        <v>2018</v>
      </c>
      <c r="C45" s="1">
        <v>8</v>
      </c>
      <c r="D45" s="272">
        <v>22.136962365591401</v>
      </c>
      <c r="E45" s="272">
        <v>7.2291666666666679</v>
      </c>
      <c r="F45" s="272">
        <v>73.474999999999994</v>
      </c>
      <c r="G45" s="272">
        <v>0.90833333333333144</v>
      </c>
      <c r="H45" s="272">
        <v>129.1541666666667</v>
      </c>
      <c r="I45" s="272">
        <v>0</v>
      </c>
      <c r="J45" s="272">
        <v>190.24583333333339</v>
      </c>
      <c r="K45" s="272">
        <v>0</v>
      </c>
      <c r="L45" s="272">
        <v>252.24583333333339</v>
      </c>
      <c r="M45" s="272">
        <v>0</v>
      </c>
      <c r="N45" s="272">
        <v>314.24583333333334</v>
      </c>
      <c r="O45" s="272">
        <v>0</v>
      </c>
      <c r="P45" s="272">
        <v>376.24583333333334</v>
      </c>
      <c r="Q45" s="272">
        <v>0</v>
      </c>
      <c r="R45" s="272">
        <v>438.24583333333322</v>
      </c>
      <c r="Y45" s="1" t="s">
        <v>168</v>
      </c>
      <c r="Z45" s="1" t="s">
        <v>177</v>
      </c>
      <c r="AA45" s="423">
        <f t="shared" ca="1" si="70"/>
        <v>639.92800724637686</v>
      </c>
      <c r="AB45" s="423">
        <f t="shared" ca="1" si="71"/>
        <v>0</v>
      </c>
      <c r="AN45" s="1" t="s">
        <v>168</v>
      </c>
      <c r="AO45" s="1" t="s">
        <v>177</v>
      </c>
      <c r="AP45" s="423">
        <f t="shared" ca="1" si="72"/>
        <v>577.92800724637686</v>
      </c>
      <c r="AQ45" s="423">
        <f t="shared" ca="1" si="73"/>
        <v>0</v>
      </c>
      <c r="AU45" s="423"/>
      <c r="AV45" s="423"/>
      <c r="BB45" s="1" t="s">
        <v>168</v>
      </c>
      <c r="BC45" s="1" t="s">
        <v>177</v>
      </c>
      <c r="BD45" s="423">
        <f t="shared" ca="1" si="74"/>
        <v>515.92800724637686</v>
      </c>
      <c r="BE45" s="423">
        <f t="shared" ca="1" si="75"/>
        <v>0</v>
      </c>
      <c r="BI45" s="423"/>
      <c r="BJ45" s="423"/>
      <c r="BP45" s="1" t="s">
        <v>168</v>
      </c>
      <c r="BQ45" s="1" t="s">
        <v>177</v>
      </c>
      <c r="BR45" s="423">
        <f t="shared" ca="1" si="76"/>
        <v>453.92800724637681</v>
      </c>
      <c r="BS45" s="423">
        <f t="shared" ca="1" si="77"/>
        <v>0</v>
      </c>
      <c r="BW45" s="423"/>
      <c r="BX45" s="423"/>
      <c r="CD45" s="1" t="s">
        <v>168</v>
      </c>
      <c r="CE45" s="1" t="s">
        <v>177</v>
      </c>
      <c r="CF45" s="423">
        <f t="shared" ca="1" si="78"/>
        <v>391.92800724637681</v>
      </c>
      <c r="CG45" s="423">
        <f t="shared" ca="1" si="79"/>
        <v>0</v>
      </c>
      <c r="CK45" s="423"/>
      <c r="CL45" s="423"/>
      <c r="CR45" s="1" t="s">
        <v>168</v>
      </c>
      <c r="CS45" s="1" t="s">
        <v>177</v>
      </c>
      <c r="CT45" s="423">
        <f t="shared" ca="1" si="80"/>
        <v>330.0559239130435</v>
      </c>
      <c r="CU45" s="423">
        <f t="shared" ca="1" si="81"/>
        <v>0.12791666666666668</v>
      </c>
      <c r="CY45" s="423"/>
      <c r="CZ45" s="423"/>
      <c r="DF45" s="1" t="s">
        <v>168</v>
      </c>
      <c r="DG45" s="1" t="s">
        <v>177</v>
      </c>
      <c r="DH45" s="423">
        <f t="shared" ca="1" si="82"/>
        <v>268.92048913043476</v>
      </c>
      <c r="DI45" s="423">
        <f t="shared" ca="1" si="83"/>
        <v>0.99248188405797111</v>
      </c>
      <c r="DP45" s="18">
        <f>'Monthly Data'!F45</f>
        <v>51351752.177842215</v>
      </c>
      <c r="DQ45" s="18">
        <f>'Monthly Data'!J45</f>
        <v>12704659.584958429</v>
      </c>
      <c r="DR45" s="18">
        <f>'Monthly Data'!N45</f>
        <v>26369450.398397464</v>
      </c>
      <c r="DS45" s="4">
        <f>'Monthly Data'!S45</f>
        <v>8559341.27840144</v>
      </c>
      <c r="DT45" s="4">
        <f>'Monthly Data'!V45</f>
        <v>4464883.9792863484</v>
      </c>
      <c r="DU45" s="18">
        <f t="shared" si="7"/>
        <v>52011378.435148835</v>
      </c>
      <c r="DV45" s="18">
        <f t="shared" si="8"/>
        <v>12034726.049206031</v>
      </c>
      <c r="DW45" s="18">
        <f t="shared" si="9"/>
        <v>27733676.157209016</v>
      </c>
      <c r="DX45" s="18">
        <f t="shared" si="10"/>
        <v>8592261.3246829715</v>
      </c>
      <c r="DY45" s="18">
        <f t="shared" si="11"/>
        <v>3446276.6539951432</v>
      </c>
      <c r="EK45" s="1" t="s">
        <v>160</v>
      </c>
      <c r="EL45" s="1">
        <v>-0.22945271652746199</v>
      </c>
      <c r="EM45" s="1" t="s">
        <v>161</v>
      </c>
      <c r="EN45" s="1">
        <v>2.4463391003958801</v>
      </c>
      <c r="ER45" s="24">
        <f>'Monthly Data'!F45/'Monthly Data'!G45/'Monthly Data'!CD45</f>
        <v>30.589406584475537</v>
      </c>
      <c r="ES45" s="268">
        <f>'Monthly Data'!J45/'Monthly Data'!K45/'Monthly Data'!CD45</f>
        <v>97.951177951014841</v>
      </c>
      <c r="ET45" s="24">
        <f>'Monthly Data'!N45/'Monthly Data'!P45/'Monthly Data'!CD45</f>
        <v>1629.5544678282947</v>
      </c>
      <c r="EU45" s="24">
        <f>'Monthly Data'!Q45/'Monthly Data'!U45/'Monthly Data'!CD45</f>
        <v>19115.971514301076</v>
      </c>
      <c r="EV45" s="24">
        <f>'Monthly Data'!V45/'Monthly Data'!Z45/'Monthly Data'!CD45</f>
        <v>144028.51546084994</v>
      </c>
      <c r="EW45" s="24"/>
      <c r="FG45" s="24"/>
    </row>
    <row r="46" spans="1:163" x14ac:dyDescent="0.25">
      <c r="A46" s="3">
        <v>43344</v>
      </c>
      <c r="B46" s="1">
        <v>2018</v>
      </c>
      <c r="C46" s="1">
        <v>9</v>
      </c>
      <c r="D46" s="272">
        <v>18.045555555555556</v>
      </c>
      <c r="E46" s="272">
        <v>92.370833333333337</v>
      </c>
      <c r="F46" s="272">
        <v>33.737500000000011</v>
      </c>
      <c r="G46" s="272">
        <v>59.1875</v>
      </c>
      <c r="H46" s="272">
        <v>60.55416666666666</v>
      </c>
      <c r="I46" s="272">
        <v>33.279166666666669</v>
      </c>
      <c r="J46" s="272">
        <v>94.645833333333329</v>
      </c>
      <c r="K46" s="272">
        <v>13.695833333333338</v>
      </c>
      <c r="L46" s="272">
        <v>135.06250000000003</v>
      </c>
      <c r="M46" s="272">
        <v>2.1166666666666636</v>
      </c>
      <c r="N46" s="272">
        <v>183.48333333333329</v>
      </c>
      <c r="O46" s="272">
        <v>0</v>
      </c>
      <c r="P46" s="272">
        <v>241.36666666666665</v>
      </c>
      <c r="Q46" s="272">
        <v>0</v>
      </c>
      <c r="R46" s="272">
        <v>301.3666666666665</v>
      </c>
      <c r="DP46" s="18">
        <f>'Monthly Data'!F46</f>
        <v>45094790.035028785</v>
      </c>
      <c r="DQ46" s="18">
        <f>'Monthly Data'!J46</f>
        <v>11179301.159690389</v>
      </c>
      <c r="DR46" s="18">
        <f>'Monthly Data'!N46</f>
        <v>25218454.832945697</v>
      </c>
      <c r="DS46" s="4">
        <f>'Monthly Data'!S46</f>
        <v>7863635.481699842</v>
      </c>
      <c r="DT46" s="4">
        <f>'Monthly Data'!V46</f>
        <v>4269800.7918802854</v>
      </c>
      <c r="DU46" s="18">
        <f t="shared" si="7"/>
        <v>43238477.261475757</v>
      </c>
      <c r="DV46" s="18">
        <f t="shared" si="8"/>
        <v>10646130.972312057</v>
      </c>
      <c r="DW46" s="18">
        <f t="shared" si="9"/>
        <v>25691112.456606548</v>
      </c>
      <c r="DX46" s="18">
        <f>$EL$75+M46*$EL$76+L46*$EL$77</f>
        <v>7755035.0321787037</v>
      </c>
      <c r="DY46" s="18">
        <f t="shared" si="11"/>
        <v>3284063.1157383649</v>
      </c>
      <c r="ER46" s="24">
        <f>'Monthly Data'!F46/'Monthly Data'!G46/'Monthly Data'!CD46</f>
        <v>27.791514926586665</v>
      </c>
      <c r="ES46" s="268">
        <f>'Monthly Data'!J46/'Monthly Data'!K46/'Monthly Data'!CD46</f>
        <v>88.283196396512579</v>
      </c>
      <c r="ET46" s="24">
        <f>'Monthly Data'!N46/'Monthly Data'!P46/'Monthly Data'!CD46</f>
        <v>1715.5411450983468</v>
      </c>
      <c r="EU46" s="24">
        <f>'Monthly Data'!Q46/'Monthly Data'!U46/'Monthly Data'!CD46</f>
        <v>17969.282328330555</v>
      </c>
      <c r="EV46" s="24">
        <f>'Monthly Data'!V46/'Monthly Data'!Z46/'Monthly Data'!CD46</f>
        <v>142326.69306267618</v>
      </c>
      <c r="EW46" s="24"/>
      <c r="FG46" s="24"/>
    </row>
    <row r="47" spans="1:163" x14ac:dyDescent="0.25">
      <c r="A47" s="3">
        <v>43374</v>
      </c>
      <c r="B47" s="1">
        <v>2018</v>
      </c>
      <c r="C47" s="1">
        <v>10</v>
      </c>
      <c r="D47" s="272">
        <v>8.2325268817204318</v>
      </c>
      <c r="E47" s="272">
        <v>364.80833333333339</v>
      </c>
      <c r="F47" s="272">
        <v>1.6666666666665719E-2</v>
      </c>
      <c r="G47" s="272">
        <v>305.10000000000002</v>
      </c>
      <c r="H47" s="272">
        <v>2.30833333333333</v>
      </c>
      <c r="I47" s="272">
        <v>248.88749999999993</v>
      </c>
      <c r="J47" s="272">
        <v>8.0958333333333314</v>
      </c>
      <c r="K47" s="272">
        <v>194.17916666666662</v>
      </c>
      <c r="L47" s="272">
        <v>15.387500000000001</v>
      </c>
      <c r="M47" s="272">
        <v>142.14999999999998</v>
      </c>
      <c r="N47" s="272">
        <v>25.358333333333334</v>
      </c>
      <c r="O47" s="272">
        <v>96.316666666666663</v>
      </c>
      <c r="P47" s="272">
        <v>41.524999999999999</v>
      </c>
      <c r="Q47" s="272">
        <v>55.56666666666667</v>
      </c>
      <c r="R47" s="272">
        <v>62.774999999999991</v>
      </c>
      <c r="DP47" s="18">
        <f>'Monthly Data'!F47</f>
        <v>34872575.812981203</v>
      </c>
      <c r="DQ47" s="18">
        <f>'Monthly Data'!J47</f>
        <v>11018001.264524272</v>
      </c>
      <c r="DR47" s="18">
        <f>'Monthly Data'!N47</f>
        <v>25367309.651391424</v>
      </c>
      <c r="DS47" s="4">
        <f>'Monthly Data'!S47</f>
        <v>7239505.6133747967</v>
      </c>
      <c r="DT47" s="4">
        <f>'Monthly Data'!V47</f>
        <v>3882440.9348609606</v>
      </c>
      <c r="DU47" s="18">
        <f t="shared" si="7"/>
        <v>37692133.908729576</v>
      </c>
      <c r="DV47" s="18">
        <f t="shared" si="8"/>
        <v>10243791.393804584</v>
      </c>
      <c r="DW47" s="18">
        <f t="shared" si="9"/>
        <v>25151271.612222776</v>
      </c>
      <c r="DX47" s="18">
        <f t="shared" si="10"/>
        <v>6923817.5841850881</v>
      </c>
      <c r="DY47" s="18">
        <f t="shared" si="11"/>
        <v>3147895.0797711597</v>
      </c>
      <c r="EK47" s="1" t="s">
        <v>162</v>
      </c>
      <c r="ER47" s="24">
        <f>'Monthly Data'!F47/'Monthly Data'!G47/'Monthly Data'!CD47</f>
        <v>20.684032663162366</v>
      </c>
      <c r="ES47" s="268">
        <f>'Monthly Data'!J47/'Monthly Data'!K47/'Monthly Data'!CD47</f>
        <v>83.864888067441058</v>
      </c>
      <c r="ET47" s="24">
        <f>'Monthly Data'!N47/'Monthly Data'!P47/'Monthly Data'!CD47</f>
        <v>1719.118301124385</v>
      </c>
      <c r="EU47" s="24">
        <f>'Monthly Data'!Q47/'Monthly Data'!U47/'Monthly Data'!CD47</f>
        <v>15840.89236776936</v>
      </c>
      <c r="EV47" s="24">
        <f>'Monthly Data'!V47/'Monthly Data'!Z47/'Monthly Data'!CD47</f>
        <v>125240.03015680518</v>
      </c>
      <c r="EW47" s="24"/>
      <c r="FG47" s="24"/>
    </row>
    <row r="48" spans="1:163" x14ac:dyDescent="0.25">
      <c r="A48" s="3">
        <v>43405</v>
      </c>
      <c r="B48" s="1">
        <v>2018</v>
      </c>
      <c r="C48" s="1">
        <v>11</v>
      </c>
      <c r="D48" s="272">
        <v>1.2158333333333335</v>
      </c>
      <c r="E48" s="272">
        <v>563.52499999999998</v>
      </c>
      <c r="F48" s="272">
        <v>0</v>
      </c>
      <c r="G48" s="272">
        <v>503.52500000000003</v>
      </c>
      <c r="H48" s="272">
        <v>0</v>
      </c>
      <c r="I48" s="272">
        <v>443.52500000000003</v>
      </c>
      <c r="J48" s="272">
        <v>0</v>
      </c>
      <c r="K48" s="272">
        <v>383.52500000000003</v>
      </c>
      <c r="L48" s="272">
        <v>0</v>
      </c>
      <c r="M48" s="272">
        <v>323.52500000000003</v>
      </c>
      <c r="N48" s="272">
        <v>0</v>
      </c>
      <c r="O48" s="272">
        <v>263.86666666666662</v>
      </c>
      <c r="P48" s="272">
        <v>0.34166666666666856</v>
      </c>
      <c r="Q48" s="272">
        <v>206.24583333333334</v>
      </c>
      <c r="R48" s="272">
        <v>2.7208333333333368</v>
      </c>
      <c r="X48" s="278"/>
      <c r="DP48" s="18">
        <f>'Monthly Data'!F48</f>
        <v>39696145.233856961</v>
      </c>
      <c r="DQ48" s="18">
        <f>'Monthly Data'!J48</f>
        <v>11411106.129039779</v>
      </c>
      <c r="DR48" s="18">
        <f>'Monthly Data'!N48</f>
        <v>28453365.92921941</v>
      </c>
      <c r="DS48" s="4">
        <f>'Monthly Data'!S48</f>
        <v>6895809.8727658689</v>
      </c>
      <c r="DT48" s="4">
        <f>'Monthly Data'!V48</f>
        <v>3615531.6010835604</v>
      </c>
      <c r="DU48" s="18">
        <f t="shared" si="7"/>
        <v>41756293.514109284</v>
      </c>
      <c r="DV48" s="18">
        <f t="shared" si="8"/>
        <v>11125590.109539859</v>
      </c>
      <c r="DW48" s="18">
        <f t="shared" si="9"/>
        <v>28112779.607455518</v>
      </c>
      <c r="DX48" s="18">
        <f t="shared" si="10"/>
        <v>6845156.1811954752</v>
      </c>
      <c r="DY48" s="18">
        <f t="shared" si="11"/>
        <v>3165336.3830326665</v>
      </c>
      <c r="EK48" s="1" t="s">
        <v>163</v>
      </c>
      <c r="EL48" s="1">
        <v>10966879.3986954</v>
      </c>
      <c r="EM48" s="1" t="s">
        <v>164</v>
      </c>
      <c r="EN48" s="1">
        <v>1096872.0015773999</v>
      </c>
      <c r="ER48" s="24">
        <f>'Monthly Data'!F48/'Monthly Data'!G48/'Monthly Data'!CD48</f>
        <v>24.337934835354719</v>
      </c>
      <c r="ES48" s="268">
        <f>'Monthly Data'!J48/'Monthly Data'!K48/'Monthly Data'!CD48</f>
        <v>90.435141298460763</v>
      </c>
      <c r="ET48" s="24">
        <f>'Monthly Data'!N48/'Monthly Data'!P48/'Monthly Data'!CD48</f>
        <v>1816.9454616359776</v>
      </c>
      <c r="EU48" s="24">
        <f>'Monthly Data'!Q48/'Monthly Data'!U48/'Monthly Data'!CD48</f>
        <v>15487.623764331545</v>
      </c>
      <c r="EV48" s="24">
        <f>'Monthly Data'!V48/'Monthly Data'!Z48/'Monthly Data'!CD48</f>
        <v>120517.72003611868</v>
      </c>
      <c r="EW48" s="24"/>
      <c r="FG48" s="24"/>
    </row>
    <row r="49" spans="1:163" x14ac:dyDescent="0.25">
      <c r="A49" s="3">
        <v>43435</v>
      </c>
      <c r="B49" s="1">
        <v>2018</v>
      </c>
      <c r="C49" s="1">
        <v>12</v>
      </c>
      <c r="D49" s="272">
        <v>-0.86827956989247324</v>
      </c>
      <c r="E49" s="272">
        <v>646.91666666666663</v>
      </c>
      <c r="F49" s="272">
        <v>0</v>
      </c>
      <c r="G49" s="272">
        <v>584.91666666666663</v>
      </c>
      <c r="H49" s="272">
        <v>0</v>
      </c>
      <c r="I49" s="272">
        <v>522.91666666666663</v>
      </c>
      <c r="J49" s="272">
        <v>0</v>
      </c>
      <c r="K49" s="272">
        <v>460.91666666666657</v>
      </c>
      <c r="L49" s="272">
        <v>0</v>
      </c>
      <c r="M49" s="272">
        <v>398.91666666666657</v>
      </c>
      <c r="N49" s="272">
        <v>0</v>
      </c>
      <c r="O49" s="272">
        <v>336.91666666666657</v>
      </c>
      <c r="P49" s="272">
        <v>0</v>
      </c>
      <c r="Q49" s="272">
        <v>274.91666666666663</v>
      </c>
      <c r="R49" s="272">
        <v>0</v>
      </c>
      <c r="X49" s="278"/>
      <c r="DP49" s="18">
        <f>'Monthly Data'!F49</f>
        <v>43470353.451681152</v>
      </c>
      <c r="DQ49" s="18">
        <f>'Monthly Data'!J49</f>
        <v>11879583.682943571</v>
      </c>
      <c r="DR49" s="18">
        <f>'Monthly Data'!N49</f>
        <v>29806855.699458219</v>
      </c>
      <c r="DS49" s="4">
        <f>'Monthly Data'!S49</f>
        <v>6632585.3377094418</v>
      </c>
      <c r="DT49" s="4">
        <f>'Monthly Data'!V49</f>
        <v>3303674.8386122286</v>
      </c>
      <c r="DU49" s="18">
        <f t="shared" si="7"/>
        <v>44146345.700563431</v>
      </c>
      <c r="DV49" s="18">
        <f t="shared" si="8"/>
        <v>11569615.383986648</v>
      </c>
      <c r="DW49" s="18">
        <f t="shared" si="9"/>
        <v>29576663.906328976</v>
      </c>
      <c r="DX49" s="18">
        <f t="shared" si="10"/>
        <v>6858176.5042650132</v>
      </c>
      <c r="DY49" s="18">
        <f t="shared" si="11"/>
        <v>3181464.7915879693</v>
      </c>
      <c r="ER49" s="24">
        <f>'Monthly Data'!F49/'Monthly Data'!G49/'Monthly Data'!CD49</f>
        <v>25.882636239493205</v>
      </c>
      <c r="ES49" s="268">
        <f>'Monthly Data'!J49/'Monthly Data'!K49/'Monthly Data'!CD49</f>
        <v>91.024317546115796</v>
      </c>
      <c r="ET49" s="24">
        <f>'Monthly Data'!N49/'Monthly Data'!P49/'Monthly Data'!CD49</f>
        <v>1834.9455614047167</v>
      </c>
      <c r="EU49" s="24">
        <f>'Monthly Data'!Q49/'Monthly Data'!U49/'Monthly Data'!CD49</f>
        <v>14334.834038511302</v>
      </c>
      <c r="EV49" s="24">
        <f>'Monthly Data'!V49/'Monthly Data'!Z49/'Monthly Data'!CD49</f>
        <v>106570.15608426544</v>
      </c>
      <c r="EW49" s="24"/>
      <c r="FG49" s="24"/>
    </row>
    <row r="50" spans="1:163" x14ac:dyDescent="0.25">
      <c r="A50" s="3">
        <v>43466</v>
      </c>
      <c r="B50" s="1">
        <v>2019</v>
      </c>
      <c r="C50" s="1">
        <v>1</v>
      </c>
      <c r="D50" s="272">
        <v>-7.1591397849462366</v>
      </c>
      <c r="E50" s="272">
        <v>841.93333333333351</v>
      </c>
      <c r="F50" s="272">
        <v>0</v>
      </c>
      <c r="G50" s="272">
        <v>779.93333333333351</v>
      </c>
      <c r="H50" s="272">
        <v>0</v>
      </c>
      <c r="I50" s="272">
        <v>717.93333333333339</v>
      </c>
      <c r="J50" s="272">
        <v>0</v>
      </c>
      <c r="K50" s="272">
        <v>655.93333333333339</v>
      </c>
      <c r="L50" s="272">
        <v>0</v>
      </c>
      <c r="M50" s="272">
        <v>593.93333333333339</v>
      </c>
      <c r="N50" s="272">
        <v>0</v>
      </c>
      <c r="O50" s="272">
        <v>531.93333333333328</v>
      </c>
      <c r="P50" s="272">
        <v>0</v>
      </c>
      <c r="Q50" s="272">
        <v>469.93333333333328</v>
      </c>
      <c r="R50" s="272">
        <v>0</v>
      </c>
      <c r="X50" s="278"/>
      <c r="CO50" s="423"/>
      <c r="CP50" s="423"/>
      <c r="CY50" s="423"/>
      <c r="CZ50" s="423"/>
      <c r="DP50" s="18">
        <f>'Monthly Data'!F50</f>
        <v>49786545.597074255</v>
      </c>
      <c r="DQ50" s="18">
        <f>'Monthly Data'!J50</f>
        <v>12427019.357755447</v>
      </c>
      <c r="DR50" s="18">
        <f>'Monthly Data'!N50</f>
        <v>34592789.583499245</v>
      </c>
      <c r="DS50" s="4">
        <f>'Monthly Data'!S50</f>
        <v>7362866.2549784202</v>
      </c>
      <c r="DT50" s="4">
        <f>'Monthly Data'!V50</f>
        <v>3372037.1290001231</v>
      </c>
      <c r="DU50" s="18">
        <f t="shared" si="7"/>
        <v>50168958.090721741</v>
      </c>
      <c r="DV50" s="18">
        <f t="shared" si="8"/>
        <v>12660313.344793174</v>
      </c>
      <c r="DW50" s="18">
        <f t="shared" si="9"/>
        <v>33484697.2581698</v>
      </c>
      <c r="DX50" s="18">
        <f t="shared" si="10"/>
        <v>6891856.3539912561</v>
      </c>
      <c r="DY50" s="18">
        <f t="shared" si="11"/>
        <v>3223184.3690181891</v>
      </c>
      <c r="ER50" s="24">
        <f>'Monthly Data'!F50/'Monthly Data'!G50/'Monthly Data'!CD50</f>
        <v>29.619298438007103</v>
      </c>
      <c r="ES50" s="268">
        <f>'Monthly Data'!J50/'Monthly Data'!K50/'Monthly Data'!CD50</f>
        <v>95.083394730943922</v>
      </c>
      <c r="ET50" s="24">
        <f>'Monthly Data'!N50/'Monthly Data'!P50/'Monthly Data'!CD50</f>
        <v>2145.9546888026825</v>
      </c>
      <c r="EU50" s="24">
        <f>'Monthly Data'!Q50/'Monthly Data'!U50/'Monthly Data'!CD50</f>
        <v>14993.72677444596</v>
      </c>
      <c r="EV50" s="24">
        <f>'Monthly Data'!V50/'Monthly Data'!Z50/'Monthly Data'!CD50</f>
        <v>108775.39125806848</v>
      </c>
      <c r="EW50" s="24"/>
      <c r="FG50" s="24"/>
    </row>
    <row r="51" spans="1:163" x14ac:dyDescent="0.25">
      <c r="A51" s="3">
        <v>43497</v>
      </c>
      <c r="B51" s="1">
        <v>2019</v>
      </c>
      <c r="C51" s="1">
        <v>2</v>
      </c>
      <c r="D51" s="272">
        <v>-4.8322916666666682</v>
      </c>
      <c r="E51" s="272">
        <v>695.30416666666645</v>
      </c>
      <c r="F51" s="272">
        <v>0</v>
      </c>
      <c r="G51" s="272">
        <v>639.30416666666645</v>
      </c>
      <c r="H51" s="272">
        <v>0</v>
      </c>
      <c r="I51" s="272">
        <v>583.30416666666656</v>
      </c>
      <c r="J51" s="272">
        <v>0</v>
      </c>
      <c r="K51" s="272">
        <v>527.30416666666656</v>
      </c>
      <c r="L51" s="272">
        <v>0</v>
      </c>
      <c r="M51" s="272">
        <v>471.30416666666662</v>
      </c>
      <c r="N51" s="272">
        <v>0</v>
      </c>
      <c r="O51" s="272">
        <v>415.30416666666656</v>
      </c>
      <c r="P51" s="272">
        <v>0</v>
      </c>
      <c r="Q51" s="272">
        <v>359.30416666666662</v>
      </c>
      <c r="R51" s="272">
        <v>0</v>
      </c>
      <c r="X51" s="278"/>
      <c r="CN51" s="423"/>
      <c r="CO51" s="278"/>
      <c r="CP51" s="278"/>
      <c r="CQ51" s="278"/>
      <c r="CR51" s="278"/>
      <c r="CS51" s="278"/>
      <c r="CT51" s="278"/>
      <c r="CU51" s="278"/>
      <c r="CV51" s="278"/>
      <c r="CW51" s="278"/>
      <c r="CX51" s="278"/>
      <c r="CY51" s="278"/>
      <c r="CZ51" s="278"/>
      <c r="DA51" s="278"/>
      <c r="DB51" s="278"/>
      <c r="DO51" s="24"/>
      <c r="DP51" s="18">
        <f>'Monthly Data'!F51</f>
        <v>46962938.100034416</v>
      </c>
      <c r="DQ51" s="18">
        <f>'Monthly Data'!J51</f>
        <v>10817934.01399897</v>
      </c>
      <c r="DR51" s="18">
        <f>'Monthly Data'!N51</f>
        <v>30102232.581914391</v>
      </c>
      <c r="DS51" s="4">
        <f>'Monthly Data'!S51</f>
        <v>6700295.0580196613</v>
      </c>
      <c r="DT51" s="4">
        <f>'Monthly Data'!V51</f>
        <v>2864073.6348337554</v>
      </c>
      <c r="DU51" s="18">
        <f t="shared" si="7"/>
        <v>46196561.135406442</v>
      </c>
      <c r="DV51" s="18">
        <f t="shared" si="8"/>
        <v>11907353.302668149</v>
      </c>
      <c r="DW51" s="18">
        <f t="shared" si="9"/>
        <v>31147508.950517111</v>
      </c>
      <c r="DX51" s="18">
        <f t="shared" si="10"/>
        <v>6870678.0004895665</v>
      </c>
      <c r="DY51" s="18">
        <f t="shared" si="11"/>
        <v>3196950.5239761244</v>
      </c>
      <c r="EK51" s="1" t="s">
        <v>178</v>
      </c>
      <c r="ER51" s="24">
        <f>'Monthly Data'!F51/'Monthly Data'!G51/'Monthly Data'!CD51</f>
        <v>30.917579850079143</v>
      </c>
      <c r="ES51" s="268">
        <f>'Monthly Data'!J51/'Monthly Data'!K51/'Monthly Data'!CD51</f>
        <v>91.792536520372764</v>
      </c>
      <c r="ET51" s="24">
        <f>'Monthly Data'!N51/'Monthly Data'!P51/'Monthly Data'!CD51</f>
        <v>2059.5397223532013</v>
      </c>
      <c r="EU51" s="24">
        <f>'Monthly Data'!Q51/'Monthly Data'!U51/'Monthly Data'!CD51</f>
        <v>14909.964854976499</v>
      </c>
      <c r="EV51" s="24">
        <f>'Monthly Data'!V51/'Monthly Data'!Z51/'Monthly Data'!CD51</f>
        <v>102288.34410120556</v>
      </c>
      <c r="EW51" s="24"/>
      <c r="FG51" s="24"/>
    </row>
    <row r="52" spans="1:163" x14ac:dyDescent="0.25">
      <c r="A52" s="3">
        <v>43525</v>
      </c>
      <c r="B52" s="1">
        <v>2019</v>
      </c>
      <c r="C52" s="1">
        <v>3</v>
      </c>
      <c r="D52" s="272">
        <v>-1.7244623655913986</v>
      </c>
      <c r="E52" s="272">
        <v>673.45833333333326</v>
      </c>
      <c r="F52" s="272">
        <v>0</v>
      </c>
      <c r="G52" s="272">
        <v>611.45833333333337</v>
      </c>
      <c r="H52" s="272">
        <v>0</v>
      </c>
      <c r="I52" s="272">
        <v>549.45833333333326</v>
      </c>
      <c r="J52" s="272">
        <v>0</v>
      </c>
      <c r="K52" s="272">
        <v>487.45833333333331</v>
      </c>
      <c r="L52" s="272">
        <v>0</v>
      </c>
      <c r="M52" s="272">
        <v>425.45833333333326</v>
      </c>
      <c r="N52" s="272">
        <v>0</v>
      </c>
      <c r="O52" s="272">
        <v>363.45833333333326</v>
      </c>
      <c r="P52" s="272">
        <v>0</v>
      </c>
      <c r="Q52" s="272">
        <v>301.45833333333326</v>
      </c>
      <c r="R52" s="272">
        <v>0</v>
      </c>
      <c r="X52" s="278"/>
      <c r="CN52" s="423"/>
      <c r="CO52" s="278"/>
      <c r="CP52" s="278"/>
      <c r="CQ52" s="278"/>
      <c r="CR52" s="278"/>
      <c r="CS52" s="278"/>
      <c r="CT52" s="278"/>
      <c r="CU52" s="278"/>
      <c r="CV52" s="278"/>
      <c r="CW52" s="278"/>
      <c r="CX52" s="278"/>
      <c r="CY52" s="278"/>
      <c r="CZ52" s="278"/>
      <c r="DA52" s="278"/>
      <c r="DB52" s="278"/>
      <c r="DP52" s="18">
        <f>'Monthly Data'!F52</f>
        <v>40529259.756652385</v>
      </c>
      <c r="DQ52" s="18">
        <f>'Monthly Data'!J52</f>
        <v>11178126.224762458</v>
      </c>
      <c r="DR52" s="18">
        <f>'Monthly Data'!N52</f>
        <v>30690466.510151513</v>
      </c>
      <c r="DS52" s="4">
        <f>'Monthly Data'!S52</f>
        <v>7200226.2824770492</v>
      </c>
      <c r="DT52" s="4">
        <f>'Monthly Data'!V52</f>
        <v>3271187.2445928664</v>
      </c>
      <c r="DU52" s="18">
        <f t="shared" si="7"/>
        <v>44966020.107137844</v>
      </c>
      <c r="DV52" s="18">
        <f t="shared" si="8"/>
        <v>11718058.807846522</v>
      </c>
      <c r="DW52" s="18">
        <f t="shared" si="9"/>
        <v>30108545.208166979</v>
      </c>
      <c r="DX52" s="18">
        <f t="shared" si="10"/>
        <v>6862760.314254676</v>
      </c>
      <c r="DY52" s="18">
        <f t="shared" si="11"/>
        <v>3187142.8043268486</v>
      </c>
      <c r="EK52" s="1" t="s">
        <v>179</v>
      </c>
      <c r="ER52" s="24">
        <f>'Monthly Data'!F52/'Monthly Data'!G52/'Monthly Data'!CD52</f>
        <v>24.056885070125578</v>
      </c>
      <c r="ES52" s="268">
        <f>'Monthly Data'!J52/'Monthly Data'!K52/'Monthly Data'!CD52</f>
        <v>85.81264086811548</v>
      </c>
      <c r="ET52" s="24">
        <f>'Monthly Data'!N52/'Monthly Data'!P52/'Monthly Data'!CD52</f>
        <v>1900.2208228686466</v>
      </c>
      <c r="EU52" s="24">
        <f>'Monthly Data'!Q52/'Monthly Data'!U52/'Monthly Data'!CD52</f>
        <v>14618.980294028055</v>
      </c>
      <c r="EV52" s="24">
        <f>'Monthly Data'!V52/'Monthly Data'!Z52/'Monthly Data'!CD52</f>
        <v>105522.16918041505</v>
      </c>
      <c r="EW52" s="24"/>
      <c r="FG52" s="24"/>
    </row>
    <row r="53" spans="1:163" x14ac:dyDescent="0.25">
      <c r="A53" s="3">
        <v>43556</v>
      </c>
      <c r="B53" s="1">
        <v>2019</v>
      </c>
      <c r="C53" s="1">
        <v>4</v>
      </c>
      <c r="D53" s="272">
        <v>5.778194444444444</v>
      </c>
      <c r="E53" s="272">
        <v>426.6541666666667</v>
      </c>
      <c r="F53" s="272">
        <v>0</v>
      </c>
      <c r="G53" s="272">
        <v>366.65416666666664</v>
      </c>
      <c r="H53" s="272">
        <v>0</v>
      </c>
      <c r="I53" s="272">
        <v>306.65416666666664</v>
      </c>
      <c r="J53" s="272">
        <v>0</v>
      </c>
      <c r="K53" s="272">
        <v>246.6541666666667</v>
      </c>
      <c r="L53" s="272">
        <v>0</v>
      </c>
      <c r="M53" s="272">
        <v>187.50000000000003</v>
      </c>
      <c r="N53" s="272">
        <v>0.84583333333333144</v>
      </c>
      <c r="O53" s="272">
        <v>129.53333333333336</v>
      </c>
      <c r="P53" s="272">
        <v>2.8791666666666664</v>
      </c>
      <c r="Q53" s="272">
        <v>81.245833333333351</v>
      </c>
      <c r="R53" s="272">
        <v>14.591666666666663</v>
      </c>
      <c r="DP53" s="18">
        <f>'Monthly Data'!F53</f>
        <v>38390411.159753427</v>
      </c>
      <c r="DQ53" s="18">
        <f>'Monthly Data'!J53</f>
        <v>9605223.0161340497</v>
      </c>
      <c r="DR53" s="18">
        <f>'Monthly Data'!N53</f>
        <v>25578026.449102744</v>
      </c>
      <c r="DS53" s="4">
        <f>'Monthly Data'!S53</f>
        <v>6757129.4428079324</v>
      </c>
      <c r="DT53" s="4">
        <f>'Monthly Data'!V53</f>
        <v>3115930.8448223723</v>
      </c>
      <c r="DU53" s="18">
        <f t="shared" si="7"/>
        <v>37588856.026344009</v>
      </c>
      <c r="DV53" s="18">
        <f t="shared" si="8"/>
        <v>10360092.773531536</v>
      </c>
      <c r="DW53" s="18">
        <f t="shared" si="9"/>
        <v>25434021.19933876</v>
      </c>
      <c r="DX53" s="18">
        <f t="shared" si="10"/>
        <v>6821664.3348968057</v>
      </c>
      <c r="DY53" s="18">
        <f t="shared" si="11"/>
        <v>3136236.790587855</v>
      </c>
      <c r="EK53" s="1" t="s">
        <v>180</v>
      </c>
      <c r="ER53" s="24">
        <f>'Monthly Data'!F53/'Monthly Data'!G53/'Monthly Data'!CD53</f>
        <v>23.486838065371771</v>
      </c>
      <c r="ES53" s="268">
        <f>'Monthly Data'!J53/'Monthly Data'!K53/'Monthly Data'!CD53</f>
        <v>76.195645058972318</v>
      </c>
      <c r="ET53" s="24">
        <f>'Monthly Data'!N53/'Monthly Data'!P53/'Monthly Data'!CD53</f>
        <v>1633.3350222926399</v>
      </c>
      <c r="EU53" s="24">
        <f>'Monthly Data'!Q53/'Monthly Data'!U53/'Monthly Data'!CD53</f>
        <v>14051.287161759663</v>
      </c>
      <c r="EV53" s="24">
        <f>'Monthly Data'!V53/'Monthly Data'!Z53/'Monthly Data'!CD53</f>
        <v>103864.36149407907</v>
      </c>
      <c r="EW53" s="24"/>
      <c r="FG53" s="24"/>
    </row>
    <row r="54" spans="1:163" x14ac:dyDescent="0.25">
      <c r="A54" s="3">
        <v>43586</v>
      </c>
      <c r="B54" s="1">
        <v>2019</v>
      </c>
      <c r="C54" s="1">
        <v>5</v>
      </c>
      <c r="D54" s="272">
        <v>11.369850028296549</v>
      </c>
      <c r="E54" s="272">
        <v>267.53464912280702</v>
      </c>
      <c r="F54" s="272">
        <v>0</v>
      </c>
      <c r="G54" s="272">
        <v>205.53464912280697</v>
      </c>
      <c r="H54" s="272">
        <v>0</v>
      </c>
      <c r="I54" s="272">
        <v>145.93881578947367</v>
      </c>
      <c r="J54" s="272">
        <v>2.4041666666666686</v>
      </c>
      <c r="K54" s="272">
        <v>92.742982456140368</v>
      </c>
      <c r="L54" s="272">
        <v>11.208333333333332</v>
      </c>
      <c r="M54" s="272">
        <v>47.113815789473684</v>
      </c>
      <c r="N54" s="272">
        <v>27.579166666666666</v>
      </c>
      <c r="O54" s="272">
        <v>21.337500000000002</v>
      </c>
      <c r="P54" s="272">
        <v>63.802850877192981</v>
      </c>
      <c r="Q54" s="272">
        <v>5.4041666666666659</v>
      </c>
      <c r="R54" s="272">
        <v>109.86951754385964</v>
      </c>
      <c r="DP54" s="18">
        <f>'Monthly Data'!F54</f>
        <v>34434462.367302448</v>
      </c>
      <c r="DQ54" s="18">
        <f>'Monthly Data'!J54</f>
        <v>9221277.1523471624</v>
      </c>
      <c r="DR54" s="18">
        <f>'Monthly Data'!N54</f>
        <v>24776294.111912861</v>
      </c>
      <c r="DS54" s="4">
        <f>'Monthly Data'!S54</f>
        <v>7190309.3222989608</v>
      </c>
      <c r="DT54" s="4">
        <f>'Monthly Data'!V54</f>
        <v>3162233.4763844404</v>
      </c>
      <c r="DU54" s="18">
        <f t="shared" si="7"/>
        <v>34715705.599216796</v>
      </c>
      <c r="DV54" s="18">
        <f t="shared" si="8"/>
        <v>9611855.3531620856</v>
      </c>
      <c r="DW54" s="18">
        <f t="shared" si="9"/>
        <v>23683418.133449394</v>
      </c>
      <c r="DX54" s="18">
        <f t="shared" si="10"/>
        <v>6877533.1568132527</v>
      </c>
      <c r="DY54" s="18">
        <f t="shared" si="11"/>
        <v>3121762.903733769</v>
      </c>
      <c r="ER54" s="24">
        <f>'Monthly Data'!F54/'Monthly Data'!G54/'Monthly Data'!CD54</f>
        <v>20.31844571187802</v>
      </c>
      <c r="ES54" s="268">
        <f>'Monthly Data'!J54/'Monthly Data'!K54/'Monthly Data'!CD54</f>
        <v>70.891456935538926</v>
      </c>
      <c r="ET54" s="24">
        <f>'Monthly Data'!N54/'Monthly Data'!P54/'Monthly Data'!CD54</f>
        <v>1525.2581945280019</v>
      </c>
      <c r="EU54" s="24">
        <f>'Monthly Data'!Q54/'Monthly Data'!U54/'Monthly Data'!CD54</f>
        <v>14596.130155368865</v>
      </c>
      <c r="EV54" s="24">
        <f>'Monthly Data'!V54/'Monthly Data'!Z54/'Monthly Data'!CD54</f>
        <v>102007.53149627228</v>
      </c>
      <c r="EW54" s="24"/>
      <c r="FG54" s="24"/>
    </row>
    <row r="55" spans="1:163" x14ac:dyDescent="0.25">
      <c r="A55" s="3">
        <v>43617</v>
      </c>
      <c r="B55" s="1">
        <v>2019</v>
      </c>
      <c r="C55" s="1">
        <v>6</v>
      </c>
      <c r="D55" s="272">
        <v>17.658055555555553</v>
      </c>
      <c r="E55" s="272">
        <v>80.695833333333368</v>
      </c>
      <c r="F55" s="272">
        <v>10.4375</v>
      </c>
      <c r="G55" s="272">
        <v>46.120833333333351</v>
      </c>
      <c r="H55" s="272">
        <v>35.862499999999976</v>
      </c>
      <c r="I55" s="272">
        <v>21.925000000000018</v>
      </c>
      <c r="J55" s="272">
        <v>71.666666666666629</v>
      </c>
      <c r="K55" s="272">
        <v>9.0750000000000011</v>
      </c>
      <c r="L55" s="272">
        <v>118.81666666666663</v>
      </c>
      <c r="M55" s="272">
        <v>3.9291666666666671</v>
      </c>
      <c r="N55" s="272">
        <v>173.67083333333326</v>
      </c>
      <c r="O55" s="272">
        <v>0.97916666666666963</v>
      </c>
      <c r="P55" s="272">
        <v>230.72083333333327</v>
      </c>
      <c r="Q55" s="272">
        <v>0</v>
      </c>
      <c r="R55" s="272">
        <v>289.74166666666656</v>
      </c>
      <c r="DP55" s="18">
        <f>'Monthly Data'!F55</f>
        <v>36650162.657272302</v>
      </c>
      <c r="DQ55" s="18">
        <f>'Monthly Data'!J55</f>
        <v>9417230.9671708588</v>
      </c>
      <c r="DR55" s="18">
        <f>'Monthly Data'!N55</f>
        <v>24832534.618167989</v>
      </c>
      <c r="DS55" s="4">
        <f>'Monthly Data'!S55</f>
        <v>7204081.3004395068</v>
      </c>
      <c r="DT55" s="4">
        <f>'Monthly Data'!V55</f>
        <v>3172473.3758691298</v>
      </c>
      <c r="DU55" s="18">
        <f t="shared" si="7"/>
        <v>42405710.773998953</v>
      </c>
      <c r="DV55" s="18">
        <f t="shared" si="8"/>
        <v>10364315.89354516</v>
      </c>
      <c r="DW55" s="18">
        <f t="shared" si="9"/>
        <v>25557459.190291613</v>
      </c>
      <c r="DX55" s="18">
        <f t="shared" si="10"/>
        <v>7639227.6383217201</v>
      </c>
      <c r="DY55" s="18">
        <f t="shared" si="11"/>
        <v>3261899.4416241786</v>
      </c>
      <c r="EL55" s="1" t="s">
        <v>148</v>
      </c>
      <c r="EM55" s="1" t="s">
        <v>149</v>
      </c>
      <c r="EN55" s="1" t="s">
        <v>150</v>
      </c>
      <c r="EO55" s="1" t="s">
        <v>151</v>
      </c>
      <c r="ER55" s="24">
        <f>'Monthly Data'!F55/'Monthly Data'!G55/'Monthly Data'!CD55</f>
        <v>22.373717352082181</v>
      </c>
      <c r="ES55" s="268">
        <f>'Monthly Data'!J55/'Monthly Data'!K55/'Monthly Data'!CD55</f>
        <v>74.846852385716574</v>
      </c>
      <c r="ET55" s="24">
        <f>'Monthly Data'!N55/'Monthly Data'!P55/'Monthly Data'!CD55</f>
        <v>1579.6777746926202</v>
      </c>
      <c r="EU55" s="24">
        <f>'Monthly Data'!Q55/'Monthly Data'!U55/'Monthly Data'!CD55</f>
        <v>15115.45825135865</v>
      </c>
      <c r="EV55" s="24">
        <f>'Monthly Data'!V55/'Monthly Data'!Z55/'Monthly Data'!CD55</f>
        <v>105749.11252897099</v>
      </c>
      <c r="EW55" s="24"/>
      <c r="FG55" s="24"/>
    </row>
    <row r="56" spans="1:163" x14ac:dyDescent="0.25">
      <c r="A56" s="3">
        <v>43647</v>
      </c>
      <c r="B56" s="1">
        <v>2019</v>
      </c>
      <c r="C56" s="1">
        <v>7</v>
      </c>
      <c r="D56" s="272">
        <v>22.374193548387098</v>
      </c>
      <c r="E56" s="272">
        <v>0.97500000000000497</v>
      </c>
      <c r="F56" s="272">
        <v>74.574999999999989</v>
      </c>
      <c r="G56" s="272">
        <v>0</v>
      </c>
      <c r="H56" s="272">
        <v>135.6</v>
      </c>
      <c r="I56" s="272">
        <v>0</v>
      </c>
      <c r="J56" s="272">
        <v>197.60000000000005</v>
      </c>
      <c r="K56" s="272">
        <v>0</v>
      </c>
      <c r="L56" s="272">
        <v>259.60000000000008</v>
      </c>
      <c r="M56" s="272">
        <v>0</v>
      </c>
      <c r="N56" s="272">
        <v>321.60000000000002</v>
      </c>
      <c r="O56" s="272">
        <v>0</v>
      </c>
      <c r="P56" s="272">
        <v>383.6</v>
      </c>
      <c r="Q56" s="272">
        <v>0</v>
      </c>
      <c r="R56" s="272">
        <v>445.60000000000008</v>
      </c>
      <c r="DP56" s="18">
        <f>'Monthly Data'!F56</f>
        <v>51398792.330054857</v>
      </c>
      <c r="DQ56" s="18">
        <f>'Monthly Data'!J56</f>
        <v>11222943.646553386</v>
      </c>
      <c r="DR56" s="18">
        <f>'Monthly Data'!N56</f>
        <v>29793419.238445286</v>
      </c>
      <c r="DS56" s="4">
        <f>'Monthly Data'!S56</f>
        <v>8750214.2978592087</v>
      </c>
      <c r="DT56" s="4">
        <f>'Monthly Data'!V56</f>
        <v>3467321.3949721884</v>
      </c>
      <c r="DU56" s="18">
        <f t="shared" si="7"/>
        <v>52528559.680084363</v>
      </c>
      <c r="DV56" s="18">
        <f t="shared" si="8"/>
        <v>12133552.009847555</v>
      </c>
      <c r="DW56" s="18">
        <f t="shared" si="9"/>
        <v>27848551.246638432</v>
      </c>
      <c r="DX56" s="18">
        <f t="shared" si="10"/>
        <v>8644826.7352969944</v>
      </c>
      <c r="DY56" s="18">
        <f t="shared" si="11"/>
        <v>3456485.2343250872</v>
      </c>
      <c r="EK56" s="1" t="s">
        <v>152</v>
      </c>
      <c r="EL56" s="1">
        <v>22825027.78912</v>
      </c>
      <c r="EM56" s="1">
        <v>584659.46944275498</v>
      </c>
      <c r="EN56" s="1">
        <v>39.039866763596201</v>
      </c>
      <c r="EO56" s="283">
        <v>1.4465588000437201E-68</v>
      </c>
      <c r="ER56" s="24">
        <f>'Monthly Data'!F56/'Monthly Data'!G56/'Monthly Data'!CD56</f>
        <v>30.300728431331486</v>
      </c>
      <c r="ES56" s="268">
        <f>'Monthly Data'!J56/'Monthly Data'!K56/'Monthly Data'!CD56</f>
        <v>86.444708741976982</v>
      </c>
      <c r="ET56" s="24">
        <f>'Monthly Data'!N56/'Monthly Data'!P56/'Monthly Data'!CD56</f>
        <v>1830.6248379997105</v>
      </c>
      <c r="EU56" s="24">
        <f>'Monthly Data'!Q56/'Monthly Data'!U56/'Monthly Data'!CD56</f>
        <v>18190.381251129806</v>
      </c>
      <c r="EV56" s="24">
        <f>'Monthly Data'!V56/'Monthly Data'!Z56/'Monthly Data'!CD56</f>
        <v>111849.07725716737</v>
      </c>
      <c r="EW56" s="24"/>
      <c r="FG56" s="24"/>
    </row>
    <row r="57" spans="1:163" x14ac:dyDescent="0.25">
      <c r="A57" s="3">
        <v>43678</v>
      </c>
      <c r="B57" s="1">
        <v>2019</v>
      </c>
      <c r="C57" s="1">
        <v>8</v>
      </c>
      <c r="D57" s="272">
        <v>20.13131720430108</v>
      </c>
      <c r="E57" s="272">
        <v>19.091666666666661</v>
      </c>
      <c r="F57" s="272">
        <v>23.162500000000009</v>
      </c>
      <c r="G57" s="272">
        <v>4.645833333333325</v>
      </c>
      <c r="H57" s="272">
        <v>70.716666666666669</v>
      </c>
      <c r="I57" s="272">
        <v>0</v>
      </c>
      <c r="J57" s="272">
        <v>128.07083333333338</v>
      </c>
      <c r="K57" s="272">
        <v>0</v>
      </c>
      <c r="L57" s="272">
        <v>190.07083333333335</v>
      </c>
      <c r="M57" s="272">
        <v>0</v>
      </c>
      <c r="N57" s="272">
        <v>252.07083333333335</v>
      </c>
      <c r="O57" s="272">
        <v>0</v>
      </c>
      <c r="P57" s="272">
        <v>314.07083333333338</v>
      </c>
      <c r="Q57" s="272">
        <v>0</v>
      </c>
      <c r="R57" s="272">
        <v>376.07083333333338</v>
      </c>
      <c r="DP57" s="18">
        <f>'Monthly Data'!F57</f>
        <v>50405166.652542427</v>
      </c>
      <c r="DQ57" s="18">
        <f>'Monthly Data'!J57</f>
        <v>10444170.994703799</v>
      </c>
      <c r="DR57" s="18">
        <f>'Monthly Data'!N57</f>
        <v>26285773.15454014</v>
      </c>
      <c r="DS57" s="4">
        <f>'Monthly Data'!S57</f>
        <v>8314591.1828323836</v>
      </c>
      <c r="DT57" s="4">
        <f>'Monthly Data'!V57</f>
        <v>3551002.3047195231</v>
      </c>
      <c r="DU57" s="18">
        <f t="shared" si="7"/>
        <v>47638926.006294541</v>
      </c>
      <c r="DV57" s="18">
        <f t="shared" si="8"/>
        <v>11199212.743431062</v>
      </c>
      <c r="DW57" s="18">
        <f t="shared" si="9"/>
        <v>26762477.242497548</v>
      </c>
      <c r="DX57" s="18">
        <f t="shared" si="10"/>
        <v>8147852.7937014084</v>
      </c>
      <c r="DY57" s="18">
        <f t="shared" si="11"/>
        <v>3359969.3249960369</v>
      </c>
      <c r="EK57" s="1" t="s">
        <v>61</v>
      </c>
      <c r="EL57" s="1">
        <v>20039.483899705101</v>
      </c>
      <c r="EM57" s="1">
        <v>2003.31564989821</v>
      </c>
      <c r="EN57" s="1">
        <v>10.0031584641808</v>
      </c>
      <c r="EO57" s="283">
        <v>2.3154694303088599E-17</v>
      </c>
      <c r="ER57" s="24">
        <f>'Monthly Data'!F57/'Monthly Data'!G57/'Monthly Data'!CD57</f>
        <v>29.639131552232985</v>
      </c>
      <c r="ES57" s="268">
        <f>'Monthly Data'!J57/'Monthly Data'!K57/'Monthly Data'!CD57</f>
        <v>80.465426741017112</v>
      </c>
      <c r="ET57" s="24">
        <f>'Monthly Data'!N57/'Monthly Data'!P57/'Monthly Data'!CD57</f>
        <v>1612.0307343640463</v>
      </c>
      <c r="EU57" s="24">
        <f>'Monthly Data'!Q57/'Monthly Data'!U57/'Monthly Data'!CD57</f>
        <v>17186.641354754633</v>
      </c>
      <c r="EV57" s="24">
        <f>'Monthly Data'!V57/'Monthly Data'!Z57/'Monthly Data'!CD57</f>
        <v>114548.46144256525</v>
      </c>
      <c r="EW57" s="24"/>
      <c r="FG57" s="24"/>
    </row>
    <row r="58" spans="1:163" x14ac:dyDescent="0.25">
      <c r="A58" s="3">
        <v>43709</v>
      </c>
      <c r="B58" s="1">
        <v>2019</v>
      </c>
      <c r="C58" s="1">
        <v>9</v>
      </c>
      <c r="D58" s="272">
        <v>16.383888888888887</v>
      </c>
      <c r="E58" s="272">
        <v>113.56666666666666</v>
      </c>
      <c r="F58" s="272">
        <v>5.0833333333333286</v>
      </c>
      <c r="G58" s="272">
        <v>62.054166666666653</v>
      </c>
      <c r="H58" s="272">
        <v>13.570833333333326</v>
      </c>
      <c r="I58" s="272">
        <v>21.004166666666656</v>
      </c>
      <c r="J58" s="272">
        <v>32.520833333333329</v>
      </c>
      <c r="K58" s="272">
        <v>4.9833333333333325</v>
      </c>
      <c r="L58" s="272">
        <v>76.5</v>
      </c>
      <c r="M58" s="272">
        <v>0.4208333333333325</v>
      </c>
      <c r="N58" s="272">
        <v>131.93750000000003</v>
      </c>
      <c r="O58" s="272">
        <v>0</v>
      </c>
      <c r="P58" s="272">
        <v>191.51666666666671</v>
      </c>
      <c r="Q58" s="272">
        <v>0</v>
      </c>
      <c r="R58" s="272">
        <v>251.51666666666671</v>
      </c>
      <c r="DP58" s="18">
        <f>'Monthly Data'!F58</f>
        <v>40715477.639350682</v>
      </c>
      <c r="DQ58" s="18">
        <f>'Monthly Data'!J58</f>
        <v>9115439.8190174215</v>
      </c>
      <c r="DR58" s="18">
        <f>'Monthly Data'!N58</f>
        <v>24447792.044599112</v>
      </c>
      <c r="DS58" s="4">
        <f>'Monthly Data'!S58</f>
        <v>7364154.3036004463</v>
      </c>
      <c r="DT58" s="4">
        <f>'Monthly Data'!V58</f>
        <v>3301878.995178178</v>
      </c>
      <c r="DU58" s="18">
        <f t="shared" si="7"/>
        <v>39344455.982231297</v>
      </c>
      <c r="DV58" s="18">
        <f t="shared" si="8"/>
        <v>9790510.5995545015</v>
      </c>
      <c r="DW58" s="18">
        <f t="shared" si="9"/>
        <v>24885945.470016573</v>
      </c>
      <c r="DX58" s="18">
        <f t="shared" si="10"/>
        <v>7336154.7094021998</v>
      </c>
      <c r="DY58" s="18">
        <f t="shared" si="11"/>
        <v>3202407.6397968694</v>
      </c>
      <c r="EK58" s="1" t="s">
        <v>60</v>
      </c>
      <c r="EL58" s="1">
        <v>15620.4087609404</v>
      </c>
      <c r="EM58" s="1">
        <v>3089.5684375492701</v>
      </c>
      <c r="EN58" s="1">
        <v>5.0558545883291401</v>
      </c>
      <c r="EO58" s="283">
        <v>1.6173690417165399E-6</v>
      </c>
      <c r="ER58" s="24">
        <f>'Monthly Data'!F58/'Monthly Data'!G58/'Monthly Data'!CD58</f>
        <v>24.805033226931975</v>
      </c>
      <c r="ES58" s="268">
        <f>'Monthly Data'!J58/'Monthly Data'!K58/'Monthly Data'!CD58</f>
        <v>72.586716189022312</v>
      </c>
      <c r="ET58" s="24">
        <f>'Monthly Data'!N58/'Monthly Data'!P58/'Monthly Data'!CD58</f>
        <v>1549.2897366666105</v>
      </c>
      <c r="EU58" s="24">
        <f>'Monthly Data'!Q58/'Monthly Data'!U58/'Monthly Data'!CD58</f>
        <v>15496.584449360887</v>
      </c>
      <c r="EV58" s="24">
        <f>'Monthly Data'!V58/'Monthly Data'!Z58/'Monthly Data'!CD58</f>
        <v>110062.63317260593</v>
      </c>
      <c r="EW58" s="24"/>
      <c r="FG58" s="24"/>
    </row>
    <row r="59" spans="1:163" x14ac:dyDescent="0.25">
      <c r="A59" s="3">
        <v>43739</v>
      </c>
      <c r="B59" s="1">
        <v>2019</v>
      </c>
      <c r="C59" s="1">
        <v>10</v>
      </c>
      <c r="D59" s="272">
        <v>10.194623655913977</v>
      </c>
      <c r="E59" s="272">
        <v>303.96666666666664</v>
      </c>
      <c r="F59" s="272">
        <v>0</v>
      </c>
      <c r="G59" s="272">
        <v>243.77916666666664</v>
      </c>
      <c r="H59" s="272">
        <v>1.8125000000000036</v>
      </c>
      <c r="I59" s="272">
        <v>183.7791666666667</v>
      </c>
      <c r="J59" s="272">
        <v>3.8125000000000036</v>
      </c>
      <c r="K59" s="272">
        <v>125.30000000000004</v>
      </c>
      <c r="L59" s="272">
        <v>7.3333333333333357</v>
      </c>
      <c r="M59" s="272">
        <v>72.637500000000017</v>
      </c>
      <c r="N59" s="272">
        <v>16.670833333333334</v>
      </c>
      <c r="O59" s="272">
        <v>31.19583333333334</v>
      </c>
      <c r="P59" s="272">
        <v>37.229166666666664</v>
      </c>
      <c r="Q59" s="272">
        <v>8.0666666666666664</v>
      </c>
      <c r="R59" s="272">
        <v>76.099999999999994</v>
      </c>
      <c r="DP59" s="18">
        <f>'Monthly Data'!F59</f>
        <v>35245091.017522082</v>
      </c>
      <c r="DQ59" s="18">
        <f>'Monthly Data'!J59</f>
        <v>9056576.7105109673</v>
      </c>
      <c r="DR59" s="18">
        <f>'Monthly Data'!N59</f>
        <v>24249973.509908725</v>
      </c>
      <c r="DS59" s="4">
        <f>'Monthly Data'!S59</f>
        <v>6877310.3938974263</v>
      </c>
      <c r="DT59" s="4">
        <f>'Monthly Data'!V59</f>
        <v>3235594.6355934963</v>
      </c>
      <c r="DU59" s="18">
        <f t="shared" si="7"/>
        <v>34954021.631707989</v>
      </c>
      <c r="DV59" s="18">
        <f t="shared" si="8"/>
        <v>9771417.9623861052</v>
      </c>
      <c r="DW59" s="18">
        <f t="shared" si="9"/>
        <v>23710581.419993397</v>
      </c>
      <c r="DX59" s="18">
        <f t="shared" si="10"/>
        <v>6854243.8036043514</v>
      </c>
      <c r="DY59" s="18">
        <f t="shared" si="11"/>
        <v>3121844.1159208636</v>
      </c>
      <c r="ER59" s="24">
        <f>'Monthly Data'!F59/'Monthly Data'!G59/'Monthly Data'!CD59</f>
        <v>20.773207504340629</v>
      </c>
      <c r="ES59" s="268">
        <f>'Monthly Data'!J59/'Monthly Data'!K59/'Monthly Data'!CD59</f>
        <v>69.77493093454369</v>
      </c>
      <c r="ET59" s="24">
        <f>'Monthly Data'!N59/'Monthly Data'!P59/'Monthly Data'!CD59</f>
        <v>1475.9569999944445</v>
      </c>
      <c r="EU59" s="24">
        <f>'Monthly Data'!Q59/'Monthly Data'!U59/'Monthly Data'!CD59</f>
        <v>13874.934467807725</v>
      </c>
      <c r="EV59" s="24">
        <f>'Monthly Data'!V59/'Monthly Data'!Z59/'Monthly Data'!CD59</f>
        <v>104374.02050301601</v>
      </c>
      <c r="EW59" s="24"/>
      <c r="FG59" s="24"/>
    </row>
    <row r="60" spans="1:163" x14ac:dyDescent="0.25">
      <c r="A60" s="3">
        <v>43770</v>
      </c>
      <c r="B60" s="1">
        <v>2019</v>
      </c>
      <c r="C60" s="1">
        <v>11</v>
      </c>
      <c r="D60" s="272">
        <v>0.34250000000000014</v>
      </c>
      <c r="E60" s="272">
        <v>589.72500000000002</v>
      </c>
      <c r="F60" s="272">
        <v>0</v>
      </c>
      <c r="G60" s="272">
        <v>529.72500000000002</v>
      </c>
      <c r="H60" s="272">
        <v>0</v>
      </c>
      <c r="I60" s="272">
        <v>469.72499999999997</v>
      </c>
      <c r="J60" s="272">
        <v>0</v>
      </c>
      <c r="K60" s="272">
        <v>409.72499999999997</v>
      </c>
      <c r="L60" s="272">
        <v>0</v>
      </c>
      <c r="M60" s="272">
        <v>349.72499999999997</v>
      </c>
      <c r="N60" s="272">
        <v>0</v>
      </c>
      <c r="O60" s="272">
        <v>289.72499999999997</v>
      </c>
      <c r="P60" s="272">
        <v>0</v>
      </c>
      <c r="Q60" s="272">
        <v>229.72499999999999</v>
      </c>
      <c r="R60" s="272">
        <v>0</v>
      </c>
      <c r="DP60" s="18">
        <f>'Monthly Data'!F60</f>
        <v>40900798.175965577</v>
      </c>
      <c r="DQ60" s="18">
        <f>'Monthly Data'!J60</f>
        <v>10350429.699744491</v>
      </c>
      <c r="DR60" s="18">
        <f>'Monthly Data'!N60</f>
        <v>30825542.226426981</v>
      </c>
      <c r="DS60" s="4">
        <f>'Monthly Data'!S60</f>
        <v>6504414.3737810226</v>
      </c>
      <c r="DT60" s="4">
        <f>'Monthly Data'!V60</f>
        <v>3235594.6355934963</v>
      </c>
      <c r="DU60" s="18">
        <f t="shared" si="7"/>
        <v>42565416.382011928</v>
      </c>
      <c r="DV60" s="18">
        <f t="shared" si="8"/>
        <v>11272122.644740941</v>
      </c>
      <c r="DW60" s="18">
        <f t="shared" si="9"/>
        <v>28630967.26196206</v>
      </c>
      <c r="DX60" s="18">
        <f t="shared" si="10"/>
        <v>6849680.9845259301</v>
      </c>
      <c r="DY60" s="18">
        <f t="shared" si="11"/>
        <v>3170941.3036138397</v>
      </c>
      <c r="EK60" s="1" t="s">
        <v>153</v>
      </c>
      <c r="ER60" s="24">
        <f>'Monthly Data'!F60/'Monthly Data'!G60/'Monthly Data'!CD60</f>
        <v>24.909285791000904</v>
      </c>
      <c r="ES60" s="268">
        <f>'Monthly Data'!J60/'Monthly Data'!K60/'Monthly Data'!CD60</f>
        <v>82.460402324286889</v>
      </c>
      <c r="ET60" s="24">
        <f>'Monthly Data'!N60/'Monthly Data'!P60/'Monthly Data'!CD60</f>
        <v>1938.7133475740238</v>
      </c>
      <c r="EU60" s="24">
        <f>'Monthly Data'!Q60/'Monthly Data'!U60/'Monthly Data'!CD60</f>
        <v>13449.584616457498</v>
      </c>
      <c r="EV60" s="24">
        <f>'Monthly Data'!V60/'Monthly Data'!Z60/'Monthly Data'!CD60</f>
        <v>107853.1545197832</v>
      </c>
      <c r="EW60" s="24"/>
      <c r="FG60" s="24"/>
    </row>
    <row r="61" spans="1:163" x14ac:dyDescent="0.25">
      <c r="A61" s="3">
        <v>43800</v>
      </c>
      <c r="B61" s="1">
        <v>2019</v>
      </c>
      <c r="C61" s="1">
        <v>12</v>
      </c>
      <c r="D61" s="272">
        <v>-1.8202956989247305</v>
      </c>
      <c r="E61" s="272">
        <v>676.42916666666656</v>
      </c>
      <c r="F61" s="272">
        <v>0</v>
      </c>
      <c r="G61" s="272">
        <v>614.42916666666667</v>
      </c>
      <c r="H61" s="272">
        <v>0</v>
      </c>
      <c r="I61" s="272">
        <v>552.42916666666667</v>
      </c>
      <c r="J61" s="272">
        <v>0</v>
      </c>
      <c r="K61" s="272">
        <v>490.42916666666656</v>
      </c>
      <c r="L61" s="272">
        <v>0</v>
      </c>
      <c r="M61" s="272">
        <v>428.42916666666656</v>
      </c>
      <c r="N61" s="272">
        <v>0</v>
      </c>
      <c r="O61" s="272">
        <v>366.42916666666656</v>
      </c>
      <c r="P61" s="272">
        <v>0</v>
      </c>
      <c r="Q61" s="272">
        <v>304.42916666666662</v>
      </c>
      <c r="R61" s="272">
        <v>0</v>
      </c>
      <c r="DP61" s="18">
        <f>'Monthly Data'!F61</f>
        <v>46344241.546475172</v>
      </c>
      <c r="DQ61" s="18">
        <f>'Monthly Data'!J61</f>
        <v>11008452.135093993</v>
      </c>
      <c r="DR61" s="18">
        <f>'Monthly Data'!N61</f>
        <v>30515644.19160156</v>
      </c>
      <c r="DS61" s="4">
        <f>'Monthly Data'!S61</f>
        <v>6916748.0792108662</v>
      </c>
      <c r="DT61" s="4">
        <f>'Monthly Data'!V61</f>
        <v>3129610.3284404315</v>
      </c>
      <c r="DU61" s="18">
        <f t="shared" si="7"/>
        <v>45057767.02266179</v>
      </c>
      <c r="DV61" s="18">
        <f t="shared" si="8"/>
        <v>11734674.217769928</v>
      </c>
      <c r="DW61" s="18">
        <f t="shared" si="9"/>
        <v>30168079.17491902</v>
      </c>
      <c r="DX61" s="18">
        <f t="shared" si="10"/>
        <v>6863273.3843524195</v>
      </c>
      <c r="DY61" s="18">
        <f t="shared" si="11"/>
        <v>3187778.3495517811</v>
      </c>
      <c r="EK61" s="1" t="s">
        <v>154</v>
      </c>
      <c r="EL61" s="283">
        <v>1308086919709120</v>
      </c>
      <c r="EM61" s="1" t="s">
        <v>155</v>
      </c>
      <c r="EN61" s="1">
        <v>3358066.6129192198</v>
      </c>
      <c r="ER61" s="24">
        <f>'Monthly Data'!F61/'Monthly Data'!G61/'Monthly Data'!CD61</f>
        <v>27.386523297377877</v>
      </c>
      <c r="ES61" s="268">
        <f>'Monthly Data'!J61/'Monthly Data'!K61/'Monthly Data'!CD61</f>
        <v>84.812839550174445</v>
      </c>
      <c r="ET61" s="24">
        <f>'Monthly Data'!N61/'Monthly Data'!P61/'Monthly Data'!CD61</f>
        <v>1846.8585723900962</v>
      </c>
      <c r="EU61" s="24">
        <f>'Monthly Data'!Q61/'Monthly Data'!U61/'Monthly Data'!CD61</f>
        <v>13965.804710465422</v>
      </c>
      <c r="EV61" s="24">
        <f>'Monthly Data'!V61/'Monthly Data'!Z61/'Monthly Data'!CD61</f>
        <v>100955.17188517521</v>
      </c>
      <c r="EW61" s="24"/>
      <c r="FG61" s="24"/>
    </row>
    <row r="62" spans="1:163" x14ac:dyDescent="0.25">
      <c r="A62" s="3">
        <v>43831</v>
      </c>
      <c r="B62" s="1">
        <f>B50+1</f>
        <v>2020</v>
      </c>
      <c r="C62" s="1">
        <f>C50</f>
        <v>1</v>
      </c>
      <c r="D62" s="272">
        <v>-2.2845430107526878</v>
      </c>
      <c r="E62" s="272">
        <v>690.82083333333321</v>
      </c>
      <c r="F62" s="272">
        <v>0</v>
      </c>
      <c r="G62" s="272">
        <v>628.82083333333333</v>
      </c>
      <c r="H62" s="272">
        <v>0</v>
      </c>
      <c r="I62" s="272">
        <v>566.82083333333333</v>
      </c>
      <c r="J62" s="272">
        <v>0</v>
      </c>
      <c r="K62" s="272">
        <v>504.82083333333333</v>
      </c>
      <c r="L62" s="272">
        <v>0</v>
      </c>
      <c r="M62" s="272">
        <v>442.82083333333327</v>
      </c>
      <c r="N62" s="272">
        <v>0</v>
      </c>
      <c r="O62" s="272">
        <v>380.82083333333333</v>
      </c>
      <c r="P62" s="272">
        <v>0</v>
      </c>
      <c r="Q62" s="272">
        <v>318.82083333333333</v>
      </c>
      <c r="R62" s="272">
        <v>0</v>
      </c>
      <c r="DP62" s="18">
        <f>'Monthly Data'!F62</f>
        <v>48338968.594280884</v>
      </c>
      <c r="DQ62" s="18">
        <f>'Monthly Data'!J62</f>
        <v>12171705.298896791</v>
      </c>
      <c r="DR62" s="18">
        <f>'Monthly Data'!N62</f>
        <v>31665184.615771491</v>
      </c>
      <c r="DS62" s="4">
        <f>'Monthly Data'!S62</f>
        <v>7135430.5825945279</v>
      </c>
      <c r="DT62" s="4">
        <f>'Monthly Data'!V62</f>
        <v>3051730.6981788147</v>
      </c>
      <c r="DU62" s="18">
        <f t="shared" si="7"/>
        <v>45502218.419884391</v>
      </c>
      <c r="DV62" s="18">
        <f t="shared" si="8"/>
        <v>11815164.576641515</v>
      </c>
      <c r="DW62" s="18">
        <f t="shared" si="9"/>
        <v>30456480.747375615</v>
      </c>
      <c r="DX62" s="18">
        <f t="shared" si="10"/>
        <v>6865758.8599731876</v>
      </c>
      <c r="DY62" s="18">
        <f t="shared" si="11"/>
        <v>3190857.1338532078</v>
      </c>
      <c r="EK62" s="1" t="s">
        <v>156</v>
      </c>
      <c r="EL62" s="1">
        <v>0.44465450217583902</v>
      </c>
      <c r="EM62" s="1" t="s">
        <v>157</v>
      </c>
      <c r="EN62" s="1">
        <v>0.43507957979956102</v>
      </c>
      <c r="ER62" s="24">
        <f>'Monthly Data'!F62/'Monthly Data'!G62/'Monthly Data'!CD62</f>
        <v>28.736898152619659</v>
      </c>
      <c r="ES62" s="268">
        <f>'Monthly Data'!J62/'Monthly Data'!K62/'Monthly Data'!CD62</f>
        <v>93.640747627742016</v>
      </c>
      <c r="ET62" s="24">
        <f>'Monthly Data'!N62/'Monthly Data'!P62/'Monthly Data'!CD62</f>
        <v>1898.6200153358609</v>
      </c>
      <c r="EU62" s="24">
        <f>'Monthly Data'!Q62/'Monthly Data'!U62/'Monthly Data'!CD62</f>
        <v>14469.696032290589</v>
      </c>
      <c r="EV62" s="24">
        <f>'Monthly Data'!V62/'Monthly Data'!Z62/'Monthly Data'!CD62</f>
        <v>98442.925747703703</v>
      </c>
      <c r="EW62" s="24"/>
      <c r="FG62" s="24"/>
    </row>
    <row r="63" spans="1:163" x14ac:dyDescent="0.25">
      <c r="A63" s="3">
        <v>43862</v>
      </c>
      <c r="B63" s="1">
        <f t="shared" ref="B63:B121" si="84">B51+1</f>
        <v>2020</v>
      </c>
      <c r="C63" s="1">
        <f t="shared" ref="C63:C121" si="85">C51</f>
        <v>2</v>
      </c>
      <c r="D63" s="272">
        <v>-3.3931034482758609</v>
      </c>
      <c r="E63" s="272">
        <v>678.4000000000002</v>
      </c>
      <c r="F63" s="272">
        <v>0</v>
      </c>
      <c r="G63" s="272">
        <v>620.40000000000009</v>
      </c>
      <c r="H63" s="272">
        <v>0</v>
      </c>
      <c r="I63" s="272">
        <v>562.4</v>
      </c>
      <c r="J63" s="272">
        <v>0</v>
      </c>
      <c r="K63" s="272">
        <v>504.40000000000003</v>
      </c>
      <c r="L63" s="272">
        <v>0</v>
      </c>
      <c r="M63" s="272">
        <v>446.40000000000003</v>
      </c>
      <c r="N63" s="272">
        <v>0</v>
      </c>
      <c r="O63" s="272">
        <v>388.40000000000003</v>
      </c>
      <c r="P63" s="272">
        <v>0</v>
      </c>
      <c r="Q63" s="272">
        <v>330.40000000000003</v>
      </c>
      <c r="R63" s="272">
        <v>0</v>
      </c>
      <c r="DP63" s="18">
        <f>'Monthly Data'!F63</f>
        <v>45824867.163535185</v>
      </c>
      <c r="DQ63" s="18">
        <f>'Monthly Data'!J63</f>
        <v>11320017.388098987</v>
      </c>
      <c r="DR63" s="18">
        <f>'Monthly Data'!N63</f>
        <v>28996456.425020933</v>
      </c>
      <c r="DS63" s="4">
        <f>'Monthly Data'!S63</f>
        <v>6643831.0976723712</v>
      </c>
      <c r="DT63" s="4">
        <f>'Monthly Data'!V63</f>
        <v>2738816.0758073898</v>
      </c>
      <c r="DU63" s="18">
        <f t="shared" si="7"/>
        <v>45489222.012496009</v>
      </c>
      <c r="DV63" s="18">
        <f t="shared" si="8"/>
        <v>11790439.541678354</v>
      </c>
      <c r="DW63" s="18">
        <f t="shared" si="9"/>
        <v>30608363.335765462</v>
      </c>
      <c r="DX63" s="18">
        <f t="shared" si="10"/>
        <v>6866376.9907080578</v>
      </c>
      <c r="DY63" s="18">
        <f t="shared" si="11"/>
        <v>3191622.8187735686</v>
      </c>
      <c r="EK63" s="1" t="s">
        <v>158</v>
      </c>
      <c r="EL63" s="1">
        <v>58.688751459529499</v>
      </c>
      <c r="EM63" s="1" t="s">
        <v>159</v>
      </c>
      <c r="EN63" s="283">
        <v>2.4611723717994502E-18</v>
      </c>
      <c r="ER63" s="24">
        <f>'Monthly Data'!F63/'Monthly Data'!G63/'Monthly Data'!CD63</f>
        <v>29.168380278830274</v>
      </c>
      <c r="ES63" s="268">
        <f>'Monthly Data'!J63/'Monthly Data'!K63/'Monthly Data'!CD63</f>
        <v>92.961521118320334</v>
      </c>
      <c r="ET63" s="24">
        <f>'Monthly Data'!N63/'Monthly Data'!P63/'Monthly Data'!CD63</f>
        <v>1868.9304817931634</v>
      </c>
      <c r="EU63" s="24">
        <f>'Monthly Data'!Q63/'Monthly Data'!U63/'Monthly Data'!CD63</f>
        <v>14256.772012636504</v>
      </c>
      <c r="EV63" s="24">
        <f>'Monthly Data'!V63/'Monthly Data'!Z63/'Monthly Data'!CD63</f>
        <v>94441.933648530685</v>
      </c>
      <c r="EW63" s="24"/>
      <c r="FG63" s="24"/>
    </row>
    <row r="64" spans="1:163" x14ac:dyDescent="0.25">
      <c r="A64" s="3">
        <v>43891</v>
      </c>
      <c r="B64" s="1">
        <f t="shared" si="84"/>
        <v>2020</v>
      </c>
      <c r="C64" s="1">
        <f t="shared" si="85"/>
        <v>3</v>
      </c>
      <c r="D64" s="272">
        <v>2.4654569892473122</v>
      </c>
      <c r="E64" s="272">
        <v>543.57083333333344</v>
      </c>
      <c r="F64" s="272">
        <v>0</v>
      </c>
      <c r="G64" s="272">
        <v>481.57083333333344</v>
      </c>
      <c r="H64" s="272">
        <v>0</v>
      </c>
      <c r="I64" s="272">
        <v>419.57083333333344</v>
      </c>
      <c r="J64" s="272">
        <v>0</v>
      </c>
      <c r="K64" s="272">
        <v>357.57083333333344</v>
      </c>
      <c r="L64" s="272">
        <v>0</v>
      </c>
      <c r="M64" s="272">
        <v>295.57083333333338</v>
      </c>
      <c r="N64" s="272">
        <v>0</v>
      </c>
      <c r="O64" s="272">
        <v>233.60833333333338</v>
      </c>
      <c r="P64" s="272">
        <v>3.7499999999999645E-2</v>
      </c>
      <c r="Q64" s="272">
        <v>174.47500000000005</v>
      </c>
      <c r="R64" s="272">
        <v>2.9041666666666668</v>
      </c>
      <c r="DP64" s="18">
        <f>'Monthly Data'!F64</f>
        <v>40318850.692109823</v>
      </c>
      <c r="DQ64" s="18">
        <f>'Monthly Data'!J64</f>
        <v>10567020.275292698</v>
      </c>
      <c r="DR64" s="18">
        <f>'Monthly Data'!N64</f>
        <v>27523984.230147589</v>
      </c>
      <c r="DS64" s="4">
        <f>'Monthly Data'!S64</f>
        <v>6564881.6992580527</v>
      </c>
      <c r="DT64" s="4">
        <f>'Monthly Data'!V64</f>
        <v>2583844.5749993362</v>
      </c>
      <c r="DU64" s="18">
        <f t="shared" si="7"/>
        <v>40954762.60695827</v>
      </c>
      <c r="DV64" s="18">
        <f t="shared" si="8"/>
        <v>10991618.171742305</v>
      </c>
      <c r="DW64" s="18">
        <f t="shared" si="9"/>
        <v>27506418.223790277</v>
      </c>
      <c r="DX64" s="18">
        <f t="shared" si="10"/>
        <v>6840328.4290415281</v>
      </c>
      <c r="DY64" s="18">
        <f t="shared" si="11"/>
        <v>3159356.196617417</v>
      </c>
      <c r="EK64" s="1" t="s">
        <v>160</v>
      </c>
      <c r="EL64" s="1">
        <v>-6.7314265697769493E-2</v>
      </c>
      <c r="EM64" s="1" t="s">
        <v>161</v>
      </c>
      <c r="EN64" s="1">
        <v>2.1302291326545402</v>
      </c>
      <c r="ER64" s="24">
        <f>'Monthly Data'!F64/'Monthly Data'!G64/'Monthly Data'!CD64</f>
        <v>23.924949171153607</v>
      </c>
      <c r="ES64" s="268">
        <f>'Monthly Data'!J64/'Monthly Data'!K64/'Monthly Data'!CD64</f>
        <v>81.121280767166922</v>
      </c>
      <c r="ET64" s="24">
        <f>'Monthly Data'!N64/'Monthly Data'!P64/'Monthly Data'!CD64</f>
        <v>1659.5709514710634</v>
      </c>
      <c r="EU64" s="24">
        <f>'Monthly Data'!Q64/'Monthly Data'!U64/'Monthly Data'!CD64</f>
        <v>13155.071158420653</v>
      </c>
      <c r="EV64" s="24">
        <f>'Monthly Data'!V64/'Monthly Data'!Z64/'Monthly Data'!CD64</f>
        <v>83349.824999978591</v>
      </c>
      <c r="EW64" s="24"/>
      <c r="FG64" s="24"/>
    </row>
    <row r="65" spans="1:163" x14ac:dyDescent="0.25">
      <c r="A65" s="3">
        <v>43922</v>
      </c>
      <c r="B65" s="1">
        <f t="shared" si="84"/>
        <v>2020</v>
      </c>
      <c r="C65" s="1">
        <f t="shared" si="85"/>
        <v>4</v>
      </c>
      <c r="D65" s="272">
        <v>5.3441666666666672</v>
      </c>
      <c r="E65" s="272">
        <v>439.67500000000013</v>
      </c>
      <c r="F65" s="272">
        <v>0</v>
      </c>
      <c r="G65" s="272">
        <v>379.67500000000013</v>
      </c>
      <c r="H65" s="272">
        <v>0</v>
      </c>
      <c r="I65" s="272">
        <v>319.67500000000007</v>
      </c>
      <c r="J65" s="272">
        <v>0</v>
      </c>
      <c r="K65" s="272">
        <v>259.67500000000007</v>
      </c>
      <c r="L65" s="272">
        <v>0</v>
      </c>
      <c r="M65" s="272">
        <v>199.67500000000004</v>
      </c>
      <c r="N65" s="272">
        <v>0</v>
      </c>
      <c r="O65" s="272">
        <v>141.82916666666665</v>
      </c>
      <c r="P65" s="272">
        <v>2.1541666666666721</v>
      </c>
      <c r="Q65" s="272">
        <v>89.183333333333337</v>
      </c>
      <c r="R65" s="272">
        <v>9.5083333333333364</v>
      </c>
      <c r="DP65" s="18">
        <f>'Monthly Data'!F65</f>
        <v>41695243.05434832</v>
      </c>
      <c r="DQ65" s="18">
        <f>'Monthly Data'!J65</f>
        <v>8512616.9184663724</v>
      </c>
      <c r="DR65" s="18">
        <f>'Monthly Data'!N65</f>
        <v>22124574.074711651</v>
      </c>
      <c r="DS65" s="4">
        <f>'Monthly Data'!S65</f>
        <v>5198888.1617160002</v>
      </c>
      <c r="DT65" s="4">
        <f>'Monthly Data'!V65</f>
        <v>2026215.689811578</v>
      </c>
      <c r="DU65" s="18">
        <f t="shared" si="7"/>
        <v>37931489.422897741</v>
      </c>
      <c r="DV65" s="18">
        <f t="shared" si="8"/>
        <v>10432916.274247723</v>
      </c>
      <c r="DW65" s="18">
        <f t="shared" si="9"/>
        <v>25667211.091045257</v>
      </c>
      <c r="DX65" s="18">
        <f t="shared" si="10"/>
        <v>6823766.9868261302</v>
      </c>
      <c r="DY65" s="18">
        <f t="shared" si="11"/>
        <v>3138841.3672319688</v>
      </c>
      <c r="ER65" s="24">
        <f>'Monthly Data'!F65/'Monthly Data'!G65/'Monthly Data'!CD65</f>
        <v>25.561712556921648</v>
      </c>
      <c r="ES65" s="268">
        <f>'Monthly Data'!J65/'Monthly Data'!K65/'Monthly Data'!CD65</f>
        <v>67.5443697410646</v>
      </c>
      <c r="ET65" s="24">
        <f>'Monthly Data'!N65/'Monthly Data'!P65/'Monthly Data'!CD65</f>
        <v>1375.9063479298288</v>
      </c>
      <c r="EU65" s="24">
        <f>'Monthly Data'!Q65/'Monthly Data'!U65/'Monthly Data'!CD65</f>
        <v>10341.209974407078</v>
      </c>
      <c r="EV65" s="24">
        <f>'Monthly Data'!V65/'Monthly Data'!Z65/'Monthly Data'!CD65</f>
        <v>67540.522993719263</v>
      </c>
      <c r="EW65" s="24"/>
      <c r="FG65" s="24"/>
    </row>
    <row r="66" spans="1:163" x14ac:dyDescent="0.25">
      <c r="A66" s="3">
        <v>43952</v>
      </c>
      <c r="B66" s="1">
        <f t="shared" si="84"/>
        <v>2020</v>
      </c>
      <c r="C66" s="1">
        <f t="shared" si="85"/>
        <v>5</v>
      </c>
      <c r="D66" s="272">
        <v>11.704857910906297</v>
      </c>
      <c r="E66" s="272">
        <v>265.14107142857148</v>
      </c>
      <c r="F66" s="272">
        <v>7.9916666666666636</v>
      </c>
      <c r="G66" s="272">
        <v>212.73690476190475</v>
      </c>
      <c r="H66" s="272">
        <v>17.587499999999995</v>
      </c>
      <c r="I66" s="272">
        <v>164.60000000000005</v>
      </c>
      <c r="J66" s="272">
        <v>31.450595238095232</v>
      </c>
      <c r="K66" s="272">
        <v>122.05</v>
      </c>
      <c r="L66" s="272">
        <v>50.900595238095221</v>
      </c>
      <c r="M66" s="272">
        <v>86.899999999999977</v>
      </c>
      <c r="N66" s="272">
        <v>77.750595238095229</v>
      </c>
      <c r="O66" s="272">
        <v>59.029166666666669</v>
      </c>
      <c r="P66" s="272">
        <v>111.87976190476191</v>
      </c>
      <c r="Q66" s="272">
        <v>36.524999999999999</v>
      </c>
      <c r="R66" s="272">
        <v>151.37559523809523</v>
      </c>
      <c r="DP66" s="18">
        <f>'Monthly Data'!F66</f>
        <v>39366599.834296227</v>
      </c>
      <c r="DQ66" s="18">
        <f>'Monthly Data'!J66</f>
        <v>8422331.1027372573</v>
      </c>
      <c r="DR66" s="18">
        <f>'Monthly Data'!N66</f>
        <v>21859678.942449689</v>
      </c>
      <c r="DS66" s="4">
        <f>'Monthly Data'!S66</f>
        <v>5975758.5394809321</v>
      </c>
      <c r="DT66" s="4">
        <f>'Monthly Data'!V66</f>
        <v>1950073.45202516</v>
      </c>
      <c r="DU66" s="18">
        <f t="shared" si="7"/>
        <v>39149083.225152761</v>
      </c>
      <c r="DV66" s="18">
        <f t="shared" si="8"/>
        <v>10249612.687361646</v>
      </c>
      <c r="DW66" s="18">
        <f t="shared" si="9"/>
        <v>25222437.903175149</v>
      </c>
      <c r="DX66" s="18">
        <f t="shared" si="10"/>
        <v>7168112.8883874137</v>
      </c>
      <c r="DY66" s="18">
        <f t="shared" si="11"/>
        <v>3185372.5337127144</v>
      </c>
      <c r="EK66" s="1" t="s">
        <v>162</v>
      </c>
      <c r="ER66" s="24">
        <f>'Monthly Data'!F66/'Monthly Data'!G66/'Monthly Data'!CD66</f>
        <v>23.342284749652816</v>
      </c>
      <c r="ES66" s="268">
        <f>'Monthly Data'!J66/'Monthly Data'!K66/'Monthly Data'!CD66</f>
        <v>64.672244724660473</v>
      </c>
      <c r="ET66" s="24">
        <f>'Monthly Data'!N66/'Monthly Data'!P66/'Monthly Data'!CD66</f>
        <v>1313.1302302186393</v>
      </c>
      <c r="EU66" s="24">
        <f>'Monthly Data'!Q66/'Monthly Data'!U66/'Monthly Data'!CD66</f>
        <v>11797.648412567665</v>
      </c>
      <c r="EV66" s="24">
        <f>'Monthly Data'!V66/'Monthly Data'!Z66/'Monthly Data'!CD66</f>
        <v>62905.595226618061</v>
      </c>
      <c r="EW66" s="24"/>
      <c r="FG66" s="24"/>
    </row>
    <row r="67" spans="1:163" x14ac:dyDescent="0.25">
      <c r="A67" s="3">
        <v>43983</v>
      </c>
      <c r="B67" s="1">
        <f t="shared" si="84"/>
        <v>2020</v>
      </c>
      <c r="C67" s="1">
        <f t="shared" si="85"/>
        <v>6</v>
      </c>
      <c r="D67" s="272">
        <v>19.417874396135264</v>
      </c>
      <c r="E67" s="272">
        <v>53.275000000000006</v>
      </c>
      <c r="F67" s="272">
        <v>35.811231884057946</v>
      </c>
      <c r="G67" s="272">
        <v>29.733333333333348</v>
      </c>
      <c r="H67" s="272">
        <v>72.269565217391289</v>
      </c>
      <c r="I67" s="272">
        <v>13.145833333333346</v>
      </c>
      <c r="J67" s="272">
        <v>115.68206521739128</v>
      </c>
      <c r="K67" s="272">
        <v>3.4333333333333353</v>
      </c>
      <c r="L67" s="272">
        <v>165.96956521739128</v>
      </c>
      <c r="M67" s="272">
        <v>0</v>
      </c>
      <c r="N67" s="272">
        <v>222.53623188405788</v>
      </c>
      <c r="O67" s="272">
        <v>0</v>
      </c>
      <c r="P67" s="272">
        <v>282.53623188405788</v>
      </c>
      <c r="Q67" s="272">
        <v>0</v>
      </c>
      <c r="R67" s="272">
        <v>342.536231884058</v>
      </c>
      <c r="DP67" s="18">
        <f>'Monthly Data'!F67</f>
        <v>47154097.622346401</v>
      </c>
      <c r="DQ67" s="18">
        <f>'Monthly Data'!J67</f>
        <v>9420600.9622815214</v>
      </c>
      <c r="DR67" s="18">
        <f>'Monthly Data'!N67</f>
        <v>24219008.095878799</v>
      </c>
      <c r="DS67" s="4">
        <f>'Monthly Data'!S67</f>
        <v>7052492.3045150973</v>
      </c>
      <c r="DT67" s="4">
        <f>'Monthly Data'!V67</f>
        <v>2214827.6747113038</v>
      </c>
      <c r="DU67" s="18">
        <f t="shared" ref="DU67:DU121" si="86">$EL$17+K67*$EL$18+N67*$EL$19</f>
        <v>45667937.36732012</v>
      </c>
      <c r="DV67" s="18">
        <f t="shared" ref="DV67:DV121" si="87">$EL$37+I67*$EL$38+L67*$EL$39</f>
        <v>10948860.316430124</v>
      </c>
      <c r="DW67" s="18">
        <f t="shared" ref="DW67:DW121" si="88">$EL$56+O67*$EL$57+N67*$EL$58</f>
        <v>26301134.6952684</v>
      </c>
      <c r="DX67" s="18">
        <f t="shared" ref="DX67:DX121" si="89">$EL$75+M67*$EL$76+L67*$EL$77</f>
        <v>7975584.0497014299</v>
      </c>
      <c r="DY67" s="18">
        <f t="shared" ref="DY67:DY121" si="90">$EL$93+M67*$EL$94+L67*$EL$95</f>
        <v>3326513.4974676366</v>
      </c>
      <c r="EK67" s="1" t="s">
        <v>163</v>
      </c>
      <c r="EL67" s="1">
        <v>27287217.1923595</v>
      </c>
      <c r="EM67" s="1" t="s">
        <v>164</v>
      </c>
      <c r="EN67" s="1">
        <v>4466827.1682807896</v>
      </c>
      <c r="ER67" s="24">
        <f>'Monthly Data'!F67/'Monthly Data'!G67/'Monthly Data'!CD67</f>
        <v>28.829318135731434</v>
      </c>
      <c r="ES67" s="268">
        <f>'Monthly Data'!J67/'Monthly Data'!K67/'Monthly Data'!CD67</f>
        <v>74.677772194066762</v>
      </c>
      <c r="ET67" s="24">
        <f>'Monthly Data'!N67/'Monthly Data'!P67/'Monthly Data'!CD67</f>
        <v>1500.5581224212392</v>
      </c>
      <c r="EU67" s="24">
        <f>'Monthly Data'!Q67/'Monthly Data'!U67/'Monthly Data'!CD67</f>
        <v>14754.557190778554</v>
      </c>
      <c r="EV67" s="24">
        <f>'Monthly Data'!V67/'Monthly Data'!Z67/'Monthly Data'!CD67</f>
        <v>73827.589157043461</v>
      </c>
      <c r="EW67" s="24"/>
      <c r="FG67" s="24"/>
    </row>
    <row r="68" spans="1:163" x14ac:dyDescent="0.25">
      <c r="A68" s="3">
        <v>44013</v>
      </c>
      <c r="B68" s="1">
        <f t="shared" si="84"/>
        <v>2020</v>
      </c>
      <c r="C68" s="1">
        <f t="shared" si="85"/>
        <v>7</v>
      </c>
      <c r="D68" s="272">
        <v>23.964112903225804</v>
      </c>
      <c r="E68" s="272">
        <v>0</v>
      </c>
      <c r="F68" s="272">
        <v>122.88750000000002</v>
      </c>
      <c r="G68" s="272">
        <v>0</v>
      </c>
      <c r="H68" s="272">
        <v>184.88749999999999</v>
      </c>
      <c r="I68" s="272">
        <v>0</v>
      </c>
      <c r="J68" s="272">
        <v>246.88749999999999</v>
      </c>
      <c r="K68" s="272">
        <v>0</v>
      </c>
      <c r="L68" s="272">
        <v>308.88750000000005</v>
      </c>
      <c r="M68" s="272">
        <v>0</v>
      </c>
      <c r="N68" s="272">
        <v>370.88750000000005</v>
      </c>
      <c r="O68" s="272">
        <v>0</v>
      </c>
      <c r="P68" s="272">
        <v>432.88750000000005</v>
      </c>
      <c r="Q68" s="272">
        <v>0</v>
      </c>
      <c r="R68" s="272">
        <v>494.88750000000005</v>
      </c>
      <c r="DP68" s="18">
        <f>'Monthly Data'!F68</f>
        <v>60194460.576176599</v>
      </c>
      <c r="DQ68" s="18">
        <f>'Monthly Data'!J68</f>
        <v>11675848.915550508</v>
      </c>
      <c r="DR68" s="18">
        <f>'Monthly Data'!N68</f>
        <v>28888464.206618078</v>
      </c>
      <c r="DS68" s="4">
        <f>'Monthly Data'!S68</f>
        <v>8644136.8558436297</v>
      </c>
      <c r="DT68" s="4">
        <f>'Monthly Data'!V68</f>
        <v>2771707.1866302304</v>
      </c>
      <c r="DU68" s="18">
        <f t="shared" si="86"/>
        <v>55994699.593026161</v>
      </c>
      <c r="DV68" s="18">
        <f t="shared" si="87"/>
        <v>12795881.918305678</v>
      </c>
      <c r="DW68" s="18">
        <f t="shared" si="88"/>
        <v>28618442.143443283</v>
      </c>
      <c r="DX68" s="18">
        <f t="shared" si="89"/>
        <v>8997119.2237691097</v>
      </c>
      <c r="DY68" s="18">
        <f t="shared" si="90"/>
        <v>3524902.9661794249</v>
      </c>
      <c r="ER68" s="24">
        <f>'Monthly Data'!F68/'Monthly Data'!G68/'Monthly Data'!CD68</f>
        <v>35.623989446858026</v>
      </c>
      <c r="ES68" s="268">
        <f>'Monthly Data'!J68/'Monthly Data'!K68/'Monthly Data'!CD68</f>
        <v>89.505771767681438</v>
      </c>
      <c r="ET68" s="24">
        <f>'Monthly Data'!N68/'Monthly Data'!P68/'Monthly Data'!CD68</f>
        <v>1728.9164047290728</v>
      </c>
      <c r="EU68" s="24">
        <f>'Monthly Data'!Q68/'Monthly Data'!U68/'Monthly Data'!CD68</f>
        <v>16749.590140847282</v>
      </c>
      <c r="EV68" s="24">
        <f>'Monthly Data'!V68/'Monthly Data'!Z68/'Monthly Data'!CD68</f>
        <v>89409.909246136463</v>
      </c>
      <c r="EW68" s="24"/>
      <c r="FG68" s="24"/>
    </row>
    <row r="69" spans="1:163" x14ac:dyDescent="0.25">
      <c r="A69" s="3">
        <v>44044</v>
      </c>
      <c r="B69" s="1">
        <f t="shared" si="84"/>
        <v>2020</v>
      </c>
      <c r="C69" s="1">
        <f t="shared" si="85"/>
        <v>8</v>
      </c>
      <c r="D69" s="272">
        <v>20.997776148582602</v>
      </c>
      <c r="E69" s="272">
        <v>19.720833333333321</v>
      </c>
      <c r="F69" s="272">
        <v>50.651893939393972</v>
      </c>
      <c r="G69" s="272">
        <v>3.4874999999999972</v>
      </c>
      <c r="H69" s="272">
        <v>96.418560606060637</v>
      </c>
      <c r="I69" s="272">
        <v>0</v>
      </c>
      <c r="J69" s="272">
        <v>154.93106060606064</v>
      </c>
      <c r="K69" s="272">
        <v>0</v>
      </c>
      <c r="L69" s="272">
        <v>216.93106060606064</v>
      </c>
      <c r="M69" s="272">
        <v>0</v>
      </c>
      <c r="N69" s="272">
        <v>278.93106060606061</v>
      </c>
      <c r="O69" s="272">
        <v>0</v>
      </c>
      <c r="P69" s="272">
        <v>340.93106060606056</v>
      </c>
      <c r="Q69" s="272">
        <v>0</v>
      </c>
      <c r="R69" s="272">
        <v>402.93106060606067</v>
      </c>
      <c r="DP69" s="18">
        <f>'Monthly Data'!F69</f>
        <v>55662667.072527848</v>
      </c>
      <c r="DQ69" s="18">
        <f>'Monthly Data'!J69</f>
        <v>10788969.833497668</v>
      </c>
      <c r="DR69" s="18">
        <f>'Monthly Data'!N69</f>
        <v>26919034.292032495</v>
      </c>
      <c r="DS69" s="4">
        <f>'Monthly Data'!S69</f>
        <v>8115885.9892690107</v>
      </c>
      <c r="DT69" s="4">
        <f>'Monthly Data'!V69</f>
        <v>2823767.8385568643</v>
      </c>
      <c r="DU69" s="18">
        <f t="shared" si="86"/>
        <v>49527869.568469286</v>
      </c>
      <c r="DV69" s="18">
        <f t="shared" si="87"/>
        <v>11560162.920873817</v>
      </c>
      <c r="DW69" s="18">
        <f t="shared" si="88"/>
        <v>27182044.971909307</v>
      </c>
      <c r="DX69" s="18">
        <f t="shared" si="89"/>
        <v>8339841.7626455761</v>
      </c>
      <c r="DY69" s="18">
        <f t="shared" si="90"/>
        <v>3397254.9618632351</v>
      </c>
      <c r="ER69" s="24">
        <f>'Monthly Data'!F69/'Monthly Data'!G69/'Monthly Data'!CD69</f>
        <v>32.945027807519253</v>
      </c>
      <c r="ES69" s="268">
        <f>'Monthly Data'!J69/'Monthly Data'!K69/'Monthly Data'!CD69</f>
        <v>82.766060630567807</v>
      </c>
      <c r="ET69" s="24">
        <f>'Monthly Data'!N69/'Monthly Data'!P69/'Monthly Data'!CD69</f>
        <v>1608.0665646375444</v>
      </c>
      <c r="EU69" s="24">
        <f>'Monthly Data'!Q69/'Monthly Data'!U69/'Monthly Data'!CD69</f>
        <v>15613.568587006086</v>
      </c>
      <c r="EV69" s="24">
        <f>'Monthly Data'!V69/'Monthly Data'!Z69/'Monthly Data'!CD69</f>
        <v>91089.285114737562</v>
      </c>
      <c r="EW69" s="24"/>
      <c r="FG69" s="24"/>
    </row>
    <row r="70" spans="1:163" x14ac:dyDescent="0.25">
      <c r="A70" s="3">
        <v>44075</v>
      </c>
      <c r="B70" s="1">
        <f t="shared" si="84"/>
        <v>2020</v>
      </c>
      <c r="C70" s="1">
        <f t="shared" si="85"/>
        <v>9</v>
      </c>
      <c r="D70" s="272">
        <v>15.728182367149758</v>
      </c>
      <c r="E70" s="272">
        <v>132.75869565217394</v>
      </c>
      <c r="F70" s="272">
        <v>4.6041666666666714</v>
      </c>
      <c r="G70" s="272">
        <v>85.042028985507244</v>
      </c>
      <c r="H70" s="272">
        <v>16.887500000000003</v>
      </c>
      <c r="I70" s="272">
        <v>46.033695652173925</v>
      </c>
      <c r="J70" s="272">
        <v>37.879166666666663</v>
      </c>
      <c r="K70" s="272">
        <v>23.967028985507248</v>
      </c>
      <c r="L70" s="272">
        <v>75.812499999999972</v>
      </c>
      <c r="M70" s="272">
        <v>8.9666666666666686</v>
      </c>
      <c r="N70" s="272">
        <v>120.81213768115938</v>
      </c>
      <c r="O70" s="272">
        <v>2.2333333333333343</v>
      </c>
      <c r="P70" s="272">
        <v>174.07880434782609</v>
      </c>
      <c r="Q70" s="272">
        <v>0</v>
      </c>
      <c r="R70" s="272">
        <v>231.84547101449272</v>
      </c>
      <c r="DP70" s="18">
        <f>'Monthly Data'!F70</f>
        <v>44332780.477901466</v>
      </c>
      <c r="DQ70" s="18">
        <f>'Monthly Data'!J70</f>
        <v>9145054.428370472</v>
      </c>
      <c r="DR70" s="18">
        <f>'Monthly Data'!N70</f>
        <v>22899887.372774672</v>
      </c>
      <c r="DS70" s="4">
        <f>'Monthly Data'!S70</f>
        <v>6840875.8033127291</v>
      </c>
      <c r="DT70" s="4">
        <f>'Monthly Data'!V70</f>
        <v>2773278.0060593467</v>
      </c>
      <c r="DU70" s="18">
        <f t="shared" si="86"/>
        <v>39148330.644853011</v>
      </c>
      <c r="DV70" s="18">
        <f t="shared" si="87"/>
        <v>9921258.1844255216</v>
      </c>
      <c r="DW70" s="18">
        <f t="shared" si="88"/>
        <v>24756917.610358726</v>
      </c>
      <c r="DX70" s="18">
        <f t="shared" si="89"/>
        <v>7332716.5485911975</v>
      </c>
      <c r="DY70" s="18">
        <f t="shared" si="90"/>
        <v>3203281.4919036506</v>
      </c>
      <c r="EK70" s="1" t="s">
        <v>181</v>
      </c>
      <c r="ER70" s="24">
        <f>'Monthly Data'!F70/'Monthly Data'!G70/'Monthly Data'!CD70</f>
        <v>26.966903579689085</v>
      </c>
      <c r="ES70" s="268">
        <f>'Monthly Data'!J70/'Monthly Data'!K70/'Monthly Data'!CD70</f>
        <v>72.082087399467738</v>
      </c>
      <c r="ET70" s="24">
        <f>'Monthly Data'!N70/'Monthly Data'!P70/'Monthly Data'!CD70</f>
        <v>1421.4703521275401</v>
      </c>
      <c r="EU70" s="24">
        <f>'Monthly Data'!Q70/'Monthly Data'!U70/'Monthly Data'!CD70</f>
        <v>13300.66678008891</v>
      </c>
      <c r="EV70" s="24">
        <f>'Monthly Data'!V70/'Monthly Data'!Z70/'Monthly Data'!CD70</f>
        <v>92442.600201978217</v>
      </c>
      <c r="EW70" s="24"/>
      <c r="FG70" s="24"/>
    </row>
    <row r="71" spans="1:163" x14ac:dyDescent="0.25">
      <c r="A71" s="3">
        <v>44105</v>
      </c>
      <c r="B71" s="1">
        <f t="shared" si="84"/>
        <v>2020</v>
      </c>
      <c r="C71" s="1">
        <f t="shared" si="85"/>
        <v>10</v>
      </c>
      <c r="D71" s="272">
        <v>8.7150537634408618</v>
      </c>
      <c r="E71" s="272">
        <v>349.83333333333326</v>
      </c>
      <c r="F71" s="272">
        <v>0</v>
      </c>
      <c r="G71" s="272">
        <v>287.83333333333331</v>
      </c>
      <c r="H71" s="272">
        <v>0</v>
      </c>
      <c r="I71" s="272">
        <v>226.0625</v>
      </c>
      <c r="J71" s="272">
        <v>0.22916666666666785</v>
      </c>
      <c r="K71" s="272">
        <v>167.76250000000005</v>
      </c>
      <c r="L71" s="272">
        <v>3.9291666666666654</v>
      </c>
      <c r="M71" s="272">
        <v>112.09583333333335</v>
      </c>
      <c r="N71" s="272">
        <v>10.262500000000003</v>
      </c>
      <c r="O71" s="272">
        <v>71.3</v>
      </c>
      <c r="P71" s="272">
        <v>31.466666666666676</v>
      </c>
      <c r="Q71" s="272">
        <v>38.454166666666666</v>
      </c>
      <c r="R71" s="272">
        <v>60.620833333333344</v>
      </c>
      <c r="DP71" s="18">
        <f>'Monthly Data'!F71</f>
        <v>36451110.769841231</v>
      </c>
      <c r="DQ71" s="18">
        <f>'Monthly Data'!J71</f>
        <v>9117151.9850432202</v>
      </c>
      <c r="DR71" s="18">
        <f>'Monthly Data'!N71</f>
        <v>22361323.862121925</v>
      </c>
      <c r="DS71" s="4">
        <f>'Monthly Data'!S71</f>
        <v>6096532.0669815103</v>
      </c>
      <c r="DT71" s="4">
        <f>'Monthly Data'!V71</f>
        <v>2549443.6415996617</v>
      </c>
      <c r="DU71" s="18">
        <f t="shared" si="86"/>
        <v>35814706.421520591</v>
      </c>
      <c r="DV71" s="18">
        <f t="shared" si="87"/>
        <v>9962156.5843437035</v>
      </c>
      <c r="DW71" s="18">
        <f t="shared" si="88"/>
        <v>24414147.436078124</v>
      </c>
      <c r="DX71" s="18">
        <f t="shared" si="89"/>
        <v>6836726.3755450835</v>
      </c>
      <c r="DY71" s="18">
        <f t="shared" si="90"/>
        <v>3125559.9239355312</v>
      </c>
      <c r="EK71" s="1" t="s">
        <v>182</v>
      </c>
      <c r="ER71" s="24">
        <f>'Monthly Data'!F71/'Monthly Data'!G71/'Monthly Data'!CD71</f>
        <v>21.407364008558709</v>
      </c>
      <c r="ES71" s="268">
        <f>'Monthly Data'!J71/'Monthly Data'!K71/'Monthly Data'!CD71</f>
        <v>69.891082922261901</v>
      </c>
      <c r="ET71" s="24">
        <f>'Monthly Data'!N71/'Monthly Data'!P71/'Monthly Data'!CD71</f>
        <v>1330.87274503761</v>
      </c>
      <c r="EU71" s="24">
        <f>'Monthly Data'!Q71/'Monthly Data'!U71/'Monthly Data'!CD71</f>
        <v>11270.875610209143</v>
      </c>
      <c r="EV71" s="24">
        <f>'Monthly Data'!V71/'Monthly Data'!Z71/'Monthly Data'!CD71</f>
        <v>82240.117470956829</v>
      </c>
      <c r="EW71" s="24"/>
      <c r="FG71" s="24"/>
    </row>
    <row r="72" spans="1:163" x14ac:dyDescent="0.25">
      <c r="A72" s="3">
        <v>44136</v>
      </c>
      <c r="B72" s="1">
        <f t="shared" si="84"/>
        <v>2020</v>
      </c>
      <c r="C72" s="1">
        <f t="shared" si="85"/>
        <v>11</v>
      </c>
      <c r="D72" s="272">
        <v>5.7899758454106278</v>
      </c>
      <c r="E72" s="272">
        <v>426.30072463768113</v>
      </c>
      <c r="F72" s="272">
        <v>0</v>
      </c>
      <c r="G72" s="272">
        <v>366.30072463768118</v>
      </c>
      <c r="H72" s="272">
        <v>0</v>
      </c>
      <c r="I72" s="272">
        <v>306.30072463768124</v>
      </c>
      <c r="J72" s="272">
        <v>0</v>
      </c>
      <c r="K72" s="272">
        <v>246.30072463768118</v>
      </c>
      <c r="L72" s="272">
        <v>0</v>
      </c>
      <c r="M72" s="272">
        <v>188.12989130434778</v>
      </c>
      <c r="N72" s="272">
        <v>1.8291666666666622</v>
      </c>
      <c r="O72" s="272">
        <v>136.26322463768113</v>
      </c>
      <c r="P72" s="272">
        <v>9.9624999999999932</v>
      </c>
      <c r="Q72" s="272">
        <v>92.875724637681159</v>
      </c>
      <c r="R72" s="272">
        <v>26.574999999999996</v>
      </c>
      <c r="DP72" s="18">
        <f>'Monthly Data'!F72</f>
        <v>39603334.04316061</v>
      </c>
      <c r="DQ72" s="18">
        <f>'Monthly Data'!J72</f>
        <v>9609320.7237130906</v>
      </c>
      <c r="DR72" s="18">
        <f>'Monthly Data'!N72</f>
        <v>23101196.568596739</v>
      </c>
      <c r="DS72" s="4">
        <f>'Monthly Data'!S72</f>
        <v>6275162.6858837437</v>
      </c>
      <c r="DT72" s="4">
        <f>'Monthly Data'!V72</f>
        <v>2612945.5044569829</v>
      </c>
      <c r="DU72" s="18">
        <f t="shared" si="86"/>
        <v>37647093.680778973</v>
      </c>
      <c r="DV72" s="18">
        <f t="shared" si="87"/>
        <v>10358116.027098183</v>
      </c>
      <c r="DW72" s="18">
        <f t="shared" si="88"/>
        <v>25584244.81639393</v>
      </c>
      <c r="DX72" s="18">
        <f t="shared" si="89"/>
        <v>6821773.1186476359</v>
      </c>
      <c r="DY72" s="18">
        <f t="shared" si="90"/>
        <v>3136371.5421426506</v>
      </c>
      <c r="EK72" s="1" t="s">
        <v>183</v>
      </c>
      <c r="ER72" s="24">
        <f>'Monthly Data'!F72/'Monthly Data'!G72/'Monthly Data'!CD72</f>
        <v>24.043988320924164</v>
      </c>
      <c r="ES72" s="268">
        <f>'Monthly Data'!J72/'Monthly Data'!K72/'Monthly Data'!CD72</f>
        <v>75.527161233302607</v>
      </c>
      <c r="ET72" s="24">
        <f>'Monthly Data'!N72/'Monthly Data'!P72/'Monthly Data'!CD72</f>
        <v>1428.6454278662177</v>
      </c>
      <c r="EU72" s="24">
        <f>'Monthly Data'!Q72/'Monthly Data'!U72/'Monthly Data'!CD72</f>
        <v>12043.530270417659</v>
      </c>
      <c r="EV72" s="24">
        <f>'Monthly Data'!V72/'Monthly Data'!Z72/'Monthly Data'!CD72</f>
        <v>87098.183481899425</v>
      </c>
      <c r="EW72" s="24"/>
      <c r="FG72" s="24"/>
    </row>
    <row r="73" spans="1:163" x14ac:dyDescent="0.25">
      <c r="A73" s="3">
        <v>44166</v>
      </c>
      <c r="B73" s="1">
        <f t="shared" si="84"/>
        <v>2020</v>
      </c>
      <c r="C73" s="1">
        <f t="shared" si="85"/>
        <v>12</v>
      </c>
      <c r="D73" s="272">
        <v>-0.80336021505376376</v>
      </c>
      <c r="E73" s="272">
        <v>644.90416666666681</v>
      </c>
      <c r="F73" s="272">
        <v>0</v>
      </c>
      <c r="G73" s="272">
        <v>582.90416666666681</v>
      </c>
      <c r="H73" s="272">
        <v>0</v>
      </c>
      <c r="I73" s="272">
        <v>520.90416666666681</v>
      </c>
      <c r="J73" s="272">
        <v>0</v>
      </c>
      <c r="K73" s="272">
        <v>458.90416666666681</v>
      </c>
      <c r="L73" s="272">
        <v>0</v>
      </c>
      <c r="M73" s="272">
        <v>396.9041666666667</v>
      </c>
      <c r="N73" s="272">
        <v>0</v>
      </c>
      <c r="O73" s="272">
        <v>334.90416666666664</v>
      </c>
      <c r="P73" s="272">
        <v>0</v>
      </c>
      <c r="Q73" s="272">
        <v>272.9041666666667</v>
      </c>
      <c r="R73" s="272">
        <v>0</v>
      </c>
      <c r="DP73" s="18">
        <f>'Monthly Data'!F73</f>
        <v>46095359.099475369</v>
      </c>
      <c r="DQ73" s="18">
        <f>'Monthly Data'!J73</f>
        <v>10889770.675347887</v>
      </c>
      <c r="DR73" s="18">
        <f>'Monthly Data'!N73</f>
        <v>31742077.27981564</v>
      </c>
      <c r="DS73" s="4">
        <f>'Monthly Data'!S73</f>
        <v>6594890.4345861645</v>
      </c>
      <c r="DT73" s="4">
        <f>'Monthly Data'!V73</f>
        <v>2701865.657163329</v>
      </c>
      <c r="DU73" s="18">
        <f t="shared" si="86"/>
        <v>44084194.564240769</v>
      </c>
      <c r="DV73" s="18">
        <f t="shared" si="87"/>
        <v>11558359.783715956</v>
      </c>
      <c r="DW73" s="18">
        <f t="shared" si="88"/>
        <v>29536334.444980819</v>
      </c>
      <c r="DX73" s="18">
        <f t="shared" si="89"/>
        <v>6857828.9406504119</v>
      </c>
      <c r="DY73" s="18">
        <f t="shared" si="90"/>
        <v>3181034.2609517248</v>
      </c>
      <c r="ER73" s="24">
        <f>'Monthly Data'!F73/'Monthly Data'!G73/'Monthly Data'!CD73</f>
        <v>27.109335783500672</v>
      </c>
      <c r="ES73" s="268">
        <f>'Monthly Data'!J73/'Monthly Data'!K73/'Monthly Data'!CD73</f>
        <v>82.693720577029694</v>
      </c>
      <c r="ET73" s="24">
        <f>'Monthly Data'!N73/'Monthly Data'!P73/'Monthly Data'!CD73</f>
        <v>1903.2304400896774</v>
      </c>
      <c r="EU73" s="24">
        <f>'Monthly Data'!Q73/'Monthly Data'!U73/'Monthly Data'!CD73</f>
        <v>12342.617665438342</v>
      </c>
      <c r="EV73" s="24">
        <f>'Monthly Data'!V73/'Monthly Data'!Z73/'Monthly Data'!CD73</f>
        <v>87156.956682688033</v>
      </c>
      <c r="EW73" s="24"/>
      <c r="FG73" s="24"/>
    </row>
    <row r="74" spans="1:163" x14ac:dyDescent="0.25">
      <c r="A74" s="3">
        <v>44197</v>
      </c>
      <c r="B74" s="1">
        <f t="shared" si="84"/>
        <v>2021</v>
      </c>
      <c r="C74" s="1">
        <f t="shared" si="85"/>
        <v>1</v>
      </c>
      <c r="D74" s="272">
        <v>-3.0807795698924729</v>
      </c>
      <c r="E74" s="272">
        <v>715.50416666666661</v>
      </c>
      <c r="F74" s="272">
        <v>0</v>
      </c>
      <c r="G74" s="272">
        <v>653.50416666666661</v>
      </c>
      <c r="H74" s="272">
        <v>0</v>
      </c>
      <c r="I74" s="272">
        <v>591.50416666666661</v>
      </c>
      <c r="J74" s="272">
        <v>0</v>
      </c>
      <c r="K74" s="272">
        <v>529.50416666666661</v>
      </c>
      <c r="L74" s="272">
        <v>0</v>
      </c>
      <c r="M74" s="272">
        <v>467.50416666666661</v>
      </c>
      <c r="N74" s="272">
        <v>0</v>
      </c>
      <c r="O74" s="272">
        <v>405.50416666666661</v>
      </c>
      <c r="P74" s="272">
        <v>0</v>
      </c>
      <c r="Q74" s="272">
        <v>343.50416666666661</v>
      </c>
      <c r="R74" s="272">
        <v>0</v>
      </c>
      <c r="DP74" s="18">
        <f>'Monthly Data'!F74</f>
        <v>51584916.103606239</v>
      </c>
      <c r="DQ74" s="18">
        <f>'Monthly Data'!J74</f>
        <v>10756355.603735784</v>
      </c>
      <c r="DR74" s="18">
        <f>'Monthly Data'!N74</f>
        <v>29788407.599431217</v>
      </c>
      <c r="DS74" s="4">
        <f>'Monthly Data'!S74</f>
        <v>6462981.7309892355</v>
      </c>
      <c r="DT74" s="4">
        <f>'Monthly Data'!V74</f>
        <v>2837674</v>
      </c>
      <c r="DU74" s="18">
        <f t="shared" si="86"/>
        <v>46264502.750268497</v>
      </c>
      <c r="DV74" s="18">
        <f t="shared" si="87"/>
        <v>11953214.630479176</v>
      </c>
      <c r="DW74" s="18">
        <f t="shared" si="88"/>
        <v>30951122.008299999</v>
      </c>
      <c r="DX74" s="18">
        <f t="shared" si="89"/>
        <v>6870021.7313042339</v>
      </c>
      <c r="DY74" s="18">
        <f t="shared" si="90"/>
        <v>3196137.5965635879</v>
      </c>
      <c r="EL74" s="1" t="s">
        <v>148</v>
      </c>
      <c r="EM74" s="1" t="s">
        <v>149</v>
      </c>
      <c r="EN74" s="1" t="s">
        <v>150</v>
      </c>
      <c r="EO74" s="1" t="s">
        <v>151</v>
      </c>
      <c r="ER74" s="24">
        <f>'Monthly Data'!F74/'Monthly Data'!G74/'Monthly Data'!CD74</f>
        <v>30.458880358200936</v>
      </c>
      <c r="ES74" s="268">
        <f>'Monthly Data'!J74/'Monthly Data'!K74/'Monthly Data'!CD74</f>
        <v>81.622962367380609</v>
      </c>
      <c r="ET74" s="24">
        <f>'Monthly Data'!N74/'Monthly Data'!P74/'Monthly Data'!CD74</f>
        <v>1799.4688654966303</v>
      </c>
      <c r="EU74" s="24">
        <f>'Monthly Data'!Q74/'Monthly Data'!U74/'Monthly Data'!CD74</f>
        <v>10629.482643462763</v>
      </c>
      <c r="EV74" s="24">
        <f>'Monthly Data'!V74/'Monthly Data'!Z74/'Monthly Data'!CD74</f>
        <v>91537.870967741939</v>
      </c>
      <c r="EW74" s="24"/>
      <c r="FG74" s="24"/>
    </row>
    <row r="75" spans="1:163" x14ac:dyDescent="0.25">
      <c r="A75" s="3">
        <v>44228</v>
      </c>
      <c r="B75" s="1">
        <f t="shared" si="84"/>
        <v>2021</v>
      </c>
      <c r="C75" s="1">
        <f t="shared" si="85"/>
        <v>2</v>
      </c>
      <c r="D75" s="272">
        <v>-5.3376488095238086</v>
      </c>
      <c r="E75" s="272">
        <v>709.45416666666654</v>
      </c>
      <c r="F75" s="272">
        <v>0</v>
      </c>
      <c r="G75" s="272">
        <v>653.45416666666654</v>
      </c>
      <c r="H75" s="272">
        <v>0</v>
      </c>
      <c r="I75" s="272">
        <v>597.45416666666665</v>
      </c>
      <c r="J75" s="272">
        <v>0</v>
      </c>
      <c r="K75" s="272">
        <v>541.45416666666677</v>
      </c>
      <c r="L75" s="272">
        <v>0</v>
      </c>
      <c r="M75" s="272">
        <v>485.45416666666677</v>
      </c>
      <c r="N75" s="272">
        <v>0</v>
      </c>
      <c r="O75" s="272">
        <v>429.45416666666677</v>
      </c>
      <c r="P75" s="272">
        <v>0</v>
      </c>
      <c r="Q75" s="272">
        <v>373.45416666666665</v>
      </c>
      <c r="R75" s="272">
        <v>0</v>
      </c>
      <c r="X75" s="278"/>
      <c r="CN75" s="423"/>
      <c r="CO75" s="278"/>
      <c r="CP75" s="278"/>
      <c r="CQ75" s="278"/>
      <c r="CR75" s="278"/>
      <c r="CS75" s="278"/>
      <c r="CT75" s="278"/>
      <c r="CU75" s="278"/>
      <c r="CV75" s="278"/>
      <c r="CW75" s="278"/>
      <c r="CX75" s="278"/>
      <c r="CY75" s="278"/>
      <c r="CZ75" s="278"/>
      <c r="DA75" s="278"/>
      <c r="DB75" s="278"/>
      <c r="DP75" s="18">
        <f>'Monthly Data'!F75</f>
        <v>50363307.607176967</v>
      </c>
      <c r="DQ75" s="18">
        <f>'Monthly Data'!J75</f>
        <v>10124243.37225813</v>
      </c>
      <c r="DR75" s="18">
        <f>'Monthly Data'!N75</f>
        <v>25694265.154835682</v>
      </c>
      <c r="DS75" s="4">
        <f>'Monthly Data'!S75</f>
        <v>5458159.4994783401</v>
      </c>
      <c r="DT75" s="4">
        <f>'Monthly Data'!V75</f>
        <v>2471480</v>
      </c>
      <c r="DU75" s="18">
        <f t="shared" si="86"/>
        <v>46633549.249178298</v>
      </c>
      <c r="DV75" s="18">
        <f t="shared" si="87"/>
        <v>11986492.057366444</v>
      </c>
      <c r="DW75" s="18">
        <f t="shared" si="88"/>
        <v>31431067.64769794</v>
      </c>
      <c r="DX75" s="18">
        <f t="shared" si="89"/>
        <v>6873121.7396928472</v>
      </c>
      <c r="DY75" s="18">
        <f t="shared" si="90"/>
        <v>3199977.608946491</v>
      </c>
      <c r="EK75" s="1" t="s">
        <v>152</v>
      </c>
      <c r="EL75" s="1">
        <v>6789282.6316731302</v>
      </c>
      <c r="EM75" s="1">
        <v>163795.468825969</v>
      </c>
      <c r="EN75" s="1">
        <v>41.449758533226998</v>
      </c>
      <c r="EO75" s="283">
        <v>2.2028438159054801E-71</v>
      </c>
      <c r="ER75" s="24">
        <f>'Monthly Data'!F75/'Monthly Data'!G75/'Monthly Data'!CD75</f>
        <v>32.870788695160407</v>
      </c>
      <c r="ES75" s="268">
        <f>'Monthly Data'!J75/'Monthly Data'!K75/'Monthly Data'!CD75</f>
        <v>84.877962544082251</v>
      </c>
      <c r="ET75" s="24">
        <f>'Monthly Data'!N75/'Monthly Data'!P75/'Monthly Data'!CD75</f>
        <v>1708.8497708722855</v>
      </c>
      <c r="EU75" s="24">
        <f>'Monthly Data'!Q75/'Monthly Data'!U75/'Monthly Data'!CD75</f>
        <v>9655.7974499830161</v>
      </c>
      <c r="EV75" s="24">
        <f>'Monthly Data'!V75/'Monthly Data'!Z75/'Monthly Data'!CD75</f>
        <v>88267.142857142855</v>
      </c>
      <c r="EW75" s="24"/>
      <c r="FG75" s="24"/>
    </row>
    <row r="76" spans="1:163" x14ac:dyDescent="0.25">
      <c r="A76" s="3">
        <v>44256</v>
      </c>
      <c r="B76" s="1">
        <f t="shared" si="84"/>
        <v>2021</v>
      </c>
      <c r="C76" s="1">
        <f t="shared" si="85"/>
        <v>3</v>
      </c>
      <c r="D76" s="272">
        <v>2.1097942964001866</v>
      </c>
      <c r="E76" s="272">
        <v>554.59637681159427</v>
      </c>
      <c r="F76" s="272">
        <v>0</v>
      </c>
      <c r="G76" s="272">
        <v>492.59637681159415</v>
      </c>
      <c r="H76" s="272">
        <v>0</v>
      </c>
      <c r="I76" s="272">
        <v>430.59637681159427</v>
      </c>
      <c r="J76" s="272">
        <v>0</v>
      </c>
      <c r="K76" s="272">
        <v>368.59637681159427</v>
      </c>
      <c r="L76" s="272">
        <v>0</v>
      </c>
      <c r="M76" s="272">
        <v>306.89221014492756</v>
      </c>
      <c r="N76" s="272">
        <v>0.29583333333332895</v>
      </c>
      <c r="O76" s="272">
        <v>249.74637681159425</v>
      </c>
      <c r="P76" s="272">
        <v>5.1499999999999932</v>
      </c>
      <c r="Q76" s="272">
        <v>194.65054347826086</v>
      </c>
      <c r="R76" s="272">
        <v>12.05416666666666</v>
      </c>
      <c r="X76" s="278"/>
      <c r="CN76" s="423"/>
      <c r="CO76" s="278"/>
      <c r="CP76" s="278"/>
      <c r="CQ76" s="278"/>
      <c r="CR76" s="278"/>
      <c r="CS76" s="278"/>
      <c r="CT76" s="278"/>
      <c r="CU76" s="278"/>
      <c r="CV76" s="278"/>
      <c r="CW76" s="278"/>
      <c r="CX76" s="278"/>
      <c r="CY76" s="278"/>
      <c r="CZ76" s="278"/>
      <c r="DA76" s="278"/>
      <c r="DB76" s="278"/>
      <c r="DP76" s="18">
        <f>'Monthly Data'!F76</f>
        <v>41585587.214789972</v>
      </c>
      <c r="DQ76" s="18">
        <f>'Monthly Data'!J76</f>
        <v>11683964.166895431</v>
      </c>
      <c r="DR76" s="18">
        <f>'Monthly Data'!N76</f>
        <v>29773183.670959122</v>
      </c>
      <c r="DS76" s="4">
        <f>'Monthly Data'!S76</f>
        <v>6087613.54559239</v>
      </c>
      <c r="DT76" s="4">
        <f>'Monthly Data'!V76</f>
        <v>3003749</v>
      </c>
      <c r="DU76" s="18">
        <f t="shared" si="86"/>
        <v>41316063.987081125</v>
      </c>
      <c r="DV76" s="18">
        <f t="shared" si="87"/>
        <v>11053282.32585831</v>
      </c>
      <c r="DW76" s="18">
        <f t="shared" si="88"/>
        <v>27834437.323837403</v>
      </c>
      <c r="DX76" s="18">
        <f t="shared" si="89"/>
        <v>6842283.6581828427</v>
      </c>
      <c r="DY76" s="18">
        <f t="shared" si="90"/>
        <v>3161778.1591326273</v>
      </c>
      <c r="EK76" s="1" t="s">
        <v>59</v>
      </c>
      <c r="EL76" s="1">
        <v>172.70241719293799</v>
      </c>
      <c r="EM76" s="1">
        <v>475.29197746020498</v>
      </c>
      <c r="EN76" s="1">
        <v>0.36336068223957702</v>
      </c>
      <c r="EO76" s="1">
        <v>0.71699680590079296</v>
      </c>
      <c r="ER76" s="24">
        <f>'Monthly Data'!F76/'Monthly Data'!G76/'Monthly Data'!CD76</f>
        <v>24.447714736669742</v>
      </c>
      <c r="ES76" s="268">
        <f>'Monthly Data'!J76/'Monthly Data'!K76/'Monthly Data'!CD76</f>
        <v>88.329521888880379</v>
      </c>
      <c r="ET76" s="24">
        <f>'Monthly Data'!N76/'Monthly Data'!P76/'Monthly Data'!CD76</f>
        <v>1791.838208411117</v>
      </c>
      <c r="EU76" s="24">
        <f>'Monthly Data'!Q76/'Monthly Data'!U76/'Monthly Data'!CD76</f>
        <v>9914.3417398555994</v>
      </c>
      <c r="EV76" s="24">
        <f>'Monthly Data'!V76/'Monthly Data'!Z76/'Monthly Data'!CD76</f>
        <v>96895.129032258061</v>
      </c>
      <c r="EW76" s="24"/>
      <c r="FG76" s="24"/>
    </row>
    <row r="77" spans="1:163" x14ac:dyDescent="0.25">
      <c r="A77" s="3">
        <v>44287</v>
      </c>
      <c r="B77" s="1">
        <f t="shared" si="84"/>
        <v>2021</v>
      </c>
      <c r="C77" s="1">
        <f t="shared" si="85"/>
        <v>4</v>
      </c>
      <c r="D77" s="272">
        <v>7.3401388888888865</v>
      </c>
      <c r="E77" s="272">
        <v>379.79583333333329</v>
      </c>
      <c r="F77" s="272">
        <v>0</v>
      </c>
      <c r="G77" s="272">
        <v>319.79583333333329</v>
      </c>
      <c r="H77" s="272">
        <v>0</v>
      </c>
      <c r="I77" s="272">
        <v>260.00833333333338</v>
      </c>
      <c r="J77" s="272">
        <v>0.21249999999999858</v>
      </c>
      <c r="K77" s="272">
        <v>203.50416666666672</v>
      </c>
      <c r="L77" s="272">
        <v>3.7083333333333339</v>
      </c>
      <c r="M77" s="272">
        <v>150.85000000000002</v>
      </c>
      <c r="N77" s="272">
        <v>11.054166666666664</v>
      </c>
      <c r="O77" s="272">
        <v>102.15833333333332</v>
      </c>
      <c r="P77" s="272">
        <v>22.362499999999997</v>
      </c>
      <c r="Q77" s="272">
        <v>60.454166666666659</v>
      </c>
      <c r="R77" s="272">
        <v>40.658333333333331</v>
      </c>
      <c r="X77" s="278"/>
      <c r="CN77" s="423"/>
      <c r="CO77" s="278"/>
      <c r="CP77" s="278"/>
      <c r="CQ77" s="278"/>
      <c r="CR77" s="278"/>
      <c r="CS77" s="278"/>
      <c r="CT77" s="278"/>
      <c r="CU77" s="278"/>
      <c r="CV77" s="278"/>
      <c r="CW77" s="278"/>
      <c r="CX77" s="278"/>
      <c r="CY77" s="278"/>
      <c r="CZ77" s="278"/>
      <c r="DA77" s="278"/>
      <c r="DB77" s="278"/>
      <c r="DP77" s="18">
        <f>'Monthly Data'!F77</f>
        <v>39269226.956045598</v>
      </c>
      <c r="DQ77" s="18">
        <f>'Monthly Data'!J77</f>
        <v>9317165.6293833423</v>
      </c>
      <c r="DR77" s="18">
        <f>'Monthly Data'!N77</f>
        <v>23588043.487083253</v>
      </c>
      <c r="DS77" s="4">
        <f>'Monthly Data'!S77</f>
        <v>6925948.7904819697</v>
      </c>
      <c r="DT77" s="4">
        <f>'Monthly Data'!V77</f>
        <v>2727156</v>
      </c>
      <c r="DU77" s="18">
        <f t="shared" si="86"/>
        <v>36974174.210148327</v>
      </c>
      <c r="DV77" s="18">
        <f t="shared" si="87"/>
        <v>10149042.785229301</v>
      </c>
      <c r="DW77" s="18">
        <f t="shared" si="88"/>
        <v>25044898.667018935</v>
      </c>
      <c r="DX77" s="18">
        <f t="shared" si="89"/>
        <v>6841840.862381178</v>
      </c>
      <c r="DY77" s="18">
        <f t="shared" si="90"/>
        <v>3133543.9890237078</v>
      </c>
      <c r="EK77" s="1" t="s">
        <v>58</v>
      </c>
      <c r="EL77" s="1">
        <v>7147.7045594139599</v>
      </c>
      <c r="EM77" s="1">
        <v>1026.6979573855299</v>
      </c>
      <c r="EN77" s="1">
        <v>6.9618377128317901</v>
      </c>
      <c r="EO77" s="283">
        <v>2.1460955118808699E-10</v>
      </c>
      <c r="ER77" s="24">
        <f>'Monthly Data'!F77/'Monthly Data'!G77/'Monthly Data'!CD77</f>
        <v>23.779643059771583</v>
      </c>
      <c r="ES77" s="268">
        <f>'Monthly Data'!J77/'Monthly Data'!K77/'Monthly Data'!CD77</f>
        <v>72.835878903872285</v>
      </c>
      <c r="ET77" s="24">
        <f>'Monthly Data'!N77/'Monthly Data'!P77/'Monthly Data'!CD77</f>
        <v>1464.1864361938706</v>
      </c>
      <c r="EU77" s="24">
        <f>'Monthly Data'!Q77/'Monthly Data'!U77/'Monthly Data'!CD77</f>
        <v>11887.132953708659</v>
      </c>
      <c r="EV77" s="24">
        <f>'Monthly Data'!V77/'Monthly Data'!Z77/'Monthly Data'!CD77</f>
        <v>90905.2</v>
      </c>
      <c r="EW77" s="24"/>
      <c r="FG77" s="24"/>
    </row>
    <row r="78" spans="1:163" x14ac:dyDescent="0.25">
      <c r="A78" s="3">
        <v>44317</v>
      </c>
      <c r="B78" s="1">
        <f t="shared" si="84"/>
        <v>2021</v>
      </c>
      <c r="C78" s="1">
        <f t="shared" si="85"/>
        <v>5</v>
      </c>
      <c r="D78" s="272">
        <v>13.049417562724015</v>
      </c>
      <c r="E78" s="272">
        <v>221.92222222222222</v>
      </c>
      <c r="F78" s="272">
        <v>6.4541666666666622</v>
      </c>
      <c r="G78" s="272">
        <v>173.64305555555555</v>
      </c>
      <c r="H78" s="272">
        <v>20.174999999999997</v>
      </c>
      <c r="I78" s="272">
        <v>127.04305555555555</v>
      </c>
      <c r="J78" s="272">
        <v>35.574999999999996</v>
      </c>
      <c r="K78" s="272">
        <v>83.376388888888897</v>
      </c>
      <c r="L78" s="272">
        <v>53.908333333333317</v>
      </c>
      <c r="M78" s="272">
        <v>50.724999999999987</v>
      </c>
      <c r="N78" s="272">
        <v>83.256944444444414</v>
      </c>
      <c r="O78" s="272">
        <v>25.983333333333327</v>
      </c>
      <c r="P78" s="272">
        <v>120.51527777777777</v>
      </c>
      <c r="Q78" s="272">
        <v>8.125</v>
      </c>
      <c r="R78" s="272">
        <v>164.65694444444446</v>
      </c>
      <c r="X78" s="278"/>
      <c r="AB78" s="18"/>
      <c r="AC78" s="18"/>
      <c r="AD78" s="18"/>
      <c r="AE78" s="18"/>
      <c r="AF78" s="18"/>
      <c r="AG78" s="18"/>
      <c r="AI78" s="18"/>
      <c r="AJ78" s="18"/>
      <c r="AK78" s="18"/>
      <c r="AL78" s="18"/>
      <c r="AM78" s="18"/>
      <c r="AN78" s="18"/>
      <c r="AO78" s="18"/>
      <c r="AP78" s="18"/>
      <c r="AQ78" s="18"/>
      <c r="AR78" s="18"/>
      <c r="AS78" s="18"/>
      <c r="AT78" s="18"/>
      <c r="AU78" s="18"/>
      <c r="AV78" s="18"/>
      <c r="AW78" s="18"/>
      <c r="AX78" s="18"/>
      <c r="AY78" s="18"/>
      <c r="CN78" s="423"/>
      <c r="CO78" s="278"/>
      <c r="CP78" s="278"/>
      <c r="CQ78" s="278"/>
      <c r="CR78" s="278"/>
      <c r="CS78" s="278"/>
      <c r="CT78" s="278"/>
      <c r="CU78" s="278"/>
      <c r="CV78" s="278"/>
      <c r="CW78" s="278"/>
      <c r="CX78" s="278"/>
      <c r="CY78" s="278"/>
      <c r="CZ78" s="278"/>
      <c r="DA78" s="278"/>
      <c r="DB78" s="278"/>
      <c r="DP78" s="18">
        <f>'Monthly Data'!F78</f>
        <v>38437232.971263327</v>
      </c>
      <c r="DQ78" s="18">
        <f>'Monthly Data'!J78</f>
        <v>9001778.8454272039</v>
      </c>
      <c r="DR78" s="18">
        <f>'Monthly Data'!N78</f>
        <v>23194467.813825011</v>
      </c>
      <c r="DS78" s="4">
        <f>'Monthly Data'!S78</f>
        <v>6679521.9702554708</v>
      </c>
      <c r="DT78" s="4">
        <f>'Monthly Data'!V78</f>
        <v>2846646</v>
      </c>
      <c r="DU78" s="18">
        <f t="shared" si="86"/>
        <v>38341977.02504015</v>
      </c>
      <c r="DV78" s="18">
        <f t="shared" si="87"/>
        <v>10079980.781979864</v>
      </c>
      <c r="DW78" s="18">
        <f t="shared" si="88"/>
        <v>24646227.883523133</v>
      </c>
      <c r="DX78" s="18">
        <f t="shared" si="89"/>
        <v>7183363.8017423162</v>
      </c>
      <c r="DY78" s="18">
        <f t="shared" si="90"/>
        <v>3181808.8269057018</v>
      </c>
      <c r="ER78" s="24">
        <f>'Monthly Data'!F78/'Monthly Data'!G78/'Monthly Data'!CD78</f>
        <v>22.481292785677923</v>
      </c>
      <c r="ES78" s="268">
        <f>'Monthly Data'!J78/'Monthly Data'!K78/'Monthly Data'!CD78</f>
        <v>68.036542351386188</v>
      </c>
      <c r="ET78" s="24">
        <f>'Monthly Data'!N78/'Monthly Data'!P78/'Monthly Data'!CD78</f>
        <v>1393.312177198595</v>
      </c>
      <c r="EU78" s="24">
        <f>'Monthly Data'!Q78/'Monthly Data'!U78/'Monthly Data'!CD78</f>
        <v>11034.640324028183</v>
      </c>
      <c r="EV78" s="24">
        <f>'Monthly Data'!V78/'Monthly Data'!Z78/'Monthly Data'!CD78</f>
        <v>91827.290322580651</v>
      </c>
      <c r="EW78" s="24"/>
      <c r="FG78" s="24"/>
    </row>
    <row r="79" spans="1:163" x14ac:dyDescent="0.25">
      <c r="A79" s="3">
        <v>44348</v>
      </c>
      <c r="B79" s="1">
        <f t="shared" si="84"/>
        <v>2021</v>
      </c>
      <c r="C79" s="1">
        <f t="shared" si="85"/>
        <v>6</v>
      </c>
      <c r="D79" s="272">
        <v>20.055833333333332</v>
      </c>
      <c r="E79" s="272">
        <v>36.066666666666677</v>
      </c>
      <c r="F79" s="272">
        <v>37.74166666666666</v>
      </c>
      <c r="G79" s="272">
        <v>14.254166666666677</v>
      </c>
      <c r="H79" s="272">
        <v>75.92916666666666</v>
      </c>
      <c r="I79" s="272">
        <v>3.2708333333333357</v>
      </c>
      <c r="J79" s="272">
        <v>124.94583333333331</v>
      </c>
      <c r="K79" s="272">
        <v>0</v>
      </c>
      <c r="L79" s="272">
        <v>181.67499999999995</v>
      </c>
      <c r="M79" s="272">
        <v>0</v>
      </c>
      <c r="N79" s="272">
        <v>241.67500000000001</v>
      </c>
      <c r="O79" s="272">
        <v>0</v>
      </c>
      <c r="P79" s="272">
        <v>301.67500000000001</v>
      </c>
      <c r="Q79" s="272">
        <v>0</v>
      </c>
      <c r="R79" s="272">
        <v>361.67500000000001</v>
      </c>
      <c r="X79" s="278"/>
      <c r="AB79" s="18"/>
      <c r="AC79" s="18"/>
      <c r="AD79" s="18"/>
      <c r="AE79" s="18"/>
      <c r="AF79" s="18"/>
      <c r="AG79" s="18"/>
      <c r="AI79" s="18"/>
      <c r="AJ79" s="18"/>
      <c r="AK79" s="18"/>
      <c r="AL79" s="18"/>
      <c r="AM79" s="18"/>
      <c r="AN79" s="18"/>
      <c r="AO79" s="18"/>
      <c r="AP79" s="18"/>
      <c r="AQ79" s="18"/>
      <c r="AR79" s="18"/>
      <c r="AS79" s="18"/>
      <c r="AT79" s="18"/>
      <c r="AU79" s="18"/>
      <c r="AV79" s="18"/>
      <c r="AW79" s="18"/>
      <c r="AX79" s="18"/>
      <c r="AY79" s="18"/>
      <c r="CN79" s="423"/>
      <c r="CO79" s="278"/>
      <c r="CP79" s="278"/>
      <c r="CQ79" s="278"/>
      <c r="CR79" s="278"/>
      <c r="CS79" s="278"/>
      <c r="CT79" s="278"/>
      <c r="CU79" s="278"/>
      <c r="CV79" s="278"/>
      <c r="CW79" s="278"/>
      <c r="CX79" s="278"/>
      <c r="CY79" s="278"/>
      <c r="CZ79" s="278"/>
      <c r="DA79" s="278"/>
      <c r="DB79" s="278"/>
      <c r="DP79" s="18">
        <f>'Monthly Data'!F79</f>
        <v>46155450.746016368</v>
      </c>
      <c r="DQ79" s="18">
        <f>'Monthly Data'!J79</f>
        <v>10147787.796347724</v>
      </c>
      <c r="DR79" s="18">
        <f>'Monthly Data'!N79</f>
        <v>25261745.349701807</v>
      </c>
      <c r="DS79" s="4">
        <f>'Monthly Data'!S79</f>
        <v>7247178.0773107251</v>
      </c>
      <c r="DT79" s="4">
        <f>'Monthly Data'!V79</f>
        <v>3068568</v>
      </c>
      <c r="DU79" s="18">
        <f t="shared" si="86"/>
        <v>46907839.770535827</v>
      </c>
      <c r="DV79" s="18">
        <f t="shared" si="87"/>
        <v>11104682.034747129</v>
      </c>
      <c r="DW79" s="18">
        <f t="shared" si="88"/>
        <v>26600090.07642027</v>
      </c>
      <c r="DX79" s="18">
        <f t="shared" si="89"/>
        <v>8087841.8575046612</v>
      </c>
      <c r="DY79" s="18">
        <f t="shared" si="90"/>
        <v>3348314.7701151092</v>
      </c>
      <c r="EK79" s="1" t="s">
        <v>153</v>
      </c>
      <c r="ER79" s="24">
        <f>'Monthly Data'!F79/'Monthly Data'!G79/'Monthly Data'!CD79</f>
        <v>27.76902434602578</v>
      </c>
      <c r="ES79" s="268">
        <f>'Monthly Data'!J79/'Monthly Data'!K79/'Monthly Data'!CD79</f>
        <v>79.217703328241413</v>
      </c>
      <c r="ET79" s="24">
        <f>'Monthly Data'!N79/'Monthly Data'!P79/'Monthly Data'!CD79</f>
        <v>1568.0785443638613</v>
      </c>
      <c r="EU79" s="24">
        <f>'Monthly Data'!Q79/'Monthly Data'!U79/'Monthly Data'!CD79</f>
        <v>12514.031416502043</v>
      </c>
      <c r="EV79" s="24">
        <f>'Monthly Data'!V79/'Monthly Data'!Z79/'Monthly Data'!CD79</f>
        <v>102285.6</v>
      </c>
      <c r="EW79" s="24"/>
      <c r="FG79" s="24"/>
    </row>
    <row r="80" spans="1:163" x14ac:dyDescent="0.25">
      <c r="A80" s="3">
        <v>44378</v>
      </c>
      <c r="B80" s="1">
        <f t="shared" si="84"/>
        <v>2021</v>
      </c>
      <c r="C80" s="1">
        <f t="shared" si="85"/>
        <v>7</v>
      </c>
      <c r="D80" s="272">
        <v>20.221774193548388</v>
      </c>
      <c r="E80" s="272">
        <v>25.516666666666669</v>
      </c>
      <c r="F80" s="272">
        <v>32.391666666666652</v>
      </c>
      <c r="G80" s="272">
        <v>5.3541666666666572</v>
      </c>
      <c r="H80" s="272">
        <v>74.229166666666615</v>
      </c>
      <c r="I80" s="272">
        <v>0.74583333333333002</v>
      </c>
      <c r="J80" s="272">
        <v>131.62083333333331</v>
      </c>
      <c r="K80" s="272">
        <v>0</v>
      </c>
      <c r="L80" s="272">
        <v>192.87499999999994</v>
      </c>
      <c r="M80" s="272">
        <v>0</v>
      </c>
      <c r="N80" s="272">
        <v>254.87499999999994</v>
      </c>
      <c r="O80" s="272">
        <v>0</v>
      </c>
      <c r="P80" s="272">
        <v>316.87499999999994</v>
      </c>
      <c r="Q80" s="272">
        <v>0</v>
      </c>
      <c r="R80" s="272">
        <v>378.87499999999994</v>
      </c>
      <c r="X80" s="278"/>
      <c r="CN80" s="423"/>
      <c r="CO80" s="278"/>
      <c r="CP80" s="278"/>
      <c r="CQ80" s="278"/>
      <c r="CR80" s="278"/>
      <c r="CS80" s="278"/>
      <c r="CT80" s="278"/>
      <c r="CU80" s="278"/>
      <c r="CV80" s="278"/>
      <c r="CW80" s="278"/>
      <c r="CX80" s="278"/>
      <c r="CY80" s="278"/>
      <c r="CZ80" s="278"/>
      <c r="DA80" s="278"/>
      <c r="DB80" s="278"/>
      <c r="DP80" s="18">
        <f>'Monthly Data'!F80</f>
        <v>49489787.815358631</v>
      </c>
      <c r="DQ80" s="18">
        <f>'Monthly Data'!J80</f>
        <v>10919033.21209087</v>
      </c>
      <c r="DR80" s="18">
        <f>'Monthly Data'!N80</f>
        <v>26254680.420328796</v>
      </c>
      <c r="DS80" s="4">
        <f>'Monthly Data'!S80</f>
        <v>7247185.5473630354</v>
      </c>
      <c r="DT80" s="4">
        <f>'Monthly Data'!V80</f>
        <v>3205744</v>
      </c>
      <c r="DU80" s="18">
        <f t="shared" si="86"/>
        <v>47836128.826601394</v>
      </c>
      <c r="DV80" s="18">
        <f t="shared" si="87"/>
        <v>11241066.720300948</v>
      </c>
      <c r="DW80" s="18">
        <f t="shared" si="88"/>
        <v>26806279.472064681</v>
      </c>
      <c r="DX80" s="18">
        <f t="shared" si="89"/>
        <v>8167896.1485700971</v>
      </c>
      <c r="DY80" s="18">
        <f t="shared" si="90"/>
        <v>3363861.8884872845</v>
      </c>
      <c r="EK80" s="1" t="s">
        <v>154</v>
      </c>
      <c r="EL80" s="1">
        <v>43564230235612</v>
      </c>
      <c r="EM80" s="1" t="s">
        <v>155</v>
      </c>
      <c r="EN80" s="1">
        <v>612824.37037677399</v>
      </c>
      <c r="ER80" s="24">
        <f>'Monthly Data'!F80/'Monthly Data'!G80/'Monthly Data'!CD80</f>
        <v>28.856278798304086</v>
      </c>
      <c r="ES80" s="268">
        <f>'Monthly Data'!J80/'Monthly Data'!K80/'Monthly Data'!CD80</f>
        <v>82.430816243712357</v>
      </c>
      <c r="ET80" s="24">
        <f>'Monthly Data'!N80/'Monthly Data'!P80/'Monthly Data'!CD80</f>
        <v>1574.2103621734498</v>
      </c>
      <c r="EU80" s="24">
        <f>'Monthly Data'!Q80/'Monthly Data'!U80/'Monthly Data'!CD80</f>
        <v>12108.933504869616</v>
      </c>
      <c r="EV80" s="24">
        <f>'Monthly Data'!V80/'Monthly Data'!Z80/'Monthly Data'!CD80</f>
        <v>103411.09677419355</v>
      </c>
      <c r="EW80" s="24"/>
      <c r="FG80" s="24"/>
    </row>
    <row r="81" spans="1:163" x14ac:dyDescent="0.25">
      <c r="A81" s="3">
        <v>44409</v>
      </c>
      <c r="B81" s="1">
        <f t="shared" si="84"/>
        <v>2021</v>
      </c>
      <c r="C81" s="1">
        <f t="shared" si="85"/>
        <v>8</v>
      </c>
      <c r="D81" s="272">
        <v>22.58266129032258</v>
      </c>
      <c r="E81" s="272">
        <v>8.524999999999995</v>
      </c>
      <c r="F81" s="272">
        <v>88.587499999999991</v>
      </c>
      <c r="G81" s="272">
        <v>0.69166666666666643</v>
      </c>
      <c r="H81" s="272">
        <v>142.75416666666666</v>
      </c>
      <c r="I81" s="272">
        <v>0</v>
      </c>
      <c r="J81" s="272">
        <v>204.06249999999994</v>
      </c>
      <c r="K81" s="272">
        <v>0</v>
      </c>
      <c r="L81" s="272">
        <v>266.0625</v>
      </c>
      <c r="M81" s="272">
        <v>0</v>
      </c>
      <c r="N81" s="272">
        <v>328.06249999999989</v>
      </c>
      <c r="O81" s="272">
        <v>0</v>
      </c>
      <c r="P81" s="272">
        <v>390.06249999999989</v>
      </c>
      <c r="Q81" s="272">
        <v>0</v>
      </c>
      <c r="R81" s="272">
        <v>452.06249999999989</v>
      </c>
      <c r="X81" s="278"/>
      <c r="CN81" s="423"/>
      <c r="CO81" s="278"/>
      <c r="CP81" s="278"/>
      <c r="CQ81" s="278"/>
      <c r="CR81" s="278"/>
      <c r="CS81" s="278"/>
      <c r="CT81" s="278"/>
      <c r="CU81" s="278"/>
      <c r="CV81" s="278"/>
      <c r="CW81" s="278"/>
      <c r="CX81" s="278"/>
      <c r="CY81" s="278"/>
      <c r="CZ81" s="278"/>
      <c r="DA81" s="278"/>
      <c r="DB81" s="278"/>
      <c r="DP81" s="18">
        <f>'Monthly Data'!F81</f>
        <v>55294718.577662736</v>
      </c>
      <c r="DQ81" s="18">
        <f>'Monthly Data'!J81</f>
        <v>12092428.744730394</v>
      </c>
      <c r="DR81" s="18">
        <f>'Monthly Data'!N81</f>
        <v>29358064.956607085</v>
      </c>
      <c r="DS81" s="4">
        <f>'Monthly Data'!S81</f>
        <v>8365993.6754025491</v>
      </c>
      <c r="DT81" s="4">
        <f>'Monthly Data'!V81</f>
        <v>3545099</v>
      </c>
      <c r="DU81" s="18">
        <f t="shared" si="86"/>
        <v>52983034.530449785</v>
      </c>
      <c r="DV81" s="18">
        <f t="shared" si="87"/>
        <v>12220395.672711579</v>
      </c>
      <c r="DW81" s="18">
        <f t="shared" si="88"/>
        <v>27949498.138256006</v>
      </c>
      <c r="DX81" s="18">
        <f t="shared" si="89"/>
        <v>8691018.7760122065</v>
      </c>
      <c r="DY81" s="18">
        <f t="shared" si="90"/>
        <v>3465456.0604393892</v>
      </c>
      <c r="EK81" s="1" t="s">
        <v>156</v>
      </c>
      <c r="EL81" s="1">
        <v>0.51999126871649703</v>
      </c>
      <c r="EM81" s="1" t="s">
        <v>157</v>
      </c>
      <c r="EN81" s="1">
        <v>0.51171525610816104</v>
      </c>
      <c r="ER81" s="24">
        <f>'Monthly Data'!F81/'Monthly Data'!G81/'Monthly Data'!CD81</f>
        <v>32.289433559845826</v>
      </c>
      <c r="ES81" s="268">
        <f>'Monthly Data'!J81/'Monthly Data'!K81/'Monthly Data'!CD81</f>
        <v>91.203728455507658</v>
      </c>
      <c r="ET81" s="24">
        <f>'Monthly Data'!N81/'Monthly Data'!P81/'Monthly Data'!CD81</f>
        <v>1757.0210638941339</v>
      </c>
      <c r="EU81" s="24">
        <f>'Monthly Data'!Q81/'Monthly Data'!U81/'Monthly Data'!CD81</f>
        <v>14230.4754263828</v>
      </c>
      <c r="EV81" s="24">
        <f>'Monthly Data'!V81/'Monthly Data'!Z81/'Monthly Data'!CD81</f>
        <v>114358.03225806452</v>
      </c>
      <c r="EW81" s="24"/>
      <c r="FG81" s="24"/>
    </row>
    <row r="82" spans="1:163" x14ac:dyDescent="0.25">
      <c r="A82" s="3">
        <v>44440</v>
      </c>
      <c r="B82" s="1">
        <f t="shared" si="84"/>
        <v>2021</v>
      </c>
      <c r="C82" s="1">
        <f t="shared" si="85"/>
        <v>9</v>
      </c>
      <c r="D82" s="272">
        <v>16.975833333333334</v>
      </c>
      <c r="E82" s="272">
        <v>93.104166666666671</v>
      </c>
      <c r="F82" s="272">
        <v>2.37916666666667</v>
      </c>
      <c r="G82" s="272">
        <v>45.679166666666674</v>
      </c>
      <c r="H82" s="272">
        <v>14.954166666666683</v>
      </c>
      <c r="I82" s="272">
        <v>20.066666666666677</v>
      </c>
      <c r="J82" s="272">
        <v>49.341666666666683</v>
      </c>
      <c r="K82" s="272">
        <v>5.9833333333333432</v>
      </c>
      <c r="L82" s="272">
        <v>95.25833333333334</v>
      </c>
      <c r="M82" s="272">
        <v>0.28333333333333321</v>
      </c>
      <c r="N82" s="272">
        <v>149.55833333333328</v>
      </c>
      <c r="O82" s="272">
        <v>0</v>
      </c>
      <c r="P82" s="272">
        <v>209.27500000000001</v>
      </c>
      <c r="Q82" s="272">
        <v>0</v>
      </c>
      <c r="R82" s="272">
        <v>269.27499999999998</v>
      </c>
      <c r="X82" s="278"/>
      <c r="CN82" s="423"/>
      <c r="CO82" s="278"/>
      <c r="CP82" s="278"/>
      <c r="CQ82" s="278"/>
      <c r="CR82" s="278"/>
      <c r="CS82" s="278"/>
      <c r="CT82" s="278"/>
      <c r="CU82" s="278"/>
      <c r="CV82" s="278"/>
      <c r="CW82" s="278"/>
      <c r="CX82" s="278"/>
      <c r="CY82" s="278"/>
      <c r="CZ82" s="278"/>
      <c r="DA82" s="278"/>
      <c r="DB82" s="278"/>
      <c r="DP82" s="18">
        <f>'Monthly Data'!F82</f>
        <v>47842518.666236281</v>
      </c>
      <c r="DQ82" s="18">
        <f>'Monthly Data'!J82</f>
        <v>9932104.6989375129</v>
      </c>
      <c r="DR82" s="18">
        <f>'Monthly Data'!N82</f>
        <v>22123219.809366379</v>
      </c>
      <c r="DS82" s="4">
        <f>'Monthly Data'!S82</f>
        <v>6409096.5814957926</v>
      </c>
      <c r="DT82" s="4">
        <f>'Monthly Data'!V82</f>
        <v>3231896</v>
      </c>
      <c r="DU82" s="18">
        <f t="shared" si="86"/>
        <v>40614522.378538944</v>
      </c>
      <c r="DV82" s="18">
        <f t="shared" si="87"/>
        <v>10037343.497195935</v>
      </c>
      <c r="DW82" s="18">
        <f t="shared" si="88"/>
        <v>25161190.089391645</v>
      </c>
      <c r="DX82" s="18">
        <f t="shared" si="89"/>
        <v>7470209.9875135096</v>
      </c>
      <c r="DY82" s="18">
        <f t="shared" si="90"/>
        <v>3228417.334374343</v>
      </c>
      <c r="EK82" s="1" t="s">
        <v>158</v>
      </c>
      <c r="EL82" s="1">
        <v>36.846544519496099</v>
      </c>
      <c r="EM82" s="1" t="s">
        <v>159</v>
      </c>
      <c r="EN82" s="283">
        <v>4.08861166859954E-13</v>
      </c>
      <c r="ER82" s="24">
        <f>'Monthly Data'!F82/'Monthly Data'!G82/'Monthly Data'!CD82</f>
        <v>28.85381983368692</v>
      </c>
      <c r="ES82" s="268">
        <f>'Monthly Data'!J82/'Monthly Data'!K82/'Monthly Data'!CD82</f>
        <v>77.298659031344954</v>
      </c>
      <c r="ET82" s="24">
        <f>'Monthly Data'!N82/'Monthly Data'!P82/'Monthly Data'!CD82</f>
        <v>1370.7075470487223</v>
      </c>
      <c r="EU82" s="24">
        <f>'Monthly Data'!Q82/'Monthly Data'!U82/'Monthly Data'!CD82</f>
        <v>10866.290039990028</v>
      </c>
      <c r="EV82" s="24">
        <f>'Monthly Data'!V82/'Monthly Data'!Z82/'Monthly Data'!CD82</f>
        <v>107729.86666666667</v>
      </c>
      <c r="EW82" s="24"/>
      <c r="FG82" s="24"/>
    </row>
    <row r="83" spans="1:163" x14ac:dyDescent="0.25">
      <c r="A83" s="3">
        <v>44470</v>
      </c>
      <c r="B83" s="1">
        <f t="shared" si="84"/>
        <v>2021</v>
      </c>
      <c r="C83" s="1">
        <f t="shared" si="85"/>
        <v>10</v>
      </c>
      <c r="D83" s="272">
        <v>13.09072580645161</v>
      </c>
      <c r="E83" s="272">
        <v>214.18749999999994</v>
      </c>
      <c r="F83" s="272">
        <v>0</v>
      </c>
      <c r="G83" s="272">
        <v>153.47499999999997</v>
      </c>
      <c r="H83" s="272">
        <v>1.2875000000000014</v>
      </c>
      <c r="I83" s="272">
        <v>108.43333333333334</v>
      </c>
      <c r="J83" s="272">
        <v>18.245833333333344</v>
      </c>
      <c r="K83" s="272">
        <v>72.749999999999986</v>
      </c>
      <c r="L83" s="272">
        <v>44.562500000000028</v>
      </c>
      <c r="M83" s="272">
        <v>44.166666666666664</v>
      </c>
      <c r="N83" s="272">
        <v>77.979166666666686</v>
      </c>
      <c r="O83" s="272">
        <v>22.266666666666666</v>
      </c>
      <c r="P83" s="272">
        <v>118.07916666666668</v>
      </c>
      <c r="Q83" s="272">
        <v>6.6666666666666643</v>
      </c>
      <c r="R83" s="272">
        <v>164.47916666666669</v>
      </c>
      <c r="X83" s="278"/>
      <c r="CN83" s="423"/>
      <c r="CO83" s="278"/>
      <c r="CP83" s="278"/>
      <c r="CQ83" s="278"/>
      <c r="CR83" s="278"/>
      <c r="CS83" s="278"/>
      <c r="CT83" s="278"/>
      <c r="CU83" s="278"/>
      <c r="CV83" s="278"/>
      <c r="CW83" s="278"/>
      <c r="CX83" s="278"/>
      <c r="CY83" s="278"/>
      <c r="CZ83" s="278"/>
      <c r="DA83" s="278"/>
      <c r="DB83" s="278"/>
      <c r="DP83" s="18">
        <f>'Monthly Data'!F83</f>
        <v>36824402.339815632</v>
      </c>
      <c r="DQ83" s="18">
        <f>'Monthly Data'!J83</f>
        <v>9618545.1704564132</v>
      </c>
      <c r="DR83" s="18">
        <f>'Monthly Data'!N83</f>
        <v>26526312.140713964</v>
      </c>
      <c r="DS83" s="4">
        <f>'Monthly Data'!S83</f>
        <v>6889103.0725763496</v>
      </c>
      <c r="DT83" s="4">
        <f>'Monthly Data'!V83</f>
        <v>3100549</v>
      </c>
      <c r="DU83" s="18">
        <f t="shared" si="86"/>
        <v>37642647.670567647</v>
      </c>
      <c r="DV83" s="18">
        <f t="shared" si="87"/>
        <v>9850309.3343152888</v>
      </c>
      <c r="DW83" s="18">
        <f t="shared" si="88"/>
        <v>24489306.755457599</v>
      </c>
      <c r="DX83" s="18">
        <f t="shared" si="89"/>
        <v>7115429.9061947037</v>
      </c>
      <c r="DY83" s="18">
        <f t="shared" si="90"/>
        <v>3167432.5303534297</v>
      </c>
      <c r="EK83" s="1" t="s">
        <v>160</v>
      </c>
      <c r="EL83" s="1">
        <v>-4.25173978384977E-2</v>
      </c>
      <c r="EM83" s="1" t="s">
        <v>161</v>
      </c>
      <c r="EN83" s="1">
        <v>2.0839869346193498</v>
      </c>
      <c r="ER83" s="24">
        <f>'Monthly Data'!F83/'Monthly Data'!G83/'Monthly Data'!CD83</f>
        <v>21.527826645021939</v>
      </c>
      <c r="ES83" s="268">
        <f>'Monthly Data'!J83/'Monthly Data'!K83/'Monthly Data'!CD83</f>
        <v>72.46045087806732</v>
      </c>
      <c r="ET83" s="24">
        <f>'Monthly Data'!N83/'Monthly Data'!P83/'Monthly Data'!CD83</f>
        <v>1584.6064600187551</v>
      </c>
      <c r="EU83" s="24">
        <f>'Monthly Data'!Q83/'Monthly Data'!U83/'Monthly Data'!CD83</f>
        <v>11425.159157634547</v>
      </c>
      <c r="EV83" s="24">
        <f>'Monthly Data'!V83/'Monthly Data'!Z83/'Monthly Data'!CD83</f>
        <v>100017.70967741935</v>
      </c>
      <c r="EW83" s="24"/>
      <c r="FG83" s="24"/>
    </row>
    <row r="84" spans="1:163" x14ac:dyDescent="0.25">
      <c r="A84" s="3">
        <v>44501</v>
      </c>
      <c r="B84" s="1">
        <f t="shared" si="84"/>
        <v>2021</v>
      </c>
      <c r="C84" s="1">
        <f t="shared" si="85"/>
        <v>11</v>
      </c>
      <c r="D84" s="272">
        <v>3.122913216011042</v>
      </c>
      <c r="E84" s="272">
        <v>506.31260351966881</v>
      </c>
      <c r="F84" s="272">
        <v>0</v>
      </c>
      <c r="G84" s="272">
        <v>446.3126035196687</v>
      </c>
      <c r="H84" s="272">
        <v>0</v>
      </c>
      <c r="I84" s="272">
        <v>386.3126035196687</v>
      </c>
      <c r="J84" s="272">
        <v>0</v>
      </c>
      <c r="K84" s="272">
        <v>326.31260351966864</v>
      </c>
      <c r="L84" s="272">
        <v>0</v>
      </c>
      <c r="M84" s="272">
        <v>266.31260351966876</v>
      </c>
      <c r="N84" s="272">
        <v>0</v>
      </c>
      <c r="O84" s="272">
        <v>206.31260351966876</v>
      </c>
      <c r="P84" s="272">
        <v>0</v>
      </c>
      <c r="Q84" s="272">
        <v>148.50427018633536</v>
      </c>
      <c r="R84" s="272">
        <v>2.1916666666666682</v>
      </c>
      <c r="X84" s="278"/>
      <c r="CN84" s="423"/>
      <c r="CO84" s="278"/>
      <c r="CP84" s="278"/>
      <c r="CQ84" s="278"/>
      <c r="CR84" s="278"/>
      <c r="CS84" s="278"/>
      <c r="CT84" s="278"/>
      <c r="CU84" s="278"/>
      <c r="CV84" s="278"/>
      <c r="CW84" s="278"/>
      <c r="CX84" s="278"/>
      <c r="CY84" s="278"/>
      <c r="CZ84" s="278"/>
      <c r="DA84" s="278"/>
      <c r="DB84" s="278"/>
      <c r="DP84" s="18">
        <f>'Monthly Data'!F84</f>
        <v>39497303.075272441</v>
      </c>
      <c r="DQ84" s="18">
        <f>'Monthly Data'!J84</f>
        <v>10309263.288912244</v>
      </c>
      <c r="DR84" s="18">
        <f>'Monthly Data'!N84</f>
        <v>26196190.249155696</v>
      </c>
      <c r="DS84" s="4">
        <f>'Monthly Data'!S84</f>
        <v>6744335.6859382633</v>
      </c>
      <c r="DT84" s="4">
        <f>'Monthly Data'!V84</f>
        <v>3042708</v>
      </c>
      <c r="DU84" s="18">
        <f t="shared" si="86"/>
        <v>39989428.692744821</v>
      </c>
      <c r="DV84" s="18">
        <f t="shared" si="87"/>
        <v>10805610.052242439</v>
      </c>
      <c r="DW84" s="18">
        <f t="shared" si="88"/>
        <v>26959425.885658644</v>
      </c>
      <c r="DX84" s="18">
        <f t="shared" si="89"/>
        <v>6835275.4620299218</v>
      </c>
      <c r="DY84" s="18">
        <f t="shared" si="90"/>
        <v>3153097.0342337796</v>
      </c>
      <c r="ER84" s="24">
        <f>'Monthly Data'!F84/'Monthly Data'!G84/'Monthly Data'!CD84</f>
        <v>23.792839417651539</v>
      </c>
      <c r="ES84" s="268">
        <f>'Monthly Data'!J84/'Monthly Data'!K84/'Monthly Data'!CD84</f>
        <v>80.27145751703064</v>
      </c>
      <c r="ET84" s="24">
        <f>'Monthly Data'!N84/'Monthly Data'!P84/'Monthly Data'!CD84</f>
        <v>1614.0597812172334</v>
      </c>
      <c r="EU84" s="24">
        <f>'Monthly Data'!Q84/'Monthly Data'!U84/'Monthly Data'!CD84</f>
        <v>11520.658733398541</v>
      </c>
      <c r="EV84" s="24">
        <f>'Monthly Data'!V84/'Monthly Data'!Z84/'Monthly Data'!CD84</f>
        <v>101423.6</v>
      </c>
      <c r="EW84" s="24"/>
      <c r="FG84" s="24"/>
    </row>
    <row r="85" spans="1:163" x14ac:dyDescent="0.25">
      <c r="A85" s="3">
        <v>44531</v>
      </c>
      <c r="B85" s="1">
        <f t="shared" si="84"/>
        <v>2021</v>
      </c>
      <c r="C85" s="1">
        <f t="shared" si="85"/>
        <v>12</v>
      </c>
      <c r="D85" s="272">
        <v>0.80497311827956974</v>
      </c>
      <c r="E85" s="272">
        <v>595.04583333333335</v>
      </c>
      <c r="F85" s="272">
        <v>0</v>
      </c>
      <c r="G85" s="272">
        <v>533.04583333333346</v>
      </c>
      <c r="H85" s="272">
        <v>0</v>
      </c>
      <c r="I85" s="272">
        <v>471.04583333333335</v>
      </c>
      <c r="J85" s="272">
        <v>0</v>
      </c>
      <c r="K85" s="272">
        <v>409.04583333333335</v>
      </c>
      <c r="L85" s="272">
        <v>0</v>
      </c>
      <c r="M85" s="272">
        <v>347.04583333333335</v>
      </c>
      <c r="N85" s="272">
        <v>0</v>
      </c>
      <c r="O85" s="272">
        <v>285.45833333333331</v>
      </c>
      <c r="P85" s="272">
        <v>0.41249999999999964</v>
      </c>
      <c r="Q85" s="272">
        <v>225.45833333333331</v>
      </c>
      <c r="R85" s="272">
        <v>2.4124999999999996</v>
      </c>
      <c r="X85" s="278"/>
      <c r="CO85" s="423"/>
      <c r="CP85" s="423"/>
      <c r="DP85" s="18">
        <f>'Monthly Data'!F85</f>
        <v>45670410.86169602</v>
      </c>
      <c r="DQ85" s="18">
        <f>'Monthly Data'!J85</f>
        <v>12066287.994782832</v>
      </c>
      <c r="DR85" s="18">
        <f>'Monthly Data'!N85</f>
        <v>31130519.465445086</v>
      </c>
      <c r="DS85" s="4">
        <f>'Monthly Data'!S85</f>
        <v>6128351.284929418</v>
      </c>
      <c r="DT85" s="4">
        <f>'Monthly Data'!V85</f>
        <v>3065363</v>
      </c>
      <c r="DU85" s="18">
        <f t="shared" si="86"/>
        <v>42544441.981969289</v>
      </c>
      <c r="DV85" s="18">
        <f t="shared" si="87"/>
        <v>11279509.86065359</v>
      </c>
      <c r="DW85" s="18">
        <f t="shared" si="88"/>
        <v>28545465.463989984</v>
      </c>
      <c r="DX85" s="18">
        <f t="shared" si="89"/>
        <v>6849218.2859665342</v>
      </c>
      <c r="DY85" s="18">
        <f t="shared" si="90"/>
        <v>3170368.1541332901</v>
      </c>
      <c r="EK85" s="1" t="s">
        <v>162</v>
      </c>
      <c r="ER85" s="24">
        <f>'Monthly Data'!F85/'Monthly Data'!G85/'Monthly Data'!CD85</f>
        <v>26.616304313466973</v>
      </c>
      <c r="ES85" s="268">
        <f>'Monthly Data'!J85/'Monthly Data'!K85/'Monthly Data'!CD85</f>
        <v>91.006569232148181</v>
      </c>
      <c r="ET85" s="24">
        <f>'Monthly Data'!N85/'Monthly Data'!P85/'Monthly Data'!CD85</f>
        <v>1835.8506496104903</v>
      </c>
      <c r="EU85" s="24">
        <f>'Monthly Data'!Q85/'Monthly Data'!U85/'Monthly Data'!CD85</f>
        <v>9978.7400713896495</v>
      </c>
      <c r="EV85" s="24">
        <f>'Monthly Data'!V85/'Monthly Data'!Z85/'Monthly Data'!CD85</f>
        <v>98882.677419354834</v>
      </c>
      <c r="EW85" s="24"/>
      <c r="FG85" s="24"/>
    </row>
    <row r="86" spans="1:163" x14ac:dyDescent="0.25">
      <c r="A86" s="3">
        <v>44562</v>
      </c>
      <c r="B86" s="1">
        <f t="shared" si="84"/>
        <v>2022</v>
      </c>
      <c r="C86" s="1">
        <f t="shared" si="85"/>
        <v>1</v>
      </c>
      <c r="D86" s="272">
        <v>-8.6287634408602152</v>
      </c>
      <c r="E86" s="272">
        <v>887.49166666666656</v>
      </c>
      <c r="F86" s="272">
        <v>0</v>
      </c>
      <c r="G86" s="272">
        <v>825.49166666666656</v>
      </c>
      <c r="H86" s="272">
        <v>0</v>
      </c>
      <c r="I86" s="272">
        <v>763.49166666666656</v>
      </c>
      <c r="J86" s="272">
        <v>0</v>
      </c>
      <c r="K86" s="272">
        <v>701.49166666666656</v>
      </c>
      <c r="L86" s="272">
        <v>0</v>
      </c>
      <c r="M86" s="272">
        <v>639.49166666666679</v>
      </c>
      <c r="N86" s="272">
        <v>0</v>
      </c>
      <c r="O86" s="272">
        <v>577.49166666666656</v>
      </c>
      <c r="P86" s="272">
        <v>0</v>
      </c>
      <c r="Q86" s="272">
        <v>515.49166666666679</v>
      </c>
      <c r="R86" s="272">
        <v>0</v>
      </c>
      <c r="X86" s="278"/>
      <c r="DP86" s="18">
        <f>'Monthly Data'!F86</f>
        <v>51393545.028530009</v>
      </c>
      <c r="DQ86" s="18">
        <f>'Monthly Data'!J86</f>
        <v>12638454.910089087</v>
      </c>
      <c r="DR86" s="18">
        <f>'Monthly Data'!N86</f>
        <v>35142313.8818653</v>
      </c>
      <c r="DS86" s="4">
        <f>'Monthly Data'!S86</f>
        <v>6906301.0009142747</v>
      </c>
      <c r="DT86" s="4">
        <f>'Monthly Data'!V86</f>
        <v>3019557</v>
      </c>
      <c r="DU86" s="18">
        <f t="shared" si="86"/>
        <v>51575915.698490098</v>
      </c>
      <c r="DV86" s="18">
        <f t="shared" si="87"/>
        <v>12915114.034979023</v>
      </c>
      <c r="DW86" s="18">
        <f t="shared" si="88"/>
        <v>34397662.745500527</v>
      </c>
      <c r="DX86" s="18">
        <f t="shared" si="89"/>
        <v>6899724.3882812038</v>
      </c>
      <c r="DY86" s="18">
        <f t="shared" si="90"/>
        <v>3232930.5842908588</v>
      </c>
      <c r="EK86" s="1" t="s">
        <v>163</v>
      </c>
      <c r="EL86" s="1">
        <v>7280463.8216159698</v>
      </c>
      <c r="EM86" s="1" t="s">
        <v>164</v>
      </c>
      <c r="EN86" s="1">
        <v>876995.77145982697</v>
      </c>
      <c r="ER86" s="24">
        <f>'Monthly Data'!F86/'Monthly Data'!G86/'Monthly Data'!CD86</f>
        <v>29.988537004918392</v>
      </c>
      <c r="ES86" s="268">
        <f>'Monthly Data'!J86/'Monthly Data'!K86/'Monthly Data'!CD86</f>
        <v>95.07744726535482</v>
      </c>
      <c r="ET86" s="24">
        <f>'Monthly Data'!N86/'Monthly Data'!P86/'Monthly Data'!CD86</f>
        <v>2072.4369807079847</v>
      </c>
      <c r="EU86" s="24">
        <f>'Monthly Data'!Q86/'Monthly Data'!U86/'Monthly Data'!CD86</f>
        <v>10795.763260648249</v>
      </c>
      <c r="EV86" s="24">
        <f>'Monthly Data'!V86/'Monthly Data'!Z86/'Monthly Data'!CD86</f>
        <v>97405.06451612903</v>
      </c>
      <c r="EW86" s="24"/>
      <c r="FG86" s="24"/>
    </row>
    <row r="87" spans="1:163" x14ac:dyDescent="0.25">
      <c r="A87" s="3">
        <v>44593</v>
      </c>
      <c r="B87" s="1">
        <f t="shared" si="84"/>
        <v>2022</v>
      </c>
      <c r="C87" s="1">
        <f t="shared" si="85"/>
        <v>2</v>
      </c>
      <c r="D87" s="272">
        <v>-4.7446428571428587</v>
      </c>
      <c r="E87" s="272">
        <v>692.85</v>
      </c>
      <c r="F87" s="272">
        <v>0</v>
      </c>
      <c r="G87" s="272">
        <v>636.84999999999991</v>
      </c>
      <c r="H87" s="272">
        <v>0</v>
      </c>
      <c r="I87" s="272">
        <v>580.84999999999991</v>
      </c>
      <c r="J87" s="272">
        <v>0</v>
      </c>
      <c r="K87" s="272">
        <v>524.84999999999991</v>
      </c>
      <c r="L87" s="272">
        <v>0</v>
      </c>
      <c r="M87" s="272">
        <v>468.84999999999991</v>
      </c>
      <c r="N87" s="272">
        <v>0</v>
      </c>
      <c r="O87" s="272">
        <v>412.84999999999991</v>
      </c>
      <c r="P87" s="272">
        <v>0</v>
      </c>
      <c r="Q87" s="272">
        <v>356.85</v>
      </c>
      <c r="R87" s="272">
        <v>0</v>
      </c>
      <c r="DP87" s="18">
        <f>'Monthly Data'!F87</f>
        <v>45927123.35305661</v>
      </c>
      <c r="DQ87" s="18">
        <f>'Monthly Data'!J87</f>
        <v>11611870.017274158</v>
      </c>
      <c r="DR87" s="18">
        <f>'Monthly Data'!N87</f>
        <v>33372096.669579025</v>
      </c>
      <c r="DS87" s="4">
        <f>'Monthly Data'!S87</f>
        <v>7158851.9016371276</v>
      </c>
      <c r="DT87" s="4">
        <f>'Monthly Data'!V87</f>
        <v>2697106</v>
      </c>
      <c r="DU87" s="18">
        <f t="shared" si="86"/>
        <v>46120770.205191009</v>
      </c>
      <c r="DV87" s="18">
        <f t="shared" si="87"/>
        <v>11893627.529253162</v>
      </c>
      <c r="DW87" s="18">
        <f t="shared" si="88"/>
        <v>31098328.717113249</v>
      </c>
      <c r="DX87" s="18">
        <f t="shared" si="89"/>
        <v>6870254.1599740395</v>
      </c>
      <c r="DY87" s="18">
        <f t="shared" si="90"/>
        <v>3196425.5083555281</v>
      </c>
      <c r="ER87" s="24">
        <f>'Monthly Data'!F87/'Monthly Data'!G87/'Monthly Data'!CD87</f>
        <v>29.683027298110851</v>
      </c>
      <c r="ES87" s="268">
        <f>'Monthly Data'!J87/'Monthly Data'!K87/'Monthly Data'!CD87</f>
        <v>96.578864339561505</v>
      </c>
      <c r="ET87" s="24">
        <f>'Monthly Data'!N87/'Monthly Data'!P87/'Monthly Data'!CD87</f>
        <v>2182.894863263934</v>
      </c>
      <c r="EU87" s="24">
        <f>'Monthly Data'!Q87/'Monthly Data'!U87/'Monthly Data'!CD87</f>
        <v>12449.083524433197</v>
      </c>
      <c r="EV87" s="24">
        <f>'Monthly Data'!V87/'Monthly Data'!Z87/'Monthly Data'!CD87</f>
        <v>96325.21428571429</v>
      </c>
      <c r="EW87" s="24"/>
      <c r="FG87" s="24"/>
    </row>
    <row r="88" spans="1:163" x14ac:dyDescent="0.25">
      <c r="A88" s="3">
        <v>44621</v>
      </c>
      <c r="B88" s="1">
        <f t="shared" si="84"/>
        <v>2022</v>
      </c>
      <c r="C88" s="1">
        <f t="shared" si="85"/>
        <v>3</v>
      </c>
      <c r="D88" s="272">
        <v>0.42836021505376332</v>
      </c>
      <c r="E88" s="272">
        <v>606.7208333333333</v>
      </c>
      <c r="F88" s="272">
        <v>0</v>
      </c>
      <c r="G88" s="272">
        <v>544.7208333333333</v>
      </c>
      <c r="H88" s="272">
        <v>0</v>
      </c>
      <c r="I88" s="272">
        <v>482.72083333333353</v>
      </c>
      <c r="J88" s="272">
        <v>0</v>
      </c>
      <c r="K88" s="272">
        <v>420.72083333333353</v>
      </c>
      <c r="L88" s="272">
        <v>0</v>
      </c>
      <c r="M88" s="272">
        <v>358.72083333333347</v>
      </c>
      <c r="N88" s="272">
        <v>0</v>
      </c>
      <c r="O88" s="272">
        <v>296.72083333333336</v>
      </c>
      <c r="P88" s="272">
        <v>0</v>
      </c>
      <c r="Q88" s="272">
        <v>236.04166666666666</v>
      </c>
      <c r="R88" s="272">
        <v>1.3208333333333311</v>
      </c>
      <c r="DP88" s="18">
        <f>'Monthly Data'!F88</f>
        <v>48810865.315797009</v>
      </c>
      <c r="DQ88" s="18">
        <f>'Monthly Data'!J88</f>
        <v>11884883.351506501</v>
      </c>
      <c r="DR88" s="18">
        <f>'Monthly Data'!N88</f>
        <v>30259532.358253561</v>
      </c>
      <c r="DS88" s="4">
        <f>'Monthly Data'!S88</f>
        <v>7057935.0318071265</v>
      </c>
      <c r="DT88" s="4">
        <f>'Monthly Data'!V88</f>
        <v>3147951</v>
      </c>
      <c r="DU88" s="18">
        <f t="shared" si="86"/>
        <v>42904995.77902133</v>
      </c>
      <c r="DV88" s="18">
        <f t="shared" si="87"/>
        <v>11344806.324335754</v>
      </c>
      <c r="DW88" s="18">
        <f t="shared" si="88"/>
        <v>28771160.151410416</v>
      </c>
      <c r="DX88" s="18">
        <f t="shared" si="89"/>
        <v>6851234.5866872622</v>
      </c>
      <c r="DY88" s="18">
        <f t="shared" si="90"/>
        <v>3172865.7666441756</v>
      </c>
      <c r="EK88" s="1" t="s">
        <v>184</v>
      </c>
      <c r="ER88" s="24">
        <f>'Monthly Data'!F88/'Monthly Data'!G88/'Monthly Data'!CD88</f>
        <v>28.38601818033613</v>
      </c>
      <c r="ES88" s="268">
        <f>'Monthly Data'!J88/'Monthly Data'!K88/'Monthly Data'!CD88</f>
        <v>89.512802689601813</v>
      </c>
      <c r="ET88" s="24">
        <f>'Monthly Data'!N88/'Monthly Data'!P88/'Monthly Data'!CD88</f>
        <v>1781.2298303657617</v>
      </c>
      <c r="EU88" s="24">
        <f>'Monthly Data'!Q88/'Monthly Data'!U88/'Monthly Data'!CD88</f>
        <v>11059.448965294059</v>
      </c>
      <c r="EV88" s="24">
        <f>'Monthly Data'!V88/'Monthly Data'!Z88/'Monthly Data'!CD88</f>
        <v>101546.80645161291</v>
      </c>
      <c r="EW88" s="24"/>
      <c r="FG88" s="24"/>
    </row>
    <row r="89" spans="1:163" x14ac:dyDescent="0.25">
      <c r="A89" s="3">
        <v>44652</v>
      </c>
      <c r="B89" s="1">
        <f t="shared" si="84"/>
        <v>2022</v>
      </c>
      <c r="C89" s="1">
        <f t="shared" si="85"/>
        <v>4</v>
      </c>
      <c r="D89" s="272">
        <v>6.1888888888888882</v>
      </c>
      <c r="E89" s="272">
        <v>414.33333333333331</v>
      </c>
      <c r="F89" s="272">
        <v>0</v>
      </c>
      <c r="G89" s="272">
        <v>354.33333333333331</v>
      </c>
      <c r="H89" s="272">
        <v>0</v>
      </c>
      <c r="I89" s="272">
        <v>294.33333333333337</v>
      </c>
      <c r="J89" s="272">
        <v>0</v>
      </c>
      <c r="K89" s="272">
        <v>234.33333333333331</v>
      </c>
      <c r="L89" s="272">
        <v>0</v>
      </c>
      <c r="M89" s="272">
        <v>176.58749999999998</v>
      </c>
      <c r="N89" s="272">
        <v>2.2541666666666629</v>
      </c>
      <c r="O89" s="272">
        <v>123.04166666666666</v>
      </c>
      <c r="P89" s="272">
        <v>8.7083333333333286</v>
      </c>
      <c r="Q89" s="272">
        <v>75.575000000000003</v>
      </c>
      <c r="R89" s="272">
        <v>21.24166666666666</v>
      </c>
      <c r="DP89" s="18">
        <f>'Monthly Data'!F89</f>
        <v>41008175.440445341</v>
      </c>
      <c r="DQ89" s="18">
        <f>'Monthly Data'!J89</f>
        <v>10215325.022601429</v>
      </c>
      <c r="DR89" s="18">
        <f>'Monthly Data'!N89</f>
        <v>27480122.684585173</v>
      </c>
      <c r="DS89" s="4">
        <f>'Monthly Data'!S89</f>
        <v>6934624.7238631817</v>
      </c>
      <c r="DT89" s="4">
        <f>'Monthly Data'!V89</f>
        <v>2970947</v>
      </c>
      <c r="DU89" s="18">
        <f t="shared" si="86"/>
        <v>37307398.188612826</v>
      </c>
      <c r="DV89" s="18">
        <f t="shared" si="87"/>
        <v>10291184.264213853</v>
      </c>
      <c r="DW89" s="18">
        <f t="shared" si="88"/>
        <v>25325930.292028166</v>
      </c>
      <c r="DX89" s="18">
        <f t="shared" si="89"/>
        <v>6819779.7197691882</v>
      </c>
      <c r="DY89" s="18">
        <f t="shared" si="90"/>
        <v>3133902.298380143</v>
      </c>
      <c r="EK89" s="1" t="s">
        <v>185</v>
      </c>
      <c r="ER89" s="24">
        <f>'Monthly Data'!F89/'Monthly Data'!G89/'Monthly Data'!CD89</f>
        <v>24.592313999499464</v>
      </c>
      <c r="ES89" s="268">
        <f>'Monthly Data'!J89/'Monthly Data'!K89/'Monthly Data'!CD89</f>
        <v>79.484321682239568</v>
      </c>
      <c r="ET89" s="24">
        <f>'Monthly Data'!N89/'Monthly Data'!P89/'Monthly Data'!CD89</f>
        <v>1693.1683724328511</v>
      </c>
      <c r="EU89" s="24">
        <f>'Monthly Data'!Q89/'Monthly Data'!U89/'Monthly Data'!CD89</f>
        <v>11195.580575629438</v>
      </c>
      <c r="EV89" s="24">
        <f>'Monthly Data'!V89/'Monthly Data'!Z89/'Monthly Data'!CD89</f>
        <v>99031.566666666666</v>
      </c>
      <c r="EW89" s="24"/>
      <c r="FG89" s="24"/>
    </row>
    <row r="90" spans="1:163" x14ac:dyDescent="0.25">
      <c r="A90" s="3">
        <v>44682</v>
      </c>
      <c r="B90" s="1">
        <f t="shared" si="84"/>
        <v>2022</v>
      </c>
      <c r="C90" s="1">
        <f t="shared" si="85"/>
        <v>5</v>
      </c>
      <c r="D90" s="272">
        <v>15.065725806451612</v>
      </c>
      <c r="E90" s="272">
        <v>158.97916666666669</v>
      </c>
      <c r="F90" s="272">
        <v>6.0166666666666657</v>
      </c>
      <c r="G90" s="272">
        <v>109.50833333333333</v>
      </c>
      <c r="H90" s="272">
        <v>18.545833333333334</v>
      </c>
      <c r="I90" s="272">
        <v>70.650000000000006</v>
      </c>
      <c r="J90" s="272">
        <v>41.6875</v>
      </c>
      <c r="K90" s="272">
        <v>39.324999999999996</v>
      </c>
      <c r="L90" s="272">
        <v>72.362499999999997</v>
      </c>
      <c r="M90" s="272">
        <v>14.399999999999993</v>
      </c>
      <c r="N90" s="272">
        <v>109.43749999999997</v>
      </c>
      <c r="O90" s="272">
        <v>0.93333333333333179</v>
      </c>
      <c r="P90" s="272">
        <v>157.97083333333333</v>
      </c>
      <c r="Q90" s="272">
        <v>0</v>
      </c>
      <c r="R90" s="272">
        <v>219.03749999999999</v>
      </c>
      <c r="DP90" s="18">
        <f>'Monthly Data'!F90</f>
        <v>37088510.88482105</v>
      </c>
      <c r="DQ90" s="18">
        <f>'Monthly Data'!J90</f>
        <v>10135011.499984067</v>
      </c>
      <c r="DR90" s="18">
        <f>'Monthly Data'!N90</f>
        <v>25718021.413816359</v>
      </c>
      <c r="DS90" s="4">
        <f>'Monthly Data'!S90</f>
        <v>7873872.1026663976</v>
      </c>
      <c r="DT90" s="4">
        <f>'Monthly Data'!V90</f>
        <v>3078921</v>
      </c>
      <c r="DU90" s="18">
        <f t="shared" si="86"/>
        <v>38822703.405023031</v>
      </c>
      <c r="DV90" s="18">
        <f t="shared" si="87"/>
        <v>10012571.941715753</v>
      </c>
      <c r="DW90" s="18">
        <f t="shared" si="88"/>
        <v>24553189.791201808</v>
      </c>
      <c r="DX90" s="18">
        <f t="shared" si="89"/>
        <v>7308995.3176613012</v>
      </c>
      <c r="DY90" s="18">
        <f t="shared" si="90"/>
        <v>3199654.7677718764</v>
      </c>
      <c r="EK90" s="1" t="s">
        <v>186</v>
      </c>
      <c r="ER90" s="24">
        <f>'Monthly Data'!F90/'Monthly Data'!G90/'Monthly Data'!CD90</f>
        <v>21.453996645441869</v>
      </c>
      <c r="ES90" s="268">
        <f>'Monthly Data'!J90/'Monthly Data'!K90/'Monthly Data'!CD90</f>
        <v>76.208823971607387</v>
      </c>
      <c r="ET90" s="24">
        <f>'Monthly Data'!N90/'Monthly Data'!P90/'Monthly Data'!CD90</f>
        <v>1536.3214703594001</v>
      </c>
      <c r="EU90" s="24">
        <f>'Monthly Data'!Q90/'Monthly Data'!U90/'Monthly Data'!CD90</f>
        <v>12513.64191002306</v>
      </c>
      <c r="EV90" s="24">
        <f>'Monthly Data'!V90/'Monthly Data'!Z90/'Monthly Data'!CD90</f>
        <v>99320.032258064515</v>
      </c>
      <c r="EW90" s="24"/>
      <c r="FG90" s="24"/>
    </row>
    <row r="91" spans="1:163" x14ac:dyDescent="0.25">
      <c r="A91" s="3">
        <v>44713</v>
      </c>
      <c r="B91" s="1">
        <f t="shared" si="84"/>
        <v>2022</v>
      </c>
      <c r="C91" s="1">
        <f t="shared" si="85"/>
        <v>6</v>
      </c>
      <c r="D91" s="272">
        <v>18.03075013875014</v>
      </c>
      <c r="E91" s="272">
        <v>75.529010989011013</v>
      </c>
      <c r="F91" s="272">
        <v>16.451515151515149</v>
      </c>
      <c r="G91" s="272">
        <v>36.166510989010987</v>
      </c>
      <c r="H91" s="272">
        <v>37.089015151515156</v>
      </c>
      <c r="I91" s="272">
        <v>6.1903205128205077</v>
      </c>
      <c r="J91" s="272">
        <v>67.11282467532466</v>
      </c>
      <c r="K91" s="272">
        <v>0</v>
      </c>
      <c r="L91" s="272">
        <v>120.92250416250417</v>
      </c>
      <c r="M91" s="272">
        <v>0</v>
      </c>
      <c r="N91" s="272">
        <v>180.92250416250408</v>
      </c>
      <c r="O91" s="272">
        <v>0</v>
      </c>
      <c r="P91" s="272">
        <v>240.92250416250408</v>
      </c>
      <c r="Q91" s="272">
        <v>0</v>
      </c>
      <c r="R91" s="272">
        <v>300.92250416250414</v>
      </c>
      <c r="X91" s="278"/>
      <c r="CS91" s="423"/>
      <c r="CT91" s="423"/>
      <c r="CU91" s="423"/>
      <c r="DD91" s="423"/>
      <c r="DE91" s="423"/>
      <c r="DP91" s="18">
        <f>'Monthly Data'!F91</f>
        <v>41602766.619574398</v>
      </c>
      <c r="DQ91" s="18">
        <f>'Monthly Data'!J91</f>
        <v>10454406.76599817</v>
      </c>
      <c r="DR91" s="18">
        <f>'Monthly Data'!N91</f>
        <v>26994738.159102611</v>
      </c>
      <c r="DS91" s="4">
        <f>'Monthly Data'!S91</f>
        <v>8319473.4229810853</v>
      </c>
      <c r="DT91" s="4">
        <f>'Monthly Data'!V91</f>
        <v>3066956</v>
      </c>
      <c r="DU91" s="18">
        <f t="shared" si="86"/>
        <v>42635424.845186099</v>
      </c>
      <c r="DV91" s="18">
        <f t="shared" si="87"/>
        <v>10304612.708157621</v>
      </c>
      <c r="DW91" s="18">
        <f t="shared" si="88"/>
        <v>25651111.258191254</v>
      </c>
      <c r="DX91" s="18">
        <f t="shared" si="89"/>
        <v>7653600.966011215</v>
      </c>
      <c r="DY91" s="18">
        <f t="shared" si="90"/>
        <v>3263982.0697409464</v>
      </c>
      <c r="ER91" s="24">
        <f>'Monthly Data'!F91/'Monthly Data'!G91/'Monthly Data'!CD91</f>
        <v>24.81051431851624</v>
      </c>
      <c r="ES91" s="268">
        <f>'Monthly Data'!J91/'Monthly Data'!K91/'Monthly Data'!CD91</f>
        <v>80.928988744373513</v>
      </c>
      <c r="ET91" s="24">
        <f>'Monthly Data'!N91/'Monthly Data'!P91/'Monthly Data'!CD91</f>
        <v>1663.2617473261005</v>
      </c>
      <c r="EU91" s="24">
        <f>'Monthly Data'!Q91/'Monthly Data'!U91/'Monthly Data'!CD91</f>
        <v>13751.786670846872</v>
      </c>
      <c r="EV91" s="24">
        <f>'Monthly Data'!V91/'Monthly Data'!Z91/'Monthly Data'!CD91</f>
        <v>102231.86666666667</v>
      </c>
      <c r="EW91" s="24"/>
      <c r="FG91" s="24"/>
    </row>
    <row r="92" spans="1:163" x14ac:dyDescent="0.25">
      <c r="A92" s="3">
        <v>44743</v>
      </c>
      <c r="B92" s="1">
        <f t="shared" si="84"/>
        <v>2022</v>
      </c>
      <c r="C92" s="1">
        <f t="shared" si="85"/>
        <v>7</v>
      </c>
      <c r="D92" s="272">
        <v>21.15659155778647</v>
      </c>
      <c r="E92" s="272">
        <v>8.9945652173913082</v>
      </c>
      <c r="F92" s="272">
        <v>44.848903508771912</v>
      </c>
      <c r="G92" s="272">
        <v>0.62083333333333357</v>
      </c>
      <c r="H92" s="272">
        <v>98.475171624713937</v>
      </c>
      <c r="I92" s="272">
        <v>0</v>
      </c>
      <c r="J92" s="272">
        <v>159.8543382913806</v>
      </c>
      <c r="K92" s="272">
        <v>0</v>
      </c>
      <c r="L92" s="272">
        <v>221.8543382913806</v>
      </c>
      <c r="M92" s="272">
        <v>0</v>
      </c>
      <c r="N92" s="272">
        <v>283.8543382913806</v>
      </c>
      <c r="O92" s="272">
        <v>0</v>
      </c>
      <c r="P92" s="272">
        <v>345.85433829138066</v>
      </c>
      <c r="Q92" s="272">
        <v>0</v>
      </c>
      <c r="R92" s="272">
        <v>407.8543382913806</v>
      </c>
      <c r="X92" s="278"/>
      <c r="CS92" s="423"/>
      <c r="CT92" s="278"/>
      <c r="CU92" s="278"/>
      <c r="CV92" s="278"/>
      <c r="CW92" s="278"/>
      <c r="CX92" s="278"/>
      <c r="CY92" s="278"/>
      <c r="CZ92" s="278"/>
      <c r="DA92" s="278"/>
      <c r="DB92" s="278"/>
      <c r="DC92" s="278"/>
      <c r="DD92" s="278"/>
      <c r="DE92" s="278"/>
      <c r="DF92" s="278"/>
      <c r="DG92" s="278"/>
      <c r="DP92" s="18">
        <f>'Monthly Data'!F92</f>
        <v>50133432.015538678</v>
      </c>
      <c r="DQ92" s="18">
        <f>'Monthly Data'!J92</f>
        <v>11689555.982580787</v>
      </c>
      <c r="DR92" s="18">
        <f>'Monthly Data'!N92</f>
        <v>30437331.985723536</v>
      </c>
      <c r="DS92" s="4">
        <f>'Monthly Data'!S92</f>
        <v>8824616.3377139345</v>
      </c>
      <c r="DT92" s="4">
        <f>'Monthly Data'!V92</f>
        <v>2783162</v>
      </c>
      <c r="DU92" s="18">
        <f t="shared" si="86"/>
        <v>49874098.719624922</v>
      </c>
      <c r="DV92" s="18">
        <f t="shared" si="87"/>
        <v>11626322.374257168</v>
      </c>
      <c r="DW92" s="18">
        <f t="shared" si="88"/>
        <v>27258948.581797622</v>
      </c>
      <c r="DX92" s="18">
        <f t="shared" si="89"/>
        <v>8375031.8970041983</v>
      </c>
      <c r="DY92" s="18">
        <f t="shared" si="90"/>
        <v>3404089.138734017</v>
      </c>
      <c r="EL92" s="1" t="s">
        <v>148</v>
      </c>
      <c r="EM92" s="1" t="s">
        <v>149</v>
      </c>
      <c r="EN92" s="1" t="s">
        <v>150</v>
      </c>
      <c r="EO92" s="1" t="s">
        <v>151</v>
      </c>
      <c r="ER92" s="24">
        <f>'Monthly Data'!F92/'Monthly Data'!G92/'Monthly Data'!CD92</f>
        <v>29.004564169022998</v>
      </c>
      <c r="ES92" s="268">
        <f>'Monthly Data'!J92/'Monthly Data'!K92/'Monthly Data'!CD92</f>
        <v>87.490127854058727</v>
      </c>
      <c r="ET92" s="24">
        <f>'Monthly Data'!N92/'Monthly Data'!P92/'Monthly Data'!CD92</f>
        <v>1814.8787779931749</v>
      </c>
      <c r="EU92" s="24">
        <f>'Monthly Data'!Q92/'Monthly Data'!U92/'Monthly Data'!CD92</f>
        <v>14209.424754731031</v>
      </c>
      <c r="EV92" s="24">
        <f>'Monthly Data'!V92/'Monthly Data'!Z92/'Monthly Data'!CD92</f>
        <v>89779.419354838712</v>
      </c>
      <c r="EW92" s="24"/>
      <c r="FG92" s="24"/>
    </row>
    <row r="93" spans="1:163" x14ac:dyDescent="0.25">
      <c r="A93" s="3">
        <v>44774</v>
      </c>
      <c r="B93" s="1">
        <f t="shared" si="84"/>
        <v>2022</v>
      </c>
      <c r="C93" s="1">
        <f t="shared" si="85"/>
        <v>8</v>
      </c>
      <c r="D93" s="272">
        <v>21.363978494623655</v>
      </c>
      <c r="E93" s="272">
        <v>7.3916666666666764</v>
      </c>
      <c r="F93" s="272">
        <v>49.674999999999997</v>
      </c>
      <c r="G93" s="272">
        <v>0.76250000000000284</v>
      </c>
      <c r="H93" s="272">
        <v>105.04583333333332</v>
      </c>
      <c r="I93" s="272">
        <v>0</v>
      </c>
      <c r="J93" s="272">
        <v>166.28333333333327</v>
      </c>
      <c r="K93" s="272">
        <v>0</v>
      </c>
      <c r="L93" s="272">
        <v>228.28333333333333</v>
      </c>
      <c r="M93" s="272">
        <v>0</v>
      </c>
      <c r="N93" s="272">
        <v>290.28333333333336</v>
      </c>
      <c r="O93" s="272">
        <v>0</v>
      </c>
      <c r="P93" s="272">
        <v>352.28333333333342</v>
      </c>
      <c r="Q93" s="272">
        <v>0</v>
      </c>
      <c r="R93" s="272">
        <v>414.28333333333336</v>
      </c>
      <c r="X93" s="278"/>
      <c r="CS93" s="423"/>
      <c r="CT93" s="278"/>
      <c r="CU93" s="278"/>
      <c r="CV93" s="278"/>
      <c r="CW93" s="278"/>
      <c r="CX93" s="278"/>
      <c r="CY93" s="278"/>
      <c r="CZ93" s="278"/>
      <c r="DA93" s="278"/>
      <c r="DB93" s="278"/>
      <c r="DC93" s="278"/>
      <c r="DD93" s="278"/>
      <c r="DE93" s="278"/>
      <c r="DF93" s="278"/>
      <c r="DG93" s="278"/>
      <c r="DP93" s="18">
        <f>'Monthly Data'!F93</f>
        <v>54578895.420204103</v>
      </c>
      <c r="DQ93" s="18">
        <f>'Monthly Data'!J93</f>
        <v>12151700.400896436</v>
      </c>
      <c r="DR93" s="18">
        <f>'Monthly Data'!N93</f>
        <v>28209659.303995032</v>
      </c>
      <c r="DS93" s="4">
        <f>'Monthly Data'!S93</f>
        <v>8324973.3981702216</v>
      </c>
      <c r="DT93" s="4">
        <f>'Monthly Data'!V93</f>
        <v>2720948</v>
      </c>
      <c r="DU93" s="18">
        <f t="shared" si="86"/>
        <v>50326217.336211629</v>
      </c>
      <c r="DV93" s="18">
        <f t="shared" si="87"/>
        <v>11712715.794447161</v>
      </c>
      <c r="DW93" s="18">
        <f t="shared" si="88"/>
        <v>27359372.112274982</v>
      </c>
      <c r="DX93" s="18">
        <f t="shared" si="89"/>
        <v>8420984.4541780129</v>
      </c>
      <c r="DY93" s="18">
        <f t="shared" si="90"/>
        <v>3413013.4554243176</v>
      </c>
      <c r="EK93" s="1" t="s">
        <v>152</v>
      </c>
      <c r="EL93" s="1">
        <v>3096125.2406271701</v>
      </c>
      <c r="EM93" s="1">
        <v>104854.742802516</v>
      </c>
      <c r="EN93" s="1">
        <v>29.5277558065108</v>
      </c>
      <c r="EO93" s="283">
        <v>8.7280497178398108E-56</v>
      </c>
      <c r="ER93" s="24">
        <f>'Monthly Data'!F93/'Monthly Data'!G93/'Monthly Data'!CD93</f>
        <v>31.461366481728405</v>
      </c>
      <c r="ES93" s="268">
        <f>'Monthly Data'!J93/'Monthly Data'!K93/'Monthly Data'!CD93</f>
        <v>90.94903376166782</v>
      </c>
      <c r="ET93" s="24">
        <f>'Monthly Data'!N93/'Monthly Data'!P93/'Monthly Data'!CD93</f>
        <v>1678.9465125577331</v>
      </c>
      <c r="EU93" s="24">
        <f>'Monthly Data'!Q93/'Monthly Data'!U93/'Monthly Data'!CD93</f>
        <v>13309.977365136125</v>
      </c>
      <c r="EV93" s="24">
        <f>'Monthly Data'!V93/'Monthly Data'!Z93/'Monthly Data'!CD93</f>
        <v>87772.516129032258</v>
      </c>
      <c r="EW93" s="24"/>
      <c r="FG93" s="24"/>
    </row>
    <row r="94" spans="1:163" x14ac:dyDescent="0.25">
      <c r="A94" s="3">
        <v>44805</v>
      </c>
      <c r="B94" s="1">
        <f t="shared" si="84"/>
        <v>2022</v>
      </c>
      <c r="C94" s="1">
        <f t="shared" si="85"/>
        <v>9</v>
      </c>
      <c r="D94" s="272">
        <v>16.37402777777778</v>
      </c>
      <c r="E94" s="272">
        <v>111.79166666666666</v>
      </c>
      <c r="F94" s="272">
        <v>3.0124999999999957</v>
      </c>
      <c r="G94" s="272">
        <v>71.412499999999994</v>
      </c>
      <c r="H94" s="272">
        <v>22.633333333333329</v>
      </c>
      <c r="I94" s="272">
        <v>45.029166666666661</v>
      </c>
      <c r="J94" s="272">
        <v>56.250000000000007</v>
      </c>
      <c r="K94" s="272">
        <v>22.833333333333329</v>
      </c>
      <c r="L94" s="272">
        <v>94.054166666666674</v>
      </c>
      <c r="M94" s="272">
        <v>8.5708333333333329</v>
      </c>
      <c r="N94" s="272">
        <v>139.79166666666663</v>
      </c>
      <c r="O94" s="272">
        <v>2.1000000000000014</v>
      </c>
      <c r="P94" s="272">
        <v>193.32083333333327</v>
      </c>
      <c r="Q94" s="272">
        <v>0</v>
      </c>
      <c r="R94" s="272">
        <v>251.2208333333333</v>
      </c>
      <c r="X94" s="278"/>
      <c r="CS94" s="423"/>
      <c r="CT94" s="278"/>
      <c r="CU94" s="278"/>
      <c r="CV94" s="278"/>
      <c r="CW94" s="278"/>
      <c r="CX94" s="278"/>
      <c r="CY94" s="278"/>
      <c r="CZ94" s="278"/>
      <c r="DA94" s="278"/>
      <c r="DB94" s="278"/>
      <c r="DC94" s="278"/>
      <c r="DD94" s="278"/>
      <c r="DE94" s="278"/>
      <c r="DF94" s="278"/>
      <c r="DG94" s="278"/>
      <c r="DP94" s="18">
        <f>'Monthly Data'!F94</f>
        <v>45528234.424271107</v>
      </c>
      <c r="DQ94" s="18">
        <f>'Monthly Data'!J94</f>
        <v>10411655.904462164</v>
      </c>
      <c r="DR94" s="18">
        <f>'Monthly Data'!N94</f>
        <v>27443738.433949891</v>
      </c>
      <c r="DS94" s="4">
        <f>'Monthly Data'!S94</f>
        <v>8116264.8044103524</v>
      </c>
      <c r="DT94" s="4">
        <f>'Monthly Data'!V94</f>
        <v>2739776</v>
      </c>
      <c r="DU94" s="18">
        <f t="shared" si="86"/>
        <v>40448053.248360656</v>
      </c>
      <c r="DV94" s="18">
        <f t="shared" si="87"/>
        <v>10160773.185684757</v>
      </c>
      <c r="DW94" s="18">
        <f t="shared" si="88"/>
        <v>25050713.68001584</v>
      </c>
      <c r="DX94" s="18">
        <f t="shared" si="89"/>
        <v>7463034.2312223688</v>
      </c>
      <c r="DY94" s="18">
        <f t="shared" si="90"/>
        <v>3228518.7183016688</v>
      </c>
      <c r="EK94" s="1" t="s">
        <v>63</v>
      </c>
      <c r="EL94" s="1">
        <v>213.92826645698599</v>
      </c>
      <c r="EM94" s="1">
        <v>221.71079100620699</v>
      </c>
      <c r="EN94" s="1">
        <v>0.96489785402911399</v>
      </c>
      <c r="EO94" s="1">
        <v>0.33660324885627202</v>
      </c>
      <c r="ER94" s="24">
        <f>'Monthly Data'!F94/'Monthly Data'!G94/'Monthly Data'!CD94</f>
        <v>27.096752444201083</v>
      </c>
      <c r="ES94" s="268">
        <f>'Monthly Data'!J94/'Monthly Data'!K94/'Monthly Data'!CD94</f>
        <v>80.39267936423569</v>
      </c>
      <c r="ET94" s="24">
        <f>'Monthly Data'!N94/'Monthly Data'!P94/'Monthly Data'!CD94</f>
        <v>1687.806791755836</v>
      </c>
      <c r="EU94" s="24">
        <f>'Monthly Data'!Q94/'Monthly Data'!U94/'Monthly Data'!CD94</f>
        <v>13362.981615066377</v>
      </c>
      <c r="EV94" s="24">
        <f>'Monthly Data'!V94/'Monthly Data'!Z94/'Monthly Data'!CD94</f>
        <v>91325.866666666669</v>
      </c>
      <c r="EW94" s="24"/>
      <c r="FG94" s="24"/>
    </row>
    <row r="95" spans="1:163" x14ac:dyDescent="0.25">
      <c r="A95" s="3">
        <v>44835</v>
      </c>
      <c r="B95" s="1">
        <f t="shared" si="84"/>
        <v>2022</v>
      </c>
      <c r="C95" s="1">
        <f t="shared" si="85"/>
        <v>10</v>
      </c>
      <c r="D95" s="272">
        <v>9.3272381954184187</v>
      </c>
      <c r="E95" s="272">
        <v>330.85561594202903</v>
      </c>
      <c r="F95" s="272">
        <v>0</v>
      </c>
      <c r="G95" s="272">
        <v>268.85561594202898</v>
      </c>
      <c r="H95" s="272">
        <v>0</v>
      </c>
      <c r="I95" s="272">
        <v>206.85561594202895</v>
      </c>
      <c r="J95" s="272">
        <v>0</v>
      </c>
      <c r="K95" s="272">
        <v>147.2764492753623</v>
      </c>
      <c r="L95" s="272">
        <v>2.4208333333333307</v>
      </c>
      <c r="M95" s="272">
        <v>94.459782608695647</v>
      </c>
      <c r="N95" s="272">
        <v>11.604166666666668</v>
      </c>
      <c r="O95" s="272">
        <v>52.855615942028983</v>
      </c>
      <c r="P95" s="272">
        <v>32</v>
      </c>
      <c r="Q95" s="272">
        <v>23.659782608695654</v>
      </c>
      <c r="R95" s="272">
        <v>64.804166666666674</v>
      </c>
      <c r="X95" s="278"/>
      <c r="CS95" s="423"/>
      <c r="CT95" s="278"/>
      <c r="CU95" s="278"/>
      <c r="CV95" s="278"/>
      <c r="CW95" s="278"/>
      <c r="CX95" s="278"/>
      <c r="CY95" s="278"/>
      <c r="CZ95" s="278"/>
      <c r="DA95" s="278"/>
      <c r="DB95" s="278"/>
      <c r="DC95" s="278"/>
      <c r="DD95" s="278"/>
      <c r="DE95" s="278"/>
      <c r="DF95" s="278"/>
      <c r="DG95" s="278"/>
      <c r="DP95" s="18">
        <f>'Monthly Data'!F95</f>
        <v>35853689.754493721</v>
      </c>
      <c r="DQ95" s="18">
        <f>'Monthly Data'!J95</f>
        <v>9828046.4671053123</v>
      </c>
      <c r="DR95" s="18">
        <f>'Monthly Data'!N95</f>
        <v>26694582.901064809</v>
      </c>
      <c r="DS95" s="4">
        <f>'Monthly Data'!S95</f>
        <v>8408453.1170397643</v>
      </c>
      <c r="DT95" s="4">
        <f>'Monthly Data'!V95</f>
        <v>2642054</v>
      </c>
      <c r="DU95" s="18">
        <f t="shared" si="86"/>
        <v>35276397.502830252</v>
      </c>
      <c r="DV95" s="18">
        <f t="shared" si="87"/>
        <v>9834466.341119932</v>
      </c>
      <c r="DW95" s="18">
        <f t="shared" si="88"/>
        <v>24065488.880462699</v>
      </c>
      <c r="DX95" s="18">
        <f t="shared" si="89"/>
        <v>6822899.4659114191</v>
      </c>
      <c r="DY95" s="18">
        <f t="shared" si="90"/>
        <v>3119693.303027038</v>
      </c>
      <c r="EK95" s="1" t="s">
        <v>58</v>
      </c>
      <c r="EL95" s="1">
        <v>1388.13556894421</v>
      </c>
      <c r="EM95" s="1">
        <v>357.92366093941001</v>
      </c>
      <c r="EN95" s="1">
        <v>3.8783006557903801</v>
      </c>
      <c r="EO95" s="1">
        <v>1.7494470081985799E-4</v>
      </c>
      <c r="ER95" s="24">
        <f>'Monthly Data'!F95/'Monthly Data'!G95/'Monthly Data'!CD95</f>
        <v>20.686662920848754</v>
      </c>
      <c r="ES95" s="268">
        <f>'Monthly Data'!J95/'Monthly Data'!K95/'Monthly Data'!CD95</f>
        <v>73.421435155951173</v>
      </c>
      <c r="ET95" s="24">
        <f>'Monthly Data'!N95/'Monthly Data'!P95/'Monthly Data'!CD95</f>
        <v>1588.7741281433644</v>
      </c>
      <c r="EU95" s="24">
        <f>'Monthly Data'!Q95/'Monthly Data'!U95/'Monthly Data'!CD95</f>
        <v>13451.522725654142</v>
      </c>
      <c r="EV95" s="24">
        <f>'Monthly Data'!V95/'Monthly Data'!Z95/'Monthly Data'!CD95</f>
        <v>85227.548387096773</v>
      </c>
      <c r="EW95" s="24"/>
      <c r="FG95" s="24"/>
    </row>
    <row r="96" spans="1:163" x14ac:dyDescent="0.25">
      <c r="A96" s="3">
        <v>44866</v>
      </c>
      <c r="B96" s="1">
        <f t="shared" si="84"/>
        <v>2022</v>
      </c>
      <c r="C96" s="1">
        <f t="shared" si="85"/>
        <v>11</v>
      </c>
      <c r="D96" s="272">
        <v>4.2722222222222213</v>
      </c>
      <c r="E96" s="272">
        <v>471.83333333333348</v>
      </c>
      <c r="F96" s="272">
        <v>0</v>
      </c>
      <c r="G96" s="272">
        <v>411.83333333333348</v>
      </c>
      <c r="H96" s="272">
        <v>0</v>
      </c>
      <c r="I96" s="272">
        <v>351.83333333333343</v>
      </c>
      <c r="J96" s="272">
        <v>0</v>
      </c>
      <c r="K96" s="272">
        <v>294.14166666666671</v>
      </c>
      <c r="L96" s="272">
        <v>2.3083333333333318</v>
      </c>
      <c r="M96" s="272">
        <v>238.41249999999999</v>
      </c>
      <c r="N96" s="272">
        <v>6.5791666666666675</v>
      </c>
      <c r="O96" s="272">
        <v>185.6583333333333</v>
      </c>
      <c r="P96" s="272">
        <v>13.824999999999999</v>
      </c>
      <c r="Q96" s="272">
        <v>138.80000000000001</v>
      </c>
      <c r="R96" s="272">
        <v>26.966666666666669</v>
      </c>
      <c r="X96" s="278"/>
      <c r="CS96" s="423"/>
      <c r="CT96" s="278"/>
      <c r="CU96" s="278"/>
      <c r="CV96" s="278"/>
      <c r="CW96" s="278"/>
      <c r="CX96" s="278"/>
      <c r="CY96" s="278"/>
      <c r="CZ96" s="278"/>
      <c r="DA96" s="278"/>
      <c r="DB96" s="278"/>
      <c r="DC96" s="278"/>
      <c r="DD96" s="278"/>
      <c r="DE96" s="278"/>
      <c r="DF96" s="278"/>
      <c r="DG96" s="278"/>
      <c r="DP96" s="18">
        <f>'Monthly Data'!F96</f>
        <v>39279750.296396427</v>
      </c>
      <c r="DQ96" s="18">
        <f>'Monthly Data'!J96</f>
        <v>10674195.491496757</v>
      </c>
      <c r="DR96" s="18">
        <f>'Monthly Data'!N96</f>
        <v>27218650.297496051</v>
      </c>
      <c r="DS96" s="4">
        <f>'Monthly Data'!S96</f>
        <v>7440054.2619402809</v>
      </c>
      <c r="DT96" s="4">
        <f>'Monthly Data'!V96</f>
        <v>2584119</v>
      </c>
      <c r="DU96" s="18">
        <f t="shared" si="86"/>
        <v>39458587.481092498</v>
      </c>
      <c r="DV96" s="18">
        <f t="shared" si="87"/>
        <v>10643792.436688377</v>
      </c>
      <c r="DW96" s="18">
        <f t="shared" si="88"/>
        <v>26648294.243439104</v>
      </c>
      <c r="DX96" s="18">
        <f t="shared" si="89"/>
        <v>6846956.3314034557</v>
      </c>
      <c r="DY96" s="18">
        <f t="shared" si="90"/>
        <v>3150332.6930588256</v>
      </c>
      <c r="ER96" s="24">
        <f>'Monthly Data'!F96/'Monthly Data'!G96/'Monthly Data'!CD96</f>
        <v>23.326237014838163</v>
      </c>
      <c r="ES96" s="268">
        <f>'Monthly Data'!J96/'Monthly Data'!K96/'Monthly Data'!CD96</f>
        <v>82.172405631229836</v>
      </c>
      <c r="ET96" s="24">
        <f>'Monthly Data'!N96/'Monthly Data'!P96/'Monthly Data'!CD96</f>
        <v>1670.8809267953377</v>
      </c>
      <c r="EU96" s="24">
        <f>'Monthly Data'!Q96/'Monthly Data'!U96/'Monthly Data'!CD96</f>
        <v>12102.411336972746</v>
      </c>
      <c r="EV96" s="24">
        <f>'Monthly Data'!V96/'Monthly Data'!Z96/'Monthly Data'!CD96</f>
        <v>86137.3</v>
      </c>
      <c r="EW96" s="24"/>
      <c r="FG96" s="24"/>
    </row>
    <row r="97" spans="1:163" x14ac:dyDescent="0.25">
      <c r="A97" s="3">
        <v>44896</v>
      </c>
      <c r="B97" s="1">
        <f t="shared" si="84"/>
        <v>2022</v>
      </c>
      <c r="C97" s="1">
        <f t="shared" si="85"/>
        <v>12</v>
      </c>
      <c r="D97" s="272">
        <v>-0.87486559139784936</v>
      </c>
      <c r="E97" s="272">
        <v>647.12083333333328</v>
      </c>
      <c r="F97" s="272">
        <v>0</v>
      </c>
      <c r="G97" s="272">
        <v>585.12083333333328</v>
      </c>
      <c r="H97" s="272">
        <v>0</v>
      </c>
      <c r="I97" s="272">
        <v>523.12083333333328</v>
      </c>
      <c r="J97" s="272">
        <v>0</v>
      </c>
      <c r="K97" s="272">
        <v>461.12083333333328</v>
      </c>
      <c r="L97" s="272">
        <v>0</v>
      </c>
      <c r="M97" s="272">
        <v>399.12083333333328</v>
      </c>
      <c r="N97" s="272">
        <v>0</v>
      </c>
      <c r="O97" s="272">
        <v>337.12083333333322</v>
      </c>
      <c r="P97" s="272">
        <v>0</v>
      </c>
      <c r="Q97" s="272">
        <v>275.12083333333322</v>
      </c>
      <c r="R97" s="272">
        <v>0</v>
      </c>
      <c r="CS97" s="423"/>
      <c r="CT97" s="278"/>
      <c r="CU97" s="278"/>
      <c r="CV97" s="278"/>
      <c r="CW97" s="278"/>
      <c r="CX97" s="278"/>
      <c r="CY97" s="278"/>
      <c r="CZ97" s="278"/>
      <c r="DA97" s="278"/>
      <c r="DB97" s="278"/>
      <c r="DC97" s="278"/>
      <c r="DD97" s="278"/>
      <c r="DE97" s="278"/>
      <c r="DF97" s="278"/>
      <c r="DG97" s="278"/>
      <c r="DP97" s="18">
        <f>'Monthly Data'!F97</f>
        <v>45946519.028498955</v>
      </c>
      <c r="DQ97" s="18">
        <f>'Monthly Data'!J97</f>
        <v>12137450.090663463</v>
      </c>
      <c r="DR97" s="18">
        <f>'Monthly Data'!N97</f>
        <v>33213275.661935754</v>
      </c>
      <c r="DS97" s="4">
        <f>'Monthly Data'!S97</f>
        <v>7186855.0292048287</v>
      </c>
      <c r="DT97" s="4">
        <f>'Monthly Data'!V97</f>
        <v>2398663</v>
      </c>
      <c r="DU97" s="18">
        <f t="shared" si="86"/>
        <v>44152650.88830632</v>
      </c>
      <c r="DV97" s="18">
        <f t="shared" si="87"/>
        <v>11570757.256477877</v>
      </c>
      <c r="DW97" s="18">
        <f t="shared" si="88"/>
        <v>29580755.300958499</v>
      </c>
      <c r="DX97" s="18">
        <f t="shared" si="89"/>
        <v>6858211.7643418564</v>
      </c>
      <c r="DY97" s="18">
        <f t="shared" si="90"/>
        <v>3181508.4686090378</v>
      </c>
      <c r="EK97" s="1" t="s">
        <v>153</v>
      </c>
      <c r="ER97" s="24">
        <f>'Monthly Data'!F97/'Monthly Data'!G97/'Monthly Data'!CD97</f>
        <v>26.409824755668456</v>
      </c>
      <c r="ES97" s="268">
        <f>'Monthly Data'!J97/'Monthly Data'!K97/'Monthly Data'!CD97</f>
        <v>90.464567487504198</v>
      </c>
      <c r="ET97" s="24">
        <f>'Monthly Data'!N97/'Monthly Data'!P97/'Monthly Data'!CD97</f>
        <v>1969.4779211299665</v>
      </c>
      <c r="EU97" s="24">
        <f>'Monthly Data'!Q97/'Monthly Data'!U97/'Monthly Data'!CD97</f>
        <v>11254.218970214311</v>
      </c>
      <c r="EV97" s="24">
        <f>'Monthly Data'!V97/'Monthly Data'!Z97/'Monthly Data'!CD97</f>
        <v>77376.225806451606</v>
      </c>
      <c r="EW97" s="24"/>
      <c r="FG97" s="24"/>
    </row>
    <row r="98" spans="1:163" x14ac:dyDescent="0.25">
      <c r="A98" s="3">
        <v>44927</v>
      </c>
      <c r="B98" s="1">
        <f t="shared" si="84"/>
        <v>2023</v>
      </c>
      <c r="C98" s="1">
        <f t="shared" si="85"/>
        <v>1</v>
      </c>
      <c r="D98" s="272">
        <v>-1.4861559139784948</v>
      </c>
      <c r="E98" s="272">
        <v>666.07083333333355</v>
      </c>
      <c r="F98" s="272">
        <v>0</v>
      </c>
      <c r="G98" s="272">
        <v>604.07083333333344</v>
      </c>
      <c r="H98" s="272">
        <v>0</v>
      </c>
      <c r="I98" s="272">
        <v>542.07083333333333</v>
      </c>
      <c r="J98" s="272">
        <v>0</v>
      </c>
      <c r="K98" s="272">
        <v>480.07083333333327</v>
      </c>
      <c r="L98" s="272">
        <v>0</v>
      </c>
      <c r="M98" s="272">
        <v>418.07083333333327</v>
      </c>
      <c r="N98" s="272">
        <v>0</v>
      </c>
      <c r="O98" s="272">
        <v>356.07083333333321</v>
      </c>
      <c r="P98" s="272">
        <v>0</v>
      </c>
      <c r="Q98" s="272">
        <v>294.07083333333327</v>
      </c>
      <c r="R98" s="272">
        <v>0</v>
      </c>
      <c r="CS98" s="423"/>
      <c r="CT98" s="278"/>
      <c r="CU98" s="278"/>
      <c r="CV98" s="278"/>
      <c r="CW98" s="278"/>
      <c r="CX98" s="278"/>
      <c r="CY98" s="278"/>
      <c r="CZ98" s="278"/>
      <c r="DA98" s="278"/>
      <c r="DB98" s="278"/>
      <c r="DC98" s="278"/>
      <c r="DD98" s="278"/>
      <c r="DE98" s="278"/>
      <c r="DF98" s="278"/>
      <c r="DG98" s="278"/>
      <c r="DP98" s="18">
        <f>'Monthly Data'!F98</f>
        <v>49810652.246749312</v>
      </c>
      <c r="DQ98" s="18">
        <f>'Monthly Data'!J98</f>
        <v>11900920.75694887</v>
      </c>
      <c r="DR98" s="18">
        <f>'Monthly Data'!N98</f>
        <v>33636244.995981395</v>
      </c>
      <c r="DS98" s="4">
        <f>'Monthly Data'!S98</f>
        <v>7297519.824448091</v>
      </c>
      <c r="DT98" s="4">
        <f>'Monthly Data'!V98</f>
        <v>2718971.7479580869</v>
      </c>
      <c r="DU98" s="18">
        <f t="shared" si="86"/>
        <v>44737875.252686284</v>
      </c>
      <c r="DV98" s="18">
        <f t="shared" si="87"/>
        <v>11676741.666480187</v>
      </c>
      <c r="DW98" s="18">
        <f t="shared" si="88"/>
        <v>29960503.520857908</v>
      </c>
      <c r="DX98" s="18">
        <f t="shared" si="89"/>
        <v>6861484.4751476627</v>
      </c>
      <c r="DY98" s="18">
        <f t="shared" si="90"/>
        <v>3185562.4092583978</v>
      </c>
      <c r="EK98" s="1" t="s">
        <v>154</v>
      </c>
      <c r="EL98" s="1">
        <v>5859570223165.9102</v>
      </c>
      <c r="EM98" s="1" t="s">
        <v>155</v>
      </c>
      <c r="EN98" s="1">
        <v>224752.16663383399</v>
      </c>
      <c r="ER98" s="24">
        <f>'Monthly Data'!F98/'Monthly Data'!G98/'Monthly Data'!CD98</f>
        <v>28.534304732043594</v>
      </c>
      <c r="ES98" s="268">
        <f>'Monthly Data'!J98/'Monthly Data'!K98/'Monthly Data'!CD98</f>
        <v>88.742642066342071</v>
      </c>
      <c r="ET98" s="24">
        <f>'Monthly Data'!N98/'Monthly Data'!P98/'Monthly Data'!CD98</f>
        <v>2001.9191165326388</v>
      </c>
      <c r="EU98" s="24">
        <f>'Monthly Data'!Q98/'Monthly Data'!U98/'Monthly Data'!CD98</f>
        <v>11385.029380763741</v>
      </c>
      <c r="EV98" s="24">
        <f>'Monthly Data'!V98/'Monthly Data'!Z98/'Monthly Data'!CD98</f>
        <v>87708.76606316409</v>
      </c>
      <c r="EW98" s="24"/>
      <c r="FG98" s="24"/>
    </row>
    <row r="99" spans="1:163" x14ac:dyDescent="0.25">
      <c r="A99" s="3">
        <v>44958</v>
      </c>
      <c r="B99" s="1">
        <f t="shared" si="84"/>
        <v>2023</v>
      </c>
      <c r="C99" s="1">
        <f t="shared" si="85"/>
        <v>2</v>
      </c>
      <c r="D99" s="272">
        <v>-2.4797619047619048</v>
      </c>
      <c r="E99" s="272">
        <v>629.43333333333328</v>
      </c>
      <c r="F99" s="272">
        <v>0</v>
      </c>
      <c r="G99" s="272">
        <v>573.43333333333328</v>
      </c>
      <c r="H99" s="272">
        <v>0</v>
      </c>
      <c r="I99" s="272">
        <v>517.43333333333328</v>
      </c>
      <c r="J99" s="272">
        <v>0</v>
      </c>
      <c r="K99" s="272">
        <v>461.43333333333328</v>
      </c>
      <c r="L99" s="272">
        <v>0</v>
      </c>
      <c r="M99" s="272">
        <v>405.43333333333328</v>
      </c>
      <c r="N99" s="272">
        <v>0</v>
      </c>
      <c r="O99" s="272">
        <v>349.43333333333328</v>
      </c>
      <c r="P99" s="272">
        <v>0</v>
      </c>
      <c r="Q99" s="272">
        <v>293.51666666666665</v>
      </c>
      <c r="R99" s="272">
        <v>8.3333333333332149E-2</v>
      </c>
      <c r="CS99" s="423"/>
      <c r="CT99" s="278"/>
      <c r="CU99" s="278"/>
      <c r="CV99" s="278"/>
      <c r="CW99" s="278"/>
      <c r="CX99" s="278"/>
      <c r="CY99" s="278"/>
      <c r="CZ99" s="278"/>
      <c r="DA99" s="278"/>
      <c r="DB99" s="278"/>
      <c r="DC99" s="278"/>
      <c r="DD99" s="278"/>
      <c r="DE99" s="278"/>
      <c r="DF99" s="278"/>
      <c r="DG99" s="278"/>
      <c r="DP99" s="18">
        <f>'Monthly Data'!F99</f>
        <v>48142162.27973219</v>
      </c>
      <c r="DQ99" s="18">
        <f>'Monthly Data'!J99</f>
        <v>11268388.96174559</v>
      </c>
      <c r="DR99" s="18">
        <f>'Monthly Data'!N99</f>
        <v>29200478.524304185</v>
      </c>
      <c r="DS99" s="4">
        <f>'Monthly Data'!S99</f>
        <v>7161447.3370062616</v>
      </c>
      <c r="DT99" s="4">
        <f>'Monthly Data'!V99</f>
        <v>2576085.9383378797</v>
      </c>
      <c r="DU99" s="18">
        <f t="shared" si="86"/>
        <v>44162301.685871951</v>
      </c>
      <c r="DV99" s="18">
        <f t="shared" si="87"/>
        <v>11538947.951365048</v>
      </c>
      <c r="DW99" s="18">
        <f t="shared" si="88"/>
        <v>29827491.446473617</v>
      </c>
      <c r="DX99" s="18">
        <f t="shared" si="89"/>
        <v>6859301.9483503867</v>
      </c>
      <c r="DY99" s="18">
        <f t="shared" si="90"/>
        <v>3182858.8907910474</v>
      </c>
      <c r="EK99" s="1" t="s">
        <v>156</v>
      </c>
      <c r="EL99" s="1">
        <v>0.66014927301634896</v>
      </c>
      <c r="EM99" s="1" t="s">
        <v>157</v>
      </c>
      <c r="EN99" s="1">
        <v>0.65428977772352703</v>
      </c>
      <c r="ER99" s="24">
        <f>'Monthly Data'!F99/'Monthly Data'!G99/'Monthly Data'!CD99</f>
        <v>30.504088327186444</v>
      </c>
      <c r="ES99" s="268">
        <f>'Monthly Data'!J99/'Monthly Data'!K99/'Monthly Data'!CD99</f>
        <v>93.028770901406688</v>
      </c>
      <c r="ET99" s="24">
        <f>'Monthly Data'!N99/'Monthly Data'!P99/'Monthly Data'!CD99</f>
        <v>1920.5786979942243</v>
      </c>
      <c r="EU99" s="24">
        <f>'Monthly Data'!Q99/'Monthly Data'!U99/'Monthly Data'!CD99</f>
        <v>12321.630646917858</v>
      </c>
      <c r="EV99" s="24">
        <f>'Monthly Data'!V99/'Monthly Data'!Z99/'Monthly Data'!CD99</f>
        <v>92003.069226352847</v>
      </c>
      <c r="EW99" s="24"/>
      <c r="FG99" s="24"/>
    </row>
    <row r="100" spans="1:163" x14ac:dyDescent="0.25">
      <c r="A100" s="3">
        <v>44986</v>
      </c>
      <c r="B100" s="1">
        <f t="shared" si="84"/>
        <v>2023</v>
      </c>
      <c r="C100" s="1">
        <f t="shared" si="85"/>
        <v>3</v>
      </c>
      <c r="D100" s="272">
        <v>0.22473118279569884</v>
      </c>
      <c r="E100" s="272">
        <v>613.0333333333333</v>
      </c>
      <c r="F100" s="272">
        <v>0</v>
      </c>
      <c r="G100" s="272">
        <v>551.03333333333342</v>
      </c>
      <c r="H100" s="272">
        <v>0</v>
      </c>
      <c r="I100" s="272">
        <v>489.03333333333336</v>
      </c>
      <c r="J100" s="272">
        <v>0</v>
      </c>
      <c r="K100" s="272">
        <v>427.0333333333333</v>
      </c>
      <c r="L100" s="272">
        <v>0</v>
      </c>
      <c r="M100" s="272">
        <v>365.03333333333336</v>
      </c>
      <c r="N100" s="272">
        <v>0</v>
      </c>
      <c r="O100" s="272">
        <v>303.03333333333342</v>
      </c>
      <c r="P100" s="272">
        <v>0</v>
      </c>
      <c r="Q100" s="272">
        <v>241.03333333333333</v>
      </c>
      <c r="R100" s="272">
        <v>0</v>
      </c>
      <c r="CS100" s="423"/>
      <c r="CT100" s="278"/>
      <c r="CU100" s="278"/>
      <c r="CV100" s="278"/>
      <c r="CW100" s="278"/>
      <c r="CX100" s="278"/>
      <c r="CY100" s="278"/>
      <c r="CZ100" s="278"/>
      <c r="DA100" s="278"/>
      <c r="DB100" s="278"/>
      <c r="DC100" s="278"/>
      <c r="DD100" s="278"/>
      <c r="DE100" s="278"/>
      <c r="DF100" s="278"/>
      <c r="DG100" s="278"/>
      <c r="DP100" s="18">
        <f>'Monthly Data'!F100</f>
        <v>44083636.228969194</v>
      </c>
      <c r="DQ100" s="18">
        <f>'Monthly Data'!J100</f>
        <v>11816770.193896014</v>
      </c>
      <c r="DR100" s="18">
        <f>'Monthly Data'!N100</f>
        <v>28885241.896434542</v>
      </c>
      <c r="DS100" s="4">
        <f>'Monthly Data'!S100</f>
        <v>6776150.5893926928</v>
      </c>
      <c r="DT100" s="4">
        <f>'Monthly Data'!V100</f>
        <v>2739789.2561942837</v>
      </c>
      <c r="DU100" s="18">
        <f t="shared" si="86"/>
        <v>43099941.8898471</v>
      </c>
      <c r="DV100" s="18">
        <f t="shared" si="87"/>
        <v>11380111.157482959</v>
      </c>
      <c r="DW100" s="18">
        <f t="shared" si="88"/>
        <v>28897659.393527303</v>
      </c>
      <c r="DX100" s="18">
        <f t="shared" si="89"/>
        <v>6852324.7706957925</v>
      </c>
      <c r="DY100" s="18">
        <f t="shared" si="90"/>
        <v>3174216.1888261852</v>
      </c>
      <c r="EK100" s="1" t="s">
        <v>158</v>
      </c>
      <c r="EL100" s="1">
        <v>25.539681246538699</v>
      </c>
      <c r="EM100" s="1" t="s">
        <v>159</v>
      </c>
      <c r="EN100" s="283">
        <v>6.4422922719144E-10</v>
      </c>
      <c r="ER100" s="24">
        <f>'Monthly Data'!F100/'Monthly Data'!G100/'Monthly Data'!CD100</f>
        <v>25.118838103962894</v>
      </c>
      <c r="ES100" s="268">
        <f>'Monthly Data'!J100/'Monthly Data'!K100/'Monthly Data'!CD100</f>
        <v>88.17629777630539</v>
      </c>
      <c r="ET100" s="24">
        <f>'Monthly Data'!N100/'Monthly Data'!P100/'Monthly Data'!CD100</f>
        <v>1712.8345526823139</v>
      </c>
      <c r="EU100" s="24">
        <f>'Monthly Data'!Q100/'Monthly Data'!U100/'Monthly Data'!CD100</f>
        <v>10426.761715869705</v>
      </c>
      <c r="EV100" s="24">
        <f>'Monthly Data'!V100/'Monthly Data'!Z100/'Monthly Data'!CD100</f>
        <v>88380.29858691238</v>
      </c>
      <c r="EW100" s="24"/>
      <c r="FG100" s="24"/>
    </row>
    <row r="101" spans="1:163" x14ac:dyDescent="0.25">
      <c r="A101" s="3">
        <v>45017</v>
      </c>
      <c r="B101" s="1">
        <f t="shared" si="84"/>
        <v>2023</v>
      </c>
      <c r="C101" s="1">
        <f t="shared" si="85"/>
        <v>4</v>
      </c>
      <c r="D101" s="272">
        <v>7.9533333333333323</v>
      </c>
      <c r="E101" s="272">
        <v>361.4</v>
      </c>
      <c r="F101" s="272">
        <v>0</v>
      </c>
      <c r="G101" s="272">
        <v>301.39999999999998</v>
      </c>
      <c r="H101" s="272">
        <v>0</v>
      </c>
      <c r="I101" s="272">
        <v>243.15833333333336</v>
      </c>
      <c r="J101" s="272">
        <v>1.75833333333334</v>
      </c>
      <c r="K101" s="272">
        <v>193.11666666666667</v>
      </c>
      <c r="L101" s="272">
        <v>11.71666666666667</v>
      </c>
      <c r="M101" s="272">
        <v>144.11666666666667</v>
      </c>
      <c r="N101" s="272">
        <v>22.716666666666676</v>
      </c>
      <c r="O101" s="272">
        <v>98.574999999999989</v>
      </c>
      <c r="P101" s="272">
        <v>37.175000000000004</v>
      </c>
      <c r="Q101" s="272">
        <v>58.116666666666674</v>
      </c>
      <c r="R101" s="272">
        <v>56.716666666666676</v>
      </c>
      <c r="CS101" s="423"/>
      <c r="CT101" s="278"/>
      <c r="CU101" s="278"/>
      <c r="CV101" s="278"/>
      <c r="CW101" s="278"/>
      <c r="CX101" s="278"/>
      <c r="CY101" s="278"/>
      <c r="CZ101" s="278"/>
      <c r="DA101" s="278"/>
      <c r="DB101" s="278"/>
      <c r="DC101" s="278"/>
      <c r="DD101" s="278"/>
      <c r="DE101" s="278"/>
      <c r="DF101" s="278"/>
      <c r="DG101" s="278"/>
      <c r="DP101" s="18">
        <f>'Monthly Data'!F101</f>
        <v>41510354.220476784</v>
      </c>
      <c r="DQ101" s="18">
        <f>'Monthly Data'!J101</f>
        <v>9998588.696879793</v>
      </c>
      <c r="DR101" s="18">
        <f>'Monthly Data'!N101</f>
        <v>25554743.22315539</v>
      </c>
      <c r="DS101" s="4">
        <f>'Monthly Data'!S101</f>
        <v>6947073.5590222785</v>
      </c>
      <c r="DT101" s="4">
        <f>'Monthly Data'!V101</f>
        <v>2517469.3774617161</v>
      </c>
      <c r="DU101" s="18">
        <f t="shared" si="86"/>
        <v>37473546.177579165</v>
      </c>
      <c r="DV101" s="18">
        <f t="shared" si="87"/>
        <v>10162420.061237236</v>
      </c>
      <c r="DW101" s="18">
        <f t="shared" si="88"/>
        <v>25155263.533552792</v>
      </c>
      <c r="DX101" s="18">
        <f t="shared" si="89"/>
        <v>6897919.2001187196</v>
      </c>
      <c r="DY101" s="18">
        <f t="shared" si="90"/>
        <v>3143220.1910441928</v>
      </c>
      <c r="EK101" s="1" t="s">
        <v>160</v>
      </c>
      <c r="EL101" s="1">
        <v>-0.217625956259513</v>
      </c>
      <c r="EM101" s="1" t="s">
        <v>161</v>
      </c>
      <c r="EN101" s="1">
        <v>2.43422611966936</v>
      </c>
      <c r="ER101" s="24">
        <f>'Monthly Data'!F101/'Monthly Data'!G101/'Monthly Data'!CD101</f>
        <v>24.463040097873002</v>
      </c>
      <c r="ES101" s="268">
        <f>'Monthly Data'!J101/'Monthly Data'!K101/'Monthly Data'!CD101</f>
        <v>77.078235406103857</v>
      </c>
      <c r="ET101" s="24">
        <f>'Monthly Data'!N101/'Monthly Data'!P101/'Monthly Data'!CD101</f>
        <v>1565.8543641639333</v>
      </c>
      <c r="EU101" s="24">
        <f>'Monthly Data'!Q101/'Monthly Data'!U101/'Monthly Data'!CD101</f>
        <v>11078.488789087303</v>
      </c>
      <c r="EV101" s="24">
        <f>'Monthly Data'!V101/'Monthly Data'!Z101/'Monthly Data'!CD101</f>
        <v>83915.645915390531</v>
      </c>
      <c r="EW101" s="24"/>
      <c r="FG101" s="24"/>
    </row>
    <row r="102" spans="1:163" x14ac:dyDescent="0.25">
      <c r="A102" s="3">
        <v>45047</v>
      </c>
      <c r="B102" s="1">
        <f t="shared" si="84"/>
        <v>2023</v>
      </c>
      <c r="C102" s="1">
        <f t="shared" si="85"/>
        <v>5</v>
      </c>
      <c r="D102" s="272">
        <v>12.986102150537635</v>
      </c>
      <c r="E102" s="272">
        <v>219.04750000000001</v>
      </c>
      <c r="F102" s="272">
        <v>1.6166666666666636</v>
      </c>
      <c r="G102" s="272">
        <v>163.56416666666669</v>
      </c>
      <c r="H102" s="272">
        <v>8.1333333333333258</v>
      </c>
      <c r="I102" s="272">
        <v>113.00166666666665</v>
      </c>
      <c r="J102" s="272">
        <v>19.570833333333329</v>
      </c>
      <c r="K102" s="272">
        <v>68.776666666666671</v>
      </c>
      <c r="L102" s="272">
        <v>37.345833333333331</v>
      </c>
      <c r="M102" s="272">
        <v>37.480833333333329</v>
      </c>
      <c r="N102" s="272">
        <v>68.049999999999983</v>
      </c>
      <c r="O102" s="272">
        <v>20.284999999999989</v>
      </c>
      <c r="P102" s="272">
        <v>112.85416666666666</v>
      </c>
      <c r="Q102" s="272">
        <v>7.2058333333333309</v>
      </c>
      <c r="R102" s="272">
        <v>161.77500000000001</v>
      </c>
      <c r="CS102" s="423"/>
      <c r="CT102" s="278"/>
      <c r="CU102" s="278"/>
      <c r="CV102" s="278"/>
      <c r="CW102" s="278"/>
      <c r="CX102" s="278"/>
      <c r="CY102" s="278"/>
      <c r="CZ102" s="278"/>
      <c r="DA102" s="278"/>
      <c r="DB102" s="278"/>
      <c r="DC102" s="278"/>
      <c r="DD102" s="278"/>
      <c r="DE102" s="278"/>
      <c r="DF102" s="278"/>
      <c r="DG102" s="278"/>
      <c r="DP102" s="18">
        <f>'Monthly Data'!F102</f>
        <v>37716647.073447675</v>
      </c>
      <c r="DQ102" s="18">
        <f>'Monthly Data'!J102</f>
        <v>10368100.884234048</v>
      </c>
      <c r="DR102" s="18">
        <f>'Monthly Data'!N102</f>
        <v>26135229.719948143</v>
      </c>
      <c r="DS102" s="4">
        <f>'Monthly Data'!S102</f>
        <v>7200001.0531606339</v>
      </c>
      <c r="DT102" s="4">
        <f>'Monthly Data'!V102</f>
        <v>2612878.6013215701</v>
      </c>
      <c r="DU102" s="18">
        <f t="shared" si="86"/>
        <v>36821673.060656354</v>
      </c>
      <c r="DV102" s="18">
        <f t="shared" si="87"/>
        <v>9778881.0907607805</v>
      </c>
      <c r="DW102" s="18">
        <f t="shared" si="88"/>
        <v>24294497.536207512</v>
      </c>
      <c r="DX102" s="18">
        <f t="shared" si="89"/>
        <v>7062692.6453799829</v>
      </c>
      <c r="DY102" s="18">
        <f t="shared" si="90"/>
        <v>3155984.5299293958</v>
      </c>
      <c r="ER102" s="24">
        <f>'Monthly Data'!F102/'Monthly Data'!G102/'Monthly Data'!CD102</f>
        <v>21.34239715521505</v>
      </c>
      <c r="ES102" s="268">
        <f>'Monthly Data'!J102/'Monthly Data'!K102/'Monthly Data'!CD102</f>
        <v>77.223474309248758</v>
      </c>
      <c r="ET102" s="24">
        <f>'Monthly Data'!N102/'Monthly Data'!P102/'Monthly Data'!CD102</f>
        <v>1544.0877773808427</v>
      </c>
      <c r="EU102" s="24">
        <f>'Monthly Data'!Q102/'Monthly Data'!U102/'Monthly Data'!CD102</f>
        <v>11162.436163562297</v>
      </c>
      <c r="EV102" s="24">
        <f>'Monthly Data'!V102/'Monthly Data'!Z102/'Monthly Data'!CD102</f>
        <v>84286.406494244191</v>
      </c>
      <c r="EW102" s="24"/>
      <c r="FG102" s="24"/>
    </row>
    <row r="103" spans="1:163" x14ac:dyDescent="0.25">
      <c r="A103" s="3">
        <v>45078</v>
      </c>
      <c r="B103" s="1">
        <f t="shared" si="84"/>
        <v>2023</v>
      </c>
      <c r="C103" s="1">
        <f t="shared" si="85"/>
        <v>6</v>
      </c>
      <c r="D103" s="272">
        <v>18.851388888888884</v>
      </c>
      <c r="E103" s="272">
        <v>55.599999999999994</v>
      </c>
      <c r="F103" s="272">
        <v>21.141666666666666</v>
      </c>
      <c r="G103" s="272">
        <v>21.441666666666659</v>
      </c>
      <c r="H103" s="272">
        <v>46.983333333333334</v>
      </c>
      <c r="I103" s="272">
        <v>4.2708333333333268</v>
      </c>
      <c r="J103" s="272">
        <v>89.8125</v>
      </c>
      <c r="K103" s="272">
        <v>0</v>
      </c>
      <c r="L103" s="272">
        <v>145.54166666666666</v>
      </c>
      <c r="M103" s="272">
        <v>0</v>
      </c>
      <c r="N103" s="272">
        <v>205.54166666666669</v>
      </c>
      <c r="O103" s="272">
        <v>0</v>
      </c>
      <c r="P103" s="272">
        <v>265.54166666666669</v>
      </c>
      <c r="Q103" s="272">
        <v>0</v>
      </c>
      <c r="R103" s="272">
        <v>325.54166666666669</v>
      </c>
      <c r="CS103" s="423"/>
      <c r="CT103" s="278"/>
      <c r="CU103" s="278"/>
      <c r="CV103" s="278"/>
      <c r="CW103" s="278"/>
      <c r="CX103" s="278"/>
      <c r="CY103" s="278"/>
      <c r="CZ103" s="278"/>
      <c r="DA103" s="278"/>
      <c r="DB103" s="278"/>
      <c r="DC103" s="278"/>
      <c r="DD103" s="278"/>
      <c r="DE103" s="278"/>
      <c r="DF103" s="278"/>
      <c r="DG103" s="278"/>
      <c r="DP103" s="18">
        <f>'Monthly Data'!F103</f>
        <v>44244042.502498522</v>
      </c>
      <c r="DQ103" s="18">
        <f>'Monthly Data'!J103</f>
        <v>11121434.915861359</v>
      </c>
      <c r="DR103" s="18">
        <f>'Monthly Data'!N103</f>
        <v>25999923.559272785</v>
      </c>
      <c r="DS103" s="4">
        <f>'Monthly Data'!S103</f>
        <v>7964036.4040014911</v>
      </c>
      <c r="DT103" s="4">
        <f>'Monthly Data'!V103</f>
        <v>2552437.8310888154</v>
      </c>
      <c r="DU103" s="18">
        <f t="shared" si="86"/>
        <v>44366765.687770486</v>
      </c>
      <c r="DV103" s="18">
        <f t="shared" si="87"/>
        <v>10624711.859384967</v>
      </c>
      <c r="DW103" s="18">
        <f t="shared" si="88"/>
        <v>26035672.639858291</v>
      </c>
      <c r="DX103" s="18">
        <f t="shared" si="89"/>
        <v>7829571.46609117</v>
      </c>
      <c r="DY103" s="18">
        <f t="shared" si="90"/>
        <v>3298156.8048905921</v>
      </c>
      <c r="EK103" s="1" t="s">
        <v>162</v>
      </c>
      <c r="ER103" s="24">
        <f>'Monthly Data'!F103/'Monthly Data'!G103/'Monthly Data'!CD103</f>
        <v>25.766574361862968</v>
      </c>
      <c r="ES103" s="268">
        <f>'Monthly Data'!J103/'Monthly Data'!K103/'Monthly Data'!CD103</f>
        <v>83.739439167693391</v>
      </c>
      <c r="ET103" s="24">
        <f>'Monthly Data'!N103/'Monthly Data'!P103/'Monthly Data'!CD103</f>
        <v>1726.4225470964664</v>
      </c>
      <c r="EU103" s="24">
        <f>'Monthly Data'!Q103/'Monthly Data'!U103/'Monthly Data'!CD103</f>
        <v>12937.041979872005</v>
      </c>
      <c r="EV103" s="24">
        <f>'Monthly Data'!V103/'Monthly Data'!Z103/'Monthly Data'!CD103</f>
        <v>85081.261036293843</v>
      </c>
      <c r="EW103" s="24"/>
      <c r="FG103" s="24"/>
    </row>
    <row r="104" spans="1:163" x14ac:dyDescent="0.25">
      <c r="A104" s="3">
        <v>45108</v>
      </c>
      <c r="B104" s="1">
        <f t="shared" si="84"/>
        <v>2023</v>
      </c>
      <c r="C104" s="1">
        <f t="shared" si="85"/>
        <v>7</v>
      </c>
      <c r="D104" s="272">
        <v>21.218817204301072</v>
      </c>
      <c r="E104" s="272">
        <v>7.3166666666666593</v>
      </c>
      <c r="F104" s="272">
        <v>45.099999999999966</v>
      </c>
      <c r="G104" s="272">
        <v>0.12499999999999645</v>
      </c>
      <c r="H104" s="272">
        <v>99.908333333333317</v>
      </c>
      <c r="I104" s="272">
        <v>0</v>
      </c>
      <c r="J104" s="272">
        <v>161.78333333333336</v>
      </c>
      <c r="K104" s="272">
        <v>0</v>
      </c>
      <c r="L104" s="272">
        <v>223.78333333333336</v>
      </c>
      <c r="M104" s="272">
        <v>0</v>
      </c>
      <c r="N104" s="272">
        <v>285.78333333333342</v>
      </c>
      <c r="O104" s="272">
        <v>0</v>
      </c>
      <c r="P104" s="272">
        <v>347.78333333333342</v>
      </c>
      <c r="Q104" s="272">
        <v>0</v>
      </c>
      <c r="R104" s="272">
        <v>409.7833333333333</v>
      </c>
      <c r="DP104" s="18">
        <f>'Monthly Data'!F104</f>
        <v>53189542.788322985</v>
      </c>
      <c r="DQ104" s="18">
        <f>'Monthly Data'!J104</f>
        <v>12543088.678410012</v>
      </c>
      <c r="DR104" s="18">
        <f>'Monthly Data'!N104</f>
        <v>29212920.160447795</v>
      </c>
      <c r="DS104" s="4">
        <f>'Monthly Data'!S104</f>
        <v>8159842.6990073696</v>
      </c>
      <c r="DT104" s="4">
        <f>'Monthly Data'!V104</f>
        <v>2671992.2080055689</v>
      </c>
      <c r="DU104" s="18">
        <f t="shared" si="86"/>
        <v>50009755.158007458</v>
      </c>
      <c r="DV104" s="18">
        <f t="shared" si="87"/>
        <v>11652244.385102773</v>
      </c>
      <c r="DW104" s="18">
        <f t="shared" si="88"/>
        <v>27289080.272850752</v>
      </c>
      <c r="DX104" s="18">
        <f t="shared" si="89"/>
        <v>8388819.7836606503</v>
      </c>
      <c r="DY104" s="18">
        <f t="shared" si="90"/>
        <v>3406766.8453640686</v>
      </c>
      <c r="EK104" s="1" t="s">
        <v>163</v>
      </c>
      <c r="EL104" s="1">
        <v>3202858.0539965802</v>
      </c>
      <c r="EM104" s="1" t="s">
        <v>164</v>
      </c>
      <c r="EN104" s="1">
        <v>381268.02200996201</v>
      </c>
      <c r="ER104" s="24">
        <f>'Monthly Data'!F104/'Monthly Data'!G104/'Monthly Data'!CD104</f>
        <v>30.039947876273764</v>
      </c>
      <c r="ES104" s="268">
        <f>'Monthly Data'!J104/'Monthly Data'!K104/'Monthly Data'!CD104</f>
        <v>91.37664042901487</v>
      </c>
      <c r="ET104" s="24">
        <f>'Monthly Data'!N104/'Monthly Data'!P104/'Monthly Data'!CD104</f>
        <v>1880.9426411981067</v>
      </c>
      <c r="EU104" s="24">
        <f>'Monthly Data'!Q104/'Monthly Data'!U104/'Monthly Data'!CD104</f>
        <v>12858.668285231226</v>
      </c>
      <c r="EV104" s="24">
        <f>'Monthly Data'!V104/'Monthly Data'!Z104/'Monthly Data'!CD104</f>
        <v>86193.297032437709</v>
      </c>
      <c r="EW104" s="24"/>
      <c r="FG104" s="24"/>
    </row>
    <row r="105" spans="1:163" x14ac:dyDescent="0.25">
      <c r="A105" s="3">
        <v>45139</v>
      </c>
      <c r="B105" s="1">
        <f t="shared" si="84"/>
        <v>2023</v>
      </c>
      <c r="C105" s="1">
        <f t="shared" si="85"/>
        <v>8</v>
      </c>
      <c r="D105" s="272">
        <v>19.348544880785411</v>
      </c>
      <c r="E105" s="272">
        <v>32.211775362318839</v>
      </c>
      <c r="F105" s="272">
        <v>12.016666666666676</v>
      </c>
      <c r="G105" s="272">
        <v>9.274999999999995</v>
      </c>
      <c r="H105" s="272">
        <v>51.079891304347839</v>
      </c>
      <c r="I105" s="272">
        <v>1.6125000000000007</v>
      </c>
      <c r="J105" s="272">
        <v>105.41739130434784</v>
      </c>
      <c r="K105" s="272">
        <v>0</v>
      </c>
      <c r="L105" s="272">
        <v>165.80489130434788</v>
      </c>
      <c r="M105" s="272">
        <v>0</v>
      </c>
      <c r="N105" s="272">
        <v>227.80489130434788</v>
      </c>
      <c r="O105" s="272">
        <v>0</v>
      </c>
      <c r="P105" s="272">
        <v>289.8048913043479</v>
      </c>
      <c r="Q105" s="272">
        <v>0</v>
      </c>
      <c r="R105" s="272">
        <v>351.80489130434785</v>
      </c>
      <c r="DP105" s="18">
        <f>'Monthly Data'!F105</f>
        <v>52400162.702367157</v>
      </c>
      <c r="DQ105" s="18">
        <f>'Monthly Data'!J105</f>
        <v>11738596.573525636</v>
      </c>
      <c r="DR105" s="18">
        <f>'Monthly Data'!N105</f>
        <v>27242931.309821352</v>
      </c>
      <c r="DS105" s="4">
        <f>'Monthly Data'!S105</f>
        <v>8217677.1423773421</v>
      </c>
      <c r="DT105" s="4">
        <f>'Monthly Data'!V105</f>
        <v>2937780.5360975759</v>
      </c>
      <c r="DU105" s="18">
        <f t="shared" si="86"/>
        <v>45932425.368368119</v>
      </c>
      <c r="DV105" s="18">
        <f t="shared" si="87"/>
        <v>10882143.269412646</v>
      </c>
      <c r="DW105" s="18">
        <f t="shared" si="88"/>
        <v>26383433.30903551</v>
      </c>
      <c r="DX105" s="18">
        <f t="shared" si="89"/>
        <v>7974407.0092223538</v>
      </c>
      <c r="DY105" s="18">
        <f t="shared" si="90"/>
        <v>3326284.9077516641</v>
      </c>
      <c r="ER105" s="24">
        <f>'Monthly Data'!F105/'Monthly Data'!G105/'Monthly Data'!CD105</f>
        <v>29.489834594263996</v>
      </c>
      <c r="ES105" s="268">
        <f>'Monthly Data'!J105/'Monthly Data'!K105/'Monthly Data'!CD105</f>
        <v>85.458001714647068</v>
      </c>
      <c r="ET105" s="24">
        <f>'Monthly Data'!N105/'Monthly Data'!P105/'Monthly Data'!CD105</f>
        <v>1743.6591980172395</v>
      </c>
      <c r="EU105" s="24">
        <f>'Monthly Data'!Q105/'Monthly Data'!U105/'Monthly Data'!CD105</f>
        <v>12950.357142564982</v>
      </c>
      <c r="EV105" s="24">
        <f>'Monthly Data'!V105/'Monthly Data'!Z105/'Monthly Data'!CD105</f>
        <v>94767.114067663744</v>
      </c>
      <c r="EW105" s="24"/>
      <c r="FG105" s="24"/>
    </row>
    <row r="106" spans="1:163" x14ac:dyDescent="0.25">
      <c r="A106" s="3">
        <v>45170</v>
      </c>
      <c r="B106" s="1">
        <f t="shared" si="84"/>
        <v>2023</v>
      </c>
      <c r="C106" s="1">
        <f t="shared" si="85"/>
        <v>9</v>
      </c>
      <c r="D106" s="272">
        <v>17.433055555555555</v>
      </c>
      <c r="E106" s="272">
        <v>95.22083333333336</v>
      </c>
      <c r="F106" s="272">
        <v>18.212499999999995</v>
      </c>
      <c r="G106" s="272">
        <v>47.591666666666676</v>
      </c>
      <c r="H106" s="272">
        <v>30.583333333333329</v>
      </c>
      <c r="I106" s="272">
        <v>15.216666666666669</v>
      </c>
      <c r="J106" s="272">
        <v>58.208333333333314</v>
      </c>
      <c r="K106" s="272">
        <v>2.3583333333333378</v>
      </c>
      <c r="L106" s="272">
        <v>105.35</v>
      </c>
      <c r="M106" s="272">
        <v>0</v>
      </c>
      <c r="N106" s="272">
        <v>162.99166666666662</v>
      </c>
      <c r="O106" s="272">
        <v>0</v>
      </c>
      <c r="P106" s="272">
        <v>222.99166666666656</v>
      </c>
      <c r="Q106" s="272">
        <v>0</v>
      </c>
      <c r="R106" s="272">
        <v>282.99166666666656</v>
      </c>
      <c r="DP106" s="18">
        <f>'Monthly Data'!F106</f>
        <v>46613666.744216718</v>
      </c>
      <c r="DQ106" s="18">
        <f>'Monthly Data'!J106</f>
        <v>10870998.545935581</v>
      </c>
      <c r="DR106" s="18">
        <f>'Monthly Data'!N106</f>
        <v>25831337.90539835</v>
      </c>
      <c r="DS106" s="4">
        <f>'Monthly Data'!S106</f>
        <v>7999183.9303060388</v>
      </c>
      <c r="DT106" s="4">
        <f>'Monthly Data'!V106</f>
        <v>2945265.9434799016</v>
      </c>
      <c r="DU106" s="18">
        <f t="shared" si="86"/>
        <v>41447271.332824133</v>
      </c>
      <c r="DV106" s="18">
        <f t="shared" si="87"/>
        <v>10145830.934308531</v>
      </c>
      <c r="DW106" s="18">
        <f t="shared" si="88"/>
        <v>25371024.247080278</v>
      </c>
      <c r="DX106" s="18">
        <f t="shared" si="89"/>
        <v>7542293.307007391</v>
      </c>
      <c r="DY106" s="18">
        <f t="shared" si="90"/>
        <v>3242365.3228154425</v>
      </c>
      <c r="ER106" s="24">
        <f>'Monthly Data'!F106/'Monthly Data'!G106/'Monthly Data'!CD106</f>
        <v>27.121467821153615</v>
      </c>
      <c r="ES106" s="268">
        <f>'Monthly Data'!J106/'Monthly Data'!K106/'Monthly Data'!CD106</f>
        <v>81.79833367897352</v>
      </c>
      <c r="ET106" s="24">
        <f>'Monthly Data'!N106/'Monthly Data'!P106/'Monthly Data'!CD106</f>
        <v>1705.0388056368547</v>
      </c>
      <c r="EU106" s="24">
        <f>'Monthly Data'!Q106/'Monthly Data'!U106/'Monthly Data'!CD106</f>
        <v>12965.062986115221</v>
      </c>
      <c r="EV106" s="24">
        <f>'Monthly Data'!V106/'Monthly Data'!Z106/'Monthly Data'!CD106</f>
        <v>98175.531449330054</v>
      </c>
      <c r="EW106" s="24"/>
      <c r="FG106" s="24"/>
    </row>
    <row r="107" spans="1:163" x14ac:dyDescent="0.25">
      <c r="A107" s="3">
        <v>45200</v>
      </c>
      <c r="B107" s="1">
        <f t="shared" si="84"/>
        <v>2023</v>
      </c>
      <c r="C107" s="1">
        <f t="shared" si="85"/>
        <v>10</v>
      </c>
      <c r="D107" s="272">
        <v>11.553225806451612</v>
      </c>
      <c r="E107" s="272">
        <v>261.85000000000002</v>
      </c>
      <c r="F107" s="272">
        <v>0</v>
      </c>
      <c r="G107" s="272">
        <v>207.15416666666667</v>
      </c>
      <c r="H107" s="272">
        <v>7.3041666666666707</v>
      </c>
      <c r="I107" s="272">
        <v>157.42916666666665</v>
      </c>
      <c r="J107" s="272">
        <v>19.579166666666676</v>
      </c>
      <c r="K107" s="272">
        <v>111.18333333333332</v>
      </c>
      <c r="L107" s="272">
        <v>35.333333333333343</v>
      </c>
      <c r="M107" s="272">
        <v>68.475000000000009</v>
      </c>
      <c r="N107" s="272">
        <v>54.625</v>
      </c>
      <c r="O107" s="272">
        <v>37.779166666666669</v>
      </c>
      <c r="P107" s="272">
        <v>85.929166666666674</v>
      </c>
      <c r="Q107" s="272">
        <v>17.783333333333335</v>
      </c>
      <c r="R107" s="272">
        <v>127.93333333333337</v>
      </c>
      <c r="DP107" s="18">
        <f>'Monthly Data'!F107</f>
        <v>39222076.661863647</v>
      </c>
      <c r="DQ107" s="18">
        <f>'Monthly Data'!J107</f>
        <v>10590140.294759065</v>
      </c>
      <c r="DR107" s="18">
        <f>'Monthly Data'!N107</f>
        <v>25438573.17175157</v>
      </c>
      <c r="DS107" s="4">
        <f>'Monthly Data'!S107</f>
        <v>6717018.2480125464</v>
      </c>
      <c r="DT107" s="4">
        <f>'Monthly Data'!V107</f>
        <v>2948633.5569325746</v>
      </c>
      <c r="DU107" s="18">
        <f t="shared" si="86"/>
        <v>37187186.993067026</v>
      </c>
      <c r="DV107" s="18">
        <f t="shared" si="87"/>
        <v>10000313.047488526</v>
      </c>
      <c r="DW107" s="18">
        <f t="shared" si="88"/>
        <v>24435367.619847313</v>
      </c>
      <c r="DX107" s="18">
        <f t="shared" si="89"/>
        <v>7053660.6574563766</v>
      </c>
      <c r="DY107" s="18">
        <f t="shared" si="90"/>
        <v>3159821.4354421743</v>
      </c>
      <c r="ER107" s="24">
        <f>'Monthly Data'!F107/'Monthly Data'!G107/'Monthly Data'!CD107</f>
        <v>22.072298234795653</v>
      </c>
      <c r="ES107" s="268">
        <f>'Monthly Data'!J107/'Monthly Data'!K107/'Monthly Data'!CD107</f>
        <v>76.923537235576589</v>
      </c>
      <c r="ET107" s="24">
        <f>'Monthly Data'!N107/'Monthly Data'!P107/'Monthly Data'!CD107</f>
        <v>1615.352627111479</v>
      </c>
      <c r="EU107" s="24">
        <f>'Monthly Data'!Q107/'Monthly Data'!U107/'Monthly Data'!CD107</f>
        <v>10237.090088227582</v>
      </c>
      <c r="EV107" s="24">
        <f>'Monthly Data'!V107/'Monthly Data'!Z107/'Monthly Data'!CD107</f>
        <v>95117.211513954026</v>
      </c>
      <c r="EW107" s="24"/>
      <c r="FG107" s="24"/>
    </row>
    <row r="108" spans="1:163" x14ac:dyDescent="0.25">
      <c r="A108" s="3">
        <v>45231</v>
      </c>
      <c r="B108" s="1">
        <f t="shared" si="84"/>
        <v>2023</v>
      </c>
      <c r="C108" s="1">
        <f t="shared" si="85"/>
        <v>11</v>
      </c>
      <c r="D108" s="272">
        <v>2.9802294685990343</v>
      </c>
      <c r="E108" s="272">
        <v>510.59311594202899</v>
      </c>
      <c r="F108" s="272">
        <v>0</v>
      </c>
      <c r="G108" s="272">
        <v>450.59311594202899</v>
      </c>
      <c r="H108" s="272">
        <v>0</v>
      </c>
      <c r="I108" s="272">
        <v>390.59311594202899</v>
      </c>
      <c r="J108" s="272">
        <v>0</v>
      </c>
      <c r="K108" s="272">
        <v>330.59311594202904</v>
      </c>
      <c r="L108" s="272">
        <v>0</v>
      </c>
      <c r="M108" s="272">
        <v>270.59311594202899</v>
      </c>
      <c r="N108" s="272">
        <v>0</v>
      </c>
      <c r="O108" s="272">
        <v>210.95561594202897</v>
      </c>
      <c r="P108" s="272">
        <v>0.36249999999999893</v>
      </c>
      <c r="Q108" s="272">
        <v>153.42644927536227</v>
      </c>
      <c r="R108" s="272">
        <v>2.8333333333333304</v>
      </c>
      <c r="DP108" s="18">
        <f>'Monthly Data'!F108</f>
        <v>41842901.162587591</v>
      </c>
      <c r="DQ108" s="18">
        <f>'Monthly Data'!J108</f>
        <v>11131893.18689983</v>
      </c>
      <c r="DR108" s="18">
        <f>'Monthly Data'!N108</f>
        <v>27646103.846945822</v>
      </c>
      <c r="DS108" s="4">
        <f>'Monthly Data'!S108</f>
        <v>7539474.7935202802</v>
      </c>
      <c r="DT108" s="4">
        <f>'Monthly Data'!V108</f>
        <v>3365865.081233291</v>
      </c>
      <c r="DU108" s="18">
        <f t="shared" si="86"/>
        <v>40121621.841114029</v>
      </c>
      <c r="DV108" s="18">
        <f t="shared" si="87"/>
        <v>10829550.294120613</v>
      </c>
      <c r="DW108" s="18">
        <f t="shared" si="88"/>
        <v>27052469.458342664</v>
      </c>
      <c r="DX108" s="18">
        <f t="shared" si="89"/>
        <v>6836014.7168720877</v>
      </c>
      <c r="DY108" s="18">
        <f t="shared" si="90"/>
        <v>3154012.7568358425</v>
      </c>
      <c r="ER108" s="24">
        <f>'Monthly Data'!F108/'Monthly Data'!G108/'Monthly Data'!CD108</f>
        <v>24.335898872616212</v>
      </c>
      <c r="ES108" s="268">
        <f>'Monthly Data'!J108/'Monthly Data'!K108/'Monthly Data'!CD108</f>
        <v>83.198005881164647</v>
      </c>
      <c r="ET108" s="24">
        <f>'Monthly Data'!N108/'Monthly Data'!P108/'Monthly Data'!CD108</f>
        <v>1817.6268143948603</v>
      </c>
      <c r="EU108" s="24">
        <f>'Monthly Data'!Q108/'Monthly Data'!U108/'Monthly Data'!CD108</f>
        <v>12089.038432890717</v>
      </c>
      <c r="EV108" s="24">
        <f>'Monthly Data'!V108/'Monthly Data'!Z108/'Monthly Data'!CD108</f>
        <v>112195.50270777637</v>
      </c>
      <c r="EW108" s="24"/>
      <c r="FG108" s="24"/>
    </row>
    <row r="109" spans="1:163" x14ac:dyDescent="0.25">
      <c r="A109" s="3">
        <v>45261</v>
      </c>
      <c r="B109" s="1">
        <f t="shared" si="84"/>
        <v>2023</v>
      </c>
      <c r="C109" s="1">
        <f t="shared" si="85"/>
        <v>12</v>
      </c>
      <c r="D109" s="272">
        <v>2.2038978494623653</v>
      </c>
      <c r="E109" s="272">
        <v>551.67916666666667</v>
      </c>
      <c r="F109" s="272">
        <v>0</v>
      </c>
      <c r="G109" s="272">
        <v>489.67916666666667</v>
      </c>
      <c r="H109" s="272">
        <v>0</v>
      </c>
      <c r="I109" s="272">
        <v>427.67916666666667</v>
      </c>
      <c r="J109" s="272">
        <v>0</v>
      </c>
      <c r="K109" s="272">
        <v>365.67916666666667</v>
      </c>
      <c r="L109" s="272">
        <v>0</v>
      </c>
      <c r="M109" s="272">
        <v>303.67916666666667</v>
      </c>
      <c r="N109" s="272">
        <v>0</v>
      </c>
      <c r="O109" s="272">
        <v>241.67916666666659</v>
      </c>
      <c r="P109" s="272">
        <v>0</v>
      </c>
      <c r="Q109" s="272">
        <v>180.36666666666662</v>
      </c>
      <c r="R109" s="272">
        <v>0.68750000000000178</v>
      </c>
      <c r="DP109" s="18">
        <f>'Monthly Data'!F109</f>
        <v>46394021.128295548</v>
      </c>
      <c r="DQ109" s="18">
        <f>'Monthly Data'!J109</f>
        <v>12209513.170633033</v>
      </c>
      <c r="DR109" s="18">
        <f>'Monthly Data'!N109</f>
        <v>28943355.630869403</v>
      </c>
      <c r="DS109" s="4">
        <f>'Monthly Data'!S109</f>
        <v>6870511.9660611674</v>
      </c>
      <c r="DT109" s="4">
        <f>'Monthly Data'!V109</f>
        <v>3262989.9218887375</v>
      </c>
      <c r="DU109" s="18">
        <f t="shared" si="86"/>
        <v>41205168.634461224</v>
      </c>
      <c r="DV109" s="18">
        <f t="shared" si="87"/>
        <v>11036966.822108289</v>
      </c>
      <c r="DW109" s="18">
        <f t="shared" si="88"/>
        <v>27668153.55843081</v>
      </c>
      <c r="DX109" s="18">
        <f t="shared" si="89"/>
        <v>6841728.7578076003</v>
      </c>
      <c r="DY109" s="18">
        <f t="shared" si="90"/>
        <v>3161090.7983112722</v>
      </c>
      <c r="ER109" s="24">
        <f>'Monthly Data'!F109/'Monthly Data'!G109/'Monthly Data'!CD109</f>
        <v>26.111512286822144</v>
      </c>
      <c r="ES109" s="268">
        <f>'Monthly Data'!J109/'Monthly Data'!K109/'Monthly Data'!CD109</f>
        <v>88.032021360931495</v>
      </c>
      <c r="ET109" s="24">
        <f>'Monthly Data'!N109/'Monthly Data'!P109/'Monthly Data'!CD109</f>
        <v>1837.906758373724</v>
      </c>
      <c r="EU109" s="24">
        <f>'Monthly Data'!Q109/'Monthly Data'!U109/'Monthly Data'!CD109</f>
        <v>10488.254238932146</v>
      </c>
      <c r="EV109" s="24">
        <f>'Monthly Data'!V109/'Monthly Data'!Z109/'Monthly Data'!CD109</f>
        <v>105257.73941576573</v>
      </c>
      <c r="EW109" s="24"/>
      <c r="FG109" s="24"/>
    </row>
    <row r="110" spans="1:163" x14ac:dyDescent="0.25">
      <c r="A110" s="3">
        <v>45292</v>
      </c>
      <c r="B110" s="1">
        <f t="shared" si="84"/>
        <v>2024</v>
      </c>
      <c r="C110" s="1">
        <f t="shared" si="85"/>
        <v>1</v>
      </c>
      <c r="D110" s="272">
        <v>-2.5482526881720431</v>
      </c>
      <c r="E110" s="272">
        <v>698.99583333333328</v>
      </c>
      <c r="F110" s="272">
        <v>0</v>
      </c>
      <c r="G110" s="272">
        <v>636.99583333333339</v>
      </c>
      <c r="H110" s="272">
        <v>0</v>
      </c>
      <c r="I110" s="272">
        <v>574.99583333333339</v>
      </c>
      <c r="J110" s="272">
        <v>0</v>
      </c>
      <c r="K110" s="272">
        <v>512.99583333333328</v>
      </c>
      <c r="L110" s="272">
        <v>0</v>
      </c>
      <c r="M110" s="272">
        <v>450.99583333333322</v>
      </c>
      <c r="N110" s="272">
        <v>0</v>
      </c>
      <c r="O110" s="272">
        <v>388.99583333333317</v>
      </c>
      <c r="P110" s="272">
        <v>0</v>
      </c>
      <c r="Q110" s="272">
        <v>326.99583333333317</v>
      </c>
      <c r="R110" s="272">
        <v>0</v>
      </c>
      <c r="DP110" s="18">
        <f>'Monthly Data'!F110</f>
        <v>49462744.048726559</v>
      </c>
      <c r="DQ110" s="18">
        <f>'Monthly Data'!J110</f>
        <v>13021208.279869974</v>
      </c>
      <c r="DR110" s="18">
        <f>'Monthly Data'!N110</f>
        <v>32152306.892326869</v>
      </c>
      <c r="DS110" s="4">
        <f>'Monthly Data'!S110</f>
        <v>7590328.9312978219</v>
      </c>
      <c r="DT110" s="4">
        <f>'Monthly Data'!V110</f>
        <v>3490907</v>
      </c>
      <c r="DU110" s="18">
        <f t="shared" si="86"/>
        <v>45754683.284201339</v>
      </c>
      <c r="DV110" s="18">
        <f t="shared" si="87"/>
        <v>11860886.083331166</v>
      </c>
      <c r="DW110" s="18">
        <f t="shared" si="88"/>
        <v>30620303.528255697</v>
      </c>
      <c r="DX110" s="18">
        <f t="shared" si="89"/>
        <v>6867170.7022337401</v>
      </c>
      <c r="DY110" s="18">
        <f t="shared" si="90"/>
        <v>3192605.9974314938</v>
      </c>
      <c r="ER110" s="24">
        <f>'Monthly Data'!F110/'Monthly Data'!G110/'Monthly Data'!CD110</f>
        <v>27.712937710266587</v>
      </c>
      <c r="ES110" s="268">
        <f>'Monthly Data'!J110/'Monthly Data'!K110/'Monthly Data'!CD110</f>
        <v>94.83833298035654</v>
      </c>
      <c r="ET110" s="24">
        <f>'Monthly Data'!N110/'Monthly Data'!P110/'Monthly Data'!CD110</f>
        <v>2025.724980615352</v>
      </c>
      <c r="EU110" s="24">
        <f>'Monthly Data'!Q110/'Monthly Data'!U110/'Monthly Data'!CD110</f>
        <v>12373.170777988615</v>
      </c>
      <c r="EV110" s="24">
        <f>'Monthly Data'!V110/'Monthly Data'!Z110/'Monthly Data'!CD110</f>
        <v>112609.90322580645</v>
      </c>
      <c r="EW110" s="24"/>
      <c r="FG110" s="24"/>
    </row>
    <row r="111" spans="1:163" x14ac:dyDescent="0.25">
      <c r="A111" s="3">
        <v>45323</v>
      </c>
      <c r="B111" s="1">
        <f t="shared" si="84"/>
        <v>2024</v>
      </c>
      <c r="C111" s="1">
        <f t="shared" si="85"/>
        <v>2</v>
      </c>
      <c r="D111" s="272">
        <v>-0.72298850574712648</v>
      </c>
      <c r="E111" s="272">
        <v>600.96666666666647</v>
      </c>
      <c r="F111" s="272">
        <v>0</v>
      </c>
      <c r="G111" s="272">
        <v>542.96666666666658</v>
      </c>
      <c r="H111" s="272">
        <v>0</v>
      </c>
      <c r="I111" s="272">
        <v>484.96666666666658</v>
      </c>
      <c r="J111" s="272">
        <v>0</v>
      </c>
      <c r="K111" s="272">
        <v>426.96666666666664</v>
      </c>
      <c r="L111" s="272">
        <v>0</v>
      </c>
      <c r="M111" s="272">
        <v>368.96666666666664</v>
      </c>
      <c r="N111" s="272">
        <v>0</v>
      </c>
      <c r="O111" s="272">
        <v>310.9666666666667</v>
      </c>
      <c r="P111" s="272">
        <v>0</v>
      </c>
      <c r="Q111" s="272">
        <v>252.9666666666667</v>
      </c>
      <c r="R111" s="272">
        <v>0</v>
      </c>
      <c r="DP111" s="18">
        <f>'Monthly Data'!F111</f>
        <v>43224005.779384121</v>
      </c>
      <c r="DQ111" s="18">
        <f>'Monthly Data'!J111</f>
        <v>11818521.553522315</v>
      </c>
      <c r="DR111" s="18">
        <f>'Monthly Data'!N111</f>
        <v>27790587.798842903</v>
      </c>
      <c r="DS111" s="4">
        <f>'Monthly Data'!S111</f>
        <v>6811755.0200896021</v>
      </c>
      <c r="DT111" s="4">
        <f>'Monthly Data'!V111</f>
        <v>3323335</v>
      </c>
      <c r="DU111" s="18">
        <f t="shared" si="86"/>
        <v>43097883.053033099</v>
      </c>
      <c r="DV111" s="18">
        <f t="shared" si="87"/>
        <v>11357366.92173928</v>
      </c>
      <c r="DW111" s="18">
        <f t="shared" si="88"/>
        <v>29056639.299131632</v>
      </c>
      <c r="DX111" s="18">
        <f t="shared" si="89"/>
        <v>6853004.066870085</v>
      </c>
      <c r="DY111" s="18">
        <f t="shared" si="90"/>
        <v>3175057.6400075825</v>
      </c>
      <c r="ER111" s="24">
        <f>'Monthly Data'!F111/'Monthly Data'!G111/'Monthly Data'!CD111</f>
        <v>25.893072944596309</v>
      </c>
      <c r="ES111" s="268">
        <f>'Monthly Data'!J111/'Monthly Data'!K111/'Monthly Data'!CD111</f>
        <v>92.056748584487934</v>
      </c>
      <c r="ET111" s="24">
        <f>'Monthly Data'!N111/'Monthly Data'!P111/'Monthly Data'!CD111</f>
        <v>1868.0236471629296</v>
      </c>
      <c r="EU111" s="24">
        <f>'Monthly Data'!Q111/'Monthly Data'!U111/'Monthly Data'!CD111</f>
        <v>11623.354969574037</v>
      </c>
      <c r="EV111" s="24">
        <f>'Monthly Data'!V111/'Monthly Data'!Z111/'Monthly Data'!CD111</f>
        <v>114597.75862068965</v>
      </c>
      <c r="EW111" s="24"/>
      <c r="FG111" s="24"/>
    </row>
    <row r="112" spans="1:163" x14ac:dyDescent="0.25">
      <c r="A112" s="3">
        <v>45352</v>
      </c>
      <c r="B112" s="1">
        <f t="shared" si="84"/>
        <v>2024</v>
      </c>
      <c r="C112" s="1">
        <f t="shared" si="85"/>
        <v>3</v>
      </c>
      <c r="D112" s="272">
        <v>3.1576612903225802</v>
      </c>
      <c r="E112" s="272">
        <v>522.11249999999995</v>
      </c>
      <c r="F112" s="272">
        <v>0</v>
      </c>
      <c r="G112" s="272">
        <v>460.11250000000001</v>
      </c>
      <c r="H112" s="272">
        <v>0</v>
      </c>
      <c r="I112" s="272">
        <v>398.11250000000001</v>
      </c>
      <c r="J112" s="272">
        <v>0</v>
      </c>
      <c r="K112" s="272">
        <v>336.11249999999995</v>
      </c>
      <c r="L112" s="272">
        <v>0</v>
      </c>
      <c r="M112" s="272">
        <v>274.11250000000001</v>
      </c>
      <c r="N112" s="272">
        <v>0</v>
      </c>
      <c r="O112" s="272">
        <v>212.11250000000004</v>
      </c>
      <c r="P112" s="272">
        <v>0</v>
      </c>
      <c r="Q112" s="272">
        <v>154.69166666666669</v>
      </c>
      <c r="R112" s="272">
        <v>4.5791666666666657</v>
      </c>
      <c r="DP112" s="18">
        <f>'Monthly Data'!F112</f>
        <v>44976905.780688122</v>
      </c>
      <c r="DQ112" s="18">
        <f>'Monthly Data'!J112</f>
        <v>11858526.827174658</v>
      </c>
      <c r="DR112" s="18">
        <f>'Monthly Data'!N112</f>
        <v>27467300.51056587</v>
      </c>
      <c r="DS112" s="4">
        <f>'Monthly Data'!S112</f>
        <v>7114173.1088813813</v>
      </c>
      <c r="DT112" s="4">
        <f>'Monthly Data'!V112</f>
        <v>3467587</v>
      </c>
      <c r="DU112" s="18">
        <f t="shared" si="86"/>
        <v>40292074.50745149</v>
      </c>
      <c r="DV112" s="18">
        <f t="shared" si="87"/>
        <v>10871605.04256203</v>
      </c>
      <c r="DW112" s="18">
        <f t="shared" si="88"/>
        <v>27075652.817796201</v>
      </c>
      <c r="DX112" s="18">
        <f t="shared" si="89"/>
        <v>6836622.5230059298</v>
      </c>
      <c r="DY112" s="18">
        <f t="shared" si="90"/>
        <v>3154765.6525663608</v>
      </c>
      <c r="ER112" s="24">
        <f>'Monthly Data'!F112/'Monthly Data'!G112/'Monthly Data'!CD112</f>
        <v>25.154179656535209</v>
      </c>
      <c r="ES112" s="268">
        <f>'Monthly Data'!J112/'Monthly Data'!K112/'Monthly Data'!CD112</f>
        <v>86.331104368595589</v>
      </c>
      <c r="ET112" s="24">
        <f>'Monthly Data'!N112/'Monthly Data'!P112/'Monthly Data'!CD112</f>
        <v>1727.1772942567986</v>
      </c>
      <c r="EU112" s="24">
        <f>'Monthly Data'!Q112/'Monthly Data'!U112/'Monthly Data'!CD112</f>
        <v>11424.969639468691</v>
      </c>
      <c r="EV112" s="24">
        <f>'Monthly Data'!V112/'Monthly Data'!Z112/'Monthly Data'!CD112</f>
        <v>111857.64516129032</v>
      </c>
      <c r="EW112" s="24"/>
      <c r="FG112" s="24"/>
    </row>
    <row r="113" spans="1:163" x14ac:dyDescent="0.25">
      <c r="A113" s="3">
        <v>45383</v>
      </c>
      <c r="B113" s="1">
        <f t="shared" si="84"/>
        <v>2024</v>
      </c>
      <c r="C113" s="1">
        <f t="shared" si="85"/>
        <v>4</v>
      </c>
      <c r="D113" s="272">
        <v>7.7234027777777765</v>
      </c>
      <c r="E113" s="272">
        <v>368.29791666666671</v>
      </c>
      <c r="F113" s="272">
        <v>0</v>
      </c>
      <c r="G113" s="272">
        <v>308.29791666666665</v>
      </c>
      <c r="H113" s="272">
        <v>0</v>
      </c>
      <c r="I113" s="272">
        <v>248.29791666666665</v>
      </c>
      <c r="J113" s="272">
        <v>0</v>
      </c>
      <c r="K113" s="272">
        <v>188.29791666666671</v>
      </c>
      <c r="L113" s="272">
        <v>0</v>
      </c>
      <c r="M113" s="272">
        <v>130.68125000000001</v>
      </c>
      <c r="N113" s="272">
        <v>2.3833333333333346</v>
      </c>
      <c r="O113" s="272">
        <v>78.922916666666652</v>
      </c>
      <c r="P113" s="272">
        <v>10.625</v>
      </c>
      <c r="Q113" s="272">
        <v>41.093749999999993</v>
      </c>
      <c r="R113" s="272">
        <v>32.795833333333334</v>
      </c>
      <c r="DP113" s="18">
        <f>'Monthly Data'!F113</f>
        <v>40981445.237707838</v>
      </c>
      <c r="DQ113" s="18">
        <f>'Monthly Data'!J113</f>
        <v>10824886.100827001</v>
      </c>
      <c r="DR113" s="18">
        <f>'Monthly Data'!N113</f>
        <v>23458667.73674326</v>
      </c>
      <c r="DS113" s="4">
        <f>'Monthly Data'!S113</f>
        <v>7473751.1976731606</v>
      </c>
      <c r="DT113" s="4">
        <f>'Monthly Data'!V113</f>
        <v>3191123</v>
      </c>
      <c r="DU113" s="18">
        <f t="shared" si="86"/>
        <v>35894790.666490853</v>
      </c>
      <c r="DV113" s="18">
        <f t="shared" si="87"/>
        <v>10033715.32096176</v>
      </c>
      <c r="DW113" s="18">
        <f t="shared" si="88"/>
        <v>24443830.947859675</v>
      </c>
      <c r="DX113" s="18">
        <f t="shared" si="89"/>
        <v>6811851.599429925</v>
      </c>
      <c r="DY113" s="18">
        <f t="shared" si="90"/>
        <v>3124081.6538981022</v>
      </c>
      <c r="ER113" s="24">
        <f>'Monthly Data'!F113/'Monthly Data'!G113/'Monthly Data'!CD113</f>
        <v>23.633642576949558</v>
      </c>
      <c r="ES113" s="268">
        <f>'Monthly Data'!J113/'Monthly Data'!K113/'Monthly Data'!CD113</f>
        <v>81.396241076975713</v>
      </c>
      <c r="ET113" s="24">
        <f>'Monthly Data'!N113/'Monthly Data'!P113/'Monthly Data'!CD113</f>
        <v>1521.314379814738</v>
      </c>
      <c r="EU113" s="24">
        <f>'Monthly Data'!Q113/'Monthly Data'!U113/'Monthly Data'!CD113</f>
        <v>12487.772549019608</v>
      </c>
      <c r="EV113" s="24">
        <f>'Monthly Data'!V113/'Monthly Data'!Z113/'Monthly Data'!CD113</f>
        <v>106370.76666666666</v>
      </c>
      <c r="EW113" s="24"/>
      <c r="FG113" s="24"/>
    </row>
    <row r="114" spans="1:163" x14ac:dyDescent="0.25">
      <c r="A114" s="3">
        <v>45413</v>
      </c>
      <c r="B114" s="1">
        <f t="shared" si="84"/>
        <v>2024</v>
      </c>
      <c r="C114" s="1">
        <f t="shared" si="85"/>
        <v>5</v>
      </c>
      <c r="D114" s="272">
        <v>15.455779569892472</v>
      </c>
      <c r="E114" s="272">
        <v>143.5708333333333</v>
      </c>
      <c r="F114" s="272">
        <v>2.6999999999999957</v>
      </c>
      <c r="G114" s="272">
        <v>89.52916666666664</v>
      </c>
      <c r="H114" s="272">
        <v>10.658333333333328</v>
      </c>
      <c r="I114" s="272">
        <v>44.158333333333317</v>
      </c>
      <c r="J114" s="272">
        <v>27.287500000000005</v>
      </c>
      <c r="K114" s="272">
        <v>15.562499999999984</v>
      </c>
      <c r="L114" s="272">
        <v>60.691666666666663</v>
      </c>
      <c r="M114" s="272">
        <v>2.9208333333333272</v>
      </c>
      <c r="N114" s="272">
        <v>110.05000000000001</v>
      </c>
      <c r="O114" s="272">
        <v>0</v>
      </c>
      <c r="P114" s="272">
        <v>169.12916666666669</v>
      </c>
      <c r="Q114" s="272">
        <v>0</v>
      </c>
      <c r="R114" s="272">
        <v>231.12916666666669</v>
      </c>
      <c r="DP114" s="18">
        <f>'Monthly Data'!F114</f>
        <v>40999479.224246085</v>
      </c>
      <c r="DQ114" s="18">
        <f>'Monthly Data'!J114</f>
        <v>10836231.374479344</v>
      </c>
      <c r="DR114" s="18">
        <f>'Monthly Data'!N114</f>
        <v>25229138.419557389</v>
      </c>
      <c r="DS114" s="4">
        <f>'Monthly Data'!S114</f>
        <v>7987544.2864649398</v>
      </c>
      <c r="DT114" s="4">
        <f>'Monthly Data'!V114</f>
        <v>3367177</v>
      </c>
      <c r="DU114" s="18">
        <f t="shared" si="86"/>
        <v>38131930.776832335</v>
      </c>
      <c r="DV114" s="18">
        <f t="shared" si="87"/>
        <v>9707574.440123044</v>
      </c>
      <c r="DW114" s="18">
        <f t="shared" si="88"/>
        <v>24544053.773261491</v>
      </c>
      <c r="DX114" s="18">
        <f t="shared" si="89"/>
        <v>7223593.1692017801</v>
      </c>
      <c r="DY114" s="18">
        <f t="shared" si="90"/>
        <v>3180998.3506772853</v>
      </c>
      <c r="ER114" s="24">
        <f>'Monthly Data'!F114/'Monthly Data'!G114/'Monthly Data'!CD114</f>
        <v>22.840235660882861</v>
      </c>
      <c r="ES114" s="268">
        <f>'Monthly Data'!J114/'Monthly Data'!K114/'Monthly Data'!CD114</f>
        <v>78.764274625880191</v>
      </c>
      <c r="ET114" s="24">
        <f>'Monthly Data'!N114/'Monthly Data'!P114/'Monthly Data'!CD114</f>
        <v>1580.2780093678289</v>
      </c>
      <c r="EU114" s="24">
        <f>'Monthly Data'!Q114/'Monthly Data'!U114/'Monthly Data'!CD114</f>
        <v>13037.540796963947</v>
      </c>
      <c r="EV114" s="24">
        <f>'Monthly Data'!V114/'Monthly Data'!Z114/'Monthly Data'!CD114</f>
        <v>108618.6129032258</v>
      </c>
      <c r="EW114" s="24"/>
      <c r="FG114" s="24"/>
    </row>
    <row r="115" spans="1:163" x14ac:dyDescent="0.25">
      <c r="A115" s="3">
        <v>45444</v>
      </c>
      <c r="B115" s="1">
        <f t="shared" si="84"/>
        <v>2024</v>
      </c>
      <c r="C115" s="1">
        <f t="shared" si="85"/>
        <v>6</v>
      </c>
      <c r="D115" s="272">
        <v>18.805138888888891</v>
      </c>
      <c r="E115" s="272">
        <v>60.86249999999999</v>
      </c>
      <c r="F115" s="272">
        <v>25.01666666666668</v>
      </c>
      <c r="G115" s="272">
        <v>31.570833333333319</v>
      </c>
      <c r="H115" s="272">
        <v>55.725000000000009</v>
      </c>
      <c r="I115" s="272">
        <v>10.312499999999995</v>
      </c>
      <c r="J115" s="272">
        <v>94.466666666666669</v>
      </c>
      <c r="K115" s="272">
        <v>2.4583333333333321</v>
      </c>
      <c r="L115" s="272">
        <v>146.61250000000007</v>
      </c>
      <c r="M115" s="272">
        <v>0</v>
      </c>
      <c r="N115" s="272">
        <v>204.15416666666667</v>
      </c>
      <c r="O115" s="272">
        <v>0</v>
      </c>
      <c r="P115" s="272">
        <v>264.15416666666664</v>
      </c>
      <c r="Q115" s="272">
        <v>0</v>
      </c>
      <c r="R115" s="272">
        <v>324.1541666666667</v>
      </c>
      <c r="DP115" s="18">
        <f>'Monthly Data'!F115</f>
        <v>45946444.049043909</v>
      </c>
      <c r="DQ115" s="18">
        <f>'Monthly Data'!J115</f>
        <v>11568243.648131687</v>
      </c>
      <c r="DR115" s="18">
        <f>'Monthly Data'!N115</f>
        <v>26750740.64573478</v>
      </c>
      <c r="DS115" s="4">
        <f>'Monthly Data'!S115</f>
        <v>8767993.3752567191</v>
      </c>
      <c r="DT115" s="4">
        <f>'Monthly Data'!V115</f>
        <v>3275188</v>
      </c>
      <c r="DU115" s="18">
        <f t="shared" si="86"/>
        <v>44345109.457007177</v>
      </c>
      <c r="DV115" s="18">
        <f t="shared" si="87"/>
        <v>10672891.919459417</v>
      </c>
      <c r="DW115" s="18">
        <f t="shared" si="88"/>
        <v>26013999.322702486</v>
      </c>
      <c r="DX115" s="18">
        <f t="shared" si="89"/>
        <v>7837225.4663902102</v>
      </c>
      <c r="DY115" s="18">
        <f t="shared" si="90"/>
        <v>3299643.2667290033</v>
      </c>
      <c r="ER115" s="24">
        <f>'Monthly Data'!F115/'Monthly Data'!G115/'Monthly Data'!CD115</f>
        <v>26.434715897753257</v>
      </c>
      <c r="ES115" s="268">
        <f>'Monthly Data'!J115/'Monthly Data'!K115/'Monthly Data'!CD115</f>
        <v>86.907397251383728</v>
      </c>
      <c r="ET115" s="24">
        <f>'Monthly Data'!N115/'Monthly Data'!P115/'Monthly Data'!CD115</f>
        <v>1724.7414987578841</v>
      </c>
      <c r="EU115" s="24">
        <f>'Monthly Data'!Q115/'Monthly Data'!U115/'Monthly Data'!CD115</f>
        <v>14979.333333333334</v>
      </c>
      <c r="EV115" s="24">
        <f>'Monthly Data'!V115/'Monthly Data'!Z115/'Monthly Data'!CD115</f>
        <v>109172.93333333333</v>
      </c>
      <c r="EW115" s="24"/>
      <c r="FG115" s="24"/>
    </row>
    <row r="116" spans="1:163" x14ac:dyDescent="0.25">
      <c r="A116" s="3">
        <v>45474</v>
      </c>
      <c r="B116" s="1">
        <f t="shared" si="84"/>
        <v>2024</v>
      </c>
      <c r="C116" s="1">
        <f t="shared" si="85"/>
        <v>7</v>
      </c>
      <c r="D116" s="272">
        <v>21.778763440860214</v>
      </c>
      <c r="E116" s="272">
        <v>5.5666666666666629</v>
      </c>
      <c r="F116" s="272">
        <v>60.708333333333343</v>
      </c>
      <c r="G116" s="272">
        <v>0.32916666666666927</v>
      </c>
      <c r="H116" s="272">
        <v>117.47083333333335</v>
      </c>
      <c r="I116" s="272">
        <v>0</v>
      </c>
      <c r="J116" s="272">
        <v>179.14166666666668</v>
      </c>
      <c r="K116" s="272">
        <v>0</v>
      </c>
      <c r="L116" s="272">
        <v>241.14166666666668</v>
      </c>
      <c r="M116" s="272">
        <v>0</v>
      </c>
      <c r="N116" s="272">
        <v>303.14166666666665</v>
      </c>
      <c r="O116" s="272">
        <v>0</v>
      </c>
      <c r="P116" s="272">
        <v>365.14166666666671</v>
      </c>
      <c r="Q116" s="272">
        <v>0</v>
      </c>
      <c r="R116" s="272">
        <v>427.14166666666677</v>
      </c>
      <c r="DP116" s="18">
        <f>'Monthly Data'!F116</f>
        <v>55632987.866458856</v>
      </c>
      <c r="DQ116" s="18">
        <f>'Monthly Data'!J116</f>
        <v>13208076.921784028</v>
      </c>
      <c r="DR116" s="18">
        <f>'Monthly Data'!N116</f>
        <v>29067750.35745775</v>
      </c>
      <c r="DS116" s="4">
        <f>'Monthly Data'!S116</f>
        <v>9613834.4640484992</v>
      </c>
      <c r="DT116" s="4">
        <f>'Monthly Data'!V116</f>
        <v>3353405</v>
      </c>
      <c r="DU116" s="18">
        <f t="shared" si="86"/>
        <v>51230478.708376512</v>
      </c>
      <c r="DV116" s="18">
        <f t="shared" si="87"/>
        <v>11885507.247444183</v>
      </c>
      <c r="DW116" s="18">
        <f t="shared" si="88"/>
        <v>27560224.534926072</v>
      </c>
      <c r="DX116" s="18">
        <f t="shared" si="89"/>
        <v>8512892.0219711456</v>
      </c>
      <c r="DY116" s="18">
        <f t="shared" si="90"/>
        <v>3430862.5652816584</v>
      </c>
      <c r="ER116" s="24">
        <f>'Monthly Data'!F116/'Monthly Data'!G116/'Monthly Data'!CD116</f>
        <v>30.90057185841647</v>
      </c>
      <c r="ES116" s="268">
        <f>'Monthly Data'!J116/'Monthly Data'!K116/'Monthly Data'!CD116</f>
        <v>96.004280639230316</v>
      </c>
      <c r="ET116" s="24">
        <f>'Monthly Data'!N116/'Monthly Data'!P116/'Monthly Data'!CD116</f>
        <v>1810.1725219490443</v>
      </c>
      <c r="EU116" s="24">
        <f>'Monthly Data'!Q116/'Monthly Data'!U116/'Monthly Data'!CD116</f>
        <v>16078.800759013282</v>
      </c>
      <c r="EV116" s="24">
        <f>'Monthly Data'!V116/'Monthly Data'!Z116/'Monthly Data'!CD116</f>
        <v>108174.35483870968</v>
      </c>
      <c r="EW116" s="24"/>
      <c r="FG116" s="24"/>
    </row>
    <row r="117" spans="1:163" x14ac:dyDescent="0.25">
      <c r="A117" s="3">
        <v>45505</v>
      </c>
      <c r="B117" s="1">
        <f t="shared" si="84"/>
        <v>2024</v>
      </c>
      <c r="C117" s="1">
        <f t="shared" si="85"/>
        <v>8</v>
      </c>
      <c r="D117" s="272">
        <v>20.479569892473116</v>
      </c>
      <c r="E117" s="272">
        <v>26.975000000000016</v>
      </c>
      <c r="F117" s="272">
        <v>41.841666666666654</v>
      </c>
      <c r="G117" s="272">
        <v>8.2333333333333432</v>
      </c>
      <c r="H117" s="272">
        <v>85.09999999999998</v>
      </c>
      <c r="I117" s="272">
        <v>1.7583333333333346</v>
      </c>
      <c r="J117" s="272">
        <v>140.625</v>
      </c>
      <c r="K117" s="272">
        <v>0</v>
      </c>
      <c r="L117" s="272">
        <v>200.86666666666665</v>
      </c>
      <c r="M117" s="272">
        <v>0</v>
      </c>
      <c r="N117" s="272">
        <v>262.86666666666667</v>
      </c>
      <c r="O117" s="272">
        <v>0</v>
      </c>
      <c r="P117" s="272">
        <v>324.86666666666667</v>
      </c>
      <c r="Q117" s="272">
        <v>0</v>
      </c>
      <c r="R117" s="272">
        <v>386.86666666666656</v>
      </c>
      <c r="DP117" s="18">
        <f>'Monthly Data'!F117</f>
        <v>55407027.68387381</v>
      </c>
      <c r="DQ117" s="18">
        <f>'Monthly Data'!J117</f>
        <v>12544661.195436371</v>
      </c>
      <c r="DR117" s="18">
        <f>'Monthly Data'!N117</f>
        <v>24089836.06918072</v>
      </c>
      <c r="DS117" s="4">
        <f>'Monthly Data'!S117</f>
        <v>9361267.5528402776</v>
      </c>
      <c r="DT117" s="4">
        <f>'Monthly Data'!V117</f>
        <v>3316007</v>
      </c>
      <c r="DU117" s="18">
        <f t="shared" si="86"/>
        <v>48398142.21344918</v>
      </c>
      <c r="DV117" s="18">
        <f t="shared" si="87"/>
        <v>11354122.219348619</v>
      </c>
      <c r="DW117" s="18">
        <f t="shared" si="88"/>
        <v>26931112.5720792</v>
      </c>
      <c r="DX117" s="18">
        <f t="shared" si="89"/>
        <v>8225018.2208407475</v>
      </c>
      <c r="DY117" s="18">
        <f t="shared" si="90"/>
        <v>3374955.4052424305</v>
      </c>
      <c r="ER117" s="24">
        <f>'Monthly Data'!F117/'Monthly Data'!G117/'Monthly Data'!CD117</f>
        <v>30.695257842847919</v>
      </c>
      <c r="ES117" s="268">
        <f>'Monthly Data'!J117/'Monthly Data'!K117/'Monthly Data'!CD117</f>
        <v>91.141101390848377</v>
      </c>
      <c r="ET117" s="24">
        <f>'Monthly Data'!N117/'Monthly Data'!P117/'Monthly Data'!CD117</f>
        <v>1497.2861003903736</v>
      </c>
      <c r="EU117" s="24">
        <f>'Monthly Data'!Q117/'Monthly Data'!U117/'Monthly Data'!CD117</f>
        <v>15577.206831119545</v>
      </c>
      <c r="EV117" s="24">
        <f>'Monthly Data'!V117/'Monthly Data'!Z117/'Monthly Data'!CD117</f>
        <v>106967.96774193548</v>
      </c>
      <c r="EW117" s="24"/>
      <c r="FG117" s="24"/>
    </row>
    <row r="118" spans="1:163" x14ac:dyDescent="0.25">
      <c r="A118" s="3">
        <v>45536</v>
      </c>
      <c r="B118" s="1">
        <f t="shared" si="84"/>
        <v>2024</v>
      </c>
      <c r="C118" s="1">
        <f t="shared" si="85"/>
        <v>9</v>
      </c>
      <c r="D118" s="272">
        <v>17.709999999999997</v>
      </c>
      <c r="E118" s="272">
        <v>69.33750000000002</v>
      </c>
      <c r="F118" s="272">
        <v>0.63750000000000284</v>
      </c>
      <c r="G118" s="272">
        <v>29.36666666666666</v>
      </c>
      <c r="H118" s="272">
        <v>20.666666666666679</v>
      </c>
      <c r="I118" s="272">
        <v>10.920833333333333</v>
      </c>
      <c r="J118" s="272">
        <v>62.220833333333331</v>
      </c>
      <c r="K118" s="272">
        <v>2.5625000000000036</v>
      </c>
      <c r="L118" s="272">
        <v>113.86250000000001</v>
      </c>
      <c r="M118" s="272">
        <v>0</v>
      </c>
      <c r="N118" s="272">
        <v>171.29999999999998</v>
      </c>
      <c r="O118" s="272">
        <v>0</v>
      </c>
      <c r="P118" s="272">
        <v>231.3</v>
      </c>
      <c r="Q118" s="272">
        <v>0</v>
      </c>
      <c r="R118" s="272">
        <v>291.30000000000007</v>
      </c>
      <c r="DP118" s="18">
        <f>'Monthly Data'!F118</f>
        <v>47324482.501288757</v>
      </c>
      <c r="DQ118" s="18">
        <f>'Monthly Data'!J118</f>
        <v>11181801.469088715</v>
      </c>
      <c r="DR118" s="18">
        <f>'Monthly Data'!N118</f>
        <v>23502012.78090369</v>
      </c>
      <c r="DS118" s="4">
        <f>'Monthly Data'!S118</f>
        <v>8188581.6416320577</v>
      </c>
      <c r="DT118" s="4">
        <f>'Monthly Data'!V118</f>
        <v>3312867</v>
      </c>
      <c r="DU118" s="18">
        <f t="shared" si="86"/>
        <v>42037859.46810323</v>
      </c>
      <c r="DV118" s="18">
        <f t="shared" si="87"/>
        <v>10236196.754295383</v>
      </c>
      <c r="DW118" s="18">
        <f t="shared" si="88"/>
        <v>25500803.809869088</v>
      </c>
      <c r="DX118" s="18">
        <f t="shared" si="89"/>
        <v>7603138.1420694022</v>
      </c>
      <c r="DY118" s="18">
        <f t="shared" si="90"/>
        <v>3254181.8268460804</v>
      </c>
      <c r="ER118" s="24">
        <f>'Monthly Data'!F118/'Monthly Data'!G118/'Monthly Data'!CD118</f>
        <v>27.110104317779587</v>
      </c>
      <c r="ES118" s="268">
        <f>'Monthly Data'!J118/'Monthly Data'!K118/'Monthly Data'!CD118</f>
        <v>83.853029389491667</v>
      </c>
      <c r="ET118" s="24">
        <f>'Monthly Data'!N118/'Monthly Data'!P118/'Monthly Data'!CD118</f>
        <v>1506.5392808271597</v>
      </c>
      <c r="EU118" s="24">
        <f>'Monthly Data'!Q118/'Monthly Data'!U118/'Monthly Data'!CD118</f>
        <v>13773.978431372549</v>
      </c>
      <c r="EV118" s="24">
        <f>'Monthly Data'!V118/'Monthly Data'!Z118/'Monthly Data'!CD118</f>
        <v>110428.9</v>
      </c>
      <c r="EW118" s="24"/>
      <c r="FG118" s="24"/>
    </row>
    <row r="119" spans="1:163" x14ac:dyDescent="0.25">
      <c r="A119" s="3">
        <v>45566</v>
      </c>
      <c r="B119" s="1">
        <f t="shared" si="84"/>
        <v>2024</v>
      </c>
      <c r="C119" s="1">
        <f t="shared" si="85"/>
        <v>10</v>
      </c>
      <c r="D119" s="272">
        <v>10.453494623655915</v>
      </c>
      <c r="E119" s="272">
        <v>295.94166666666661</v>
      </c>
      <c r="F119" s="272">
        <v>0</v>
      </c>
      <c r="G119" s="272">
        <v>233.94166666666658</v>
      </c>
      <c r="H119" s="272">
        <v>0</v>
      </c>
      <c r="I119" s="272">
        <v>174.98749999999998</v>
      </c>
      <c r="J119" s="272">
        <v>3.0458333333333378</v>
      </c>
      <c r="K119" s="272">
        <v>122.06250000000001</v>
      </c>
      <c r="L119" s="272">
        <v>12.120833333333337</v>
      </c>
      <c r="M119" s="272">
        <v>79.04583333333332</v>
      </c>
      <c r="N119" s="272">
        <v>31.104166666666679</v>
      </c>
      <c r="O119" s="272">
        <v>46.029166666666669</v>
      </c>
      <c r="P119" s="272">
        <v>60.087500000000006</v>
      </c>
      <c r="Q119" s="272">
        <v>18.616666666666671</v>
      </c>
      <c r="R119" s="272">
        <v>94.675000000000011</v>
      </c>
      <c r="DP119" s="18">
        <f>'Monthly Data'!F119</f>
        <v>39896304.318703704</v>
      </c>
      <c r="DQ119" s="18">
        <f>'Monthly Data'!J119</f>
        <v>10551404.742741058</v>
      </c>
      <c r="DR119" s="18">
        <f>'Monthly Data'!N119</f>
        <v>24709285.492626656</v>
      </c>
      <c r="DS119" s="4">
        <f>'Monthly Data'!S119</f>
        <v>7540474.730423837</v>
      </c>
      <c r="DT119" s="4">
        <f>'Monthly Data'!V119</f>
        <v>3279056</v>
      </c>
      <c r="DU119" s="18">
        <f t="shared" si="86"/>
        <v>35869062.503464371</v>
      </c>
      <c r="DV119" s="18">
        <f t="shared" si="87"/>
        <v>9786582.3951994833</v>
      </c>
      <c r="DW119" s="18">
        <f t="shared" si="88"/>
        <v>24233288.33095526</v>
      </c>
      <c r="DX119" s="18">
        <f t="shared" si="89"/>
        <v>6889570.1738393903</v>
      </c>
      <c r="DY119" s="18">
        <f t="shared" si="90"/>
        <v>3129860.7385980627</v>
      </c>
      <c r="ER119" s="24">
        <f>'Monthly Data'!F119/'Monthly Data'!G119/'Monthly Data'!CD119</f>
        <v>22.154127223505153</v>
      </c>
      <c r="ES119" s="268">
        <f>'Monthly Data'!J119/'Monthly Data'!K119/'Monthly Data'!CD119</f>
        <v>76.538766567827949</v>
      </c>
      <c r="ET119" s="24">
        <f>'Monthly Data'!N119/'Monthly Data'!P119/'Monthly Data'!CD119</f>
        <v>1532.8340876319266</v>
      </c>
      <c r="EU119" s="24">
        <f>'Monthly Data'!Q119/'Monthly Data'!U119/'Monthly Data'!CD119</f>
        <v>12077.512333965846</v>
      </c>
      <c r="EV119" s="24">
        <f>'Monthly Data'!V119/'Monthly Data'!Z119/'Monthly Data'!CD119</f>
        <v>105776</v>
      </c>
      <c r="EW119" s="24"/>
      <c r="FG119" s="24"/>
    </row>
    <row r="120" spans="1:163" x14ac:dyDescent="0.25">
      <c r="A120" s="3">
        <v>45597</v>
      </c>
      <c r="B120" s="1">
        <f t="shared" si="84"/>
        <v>2024</v>
      </c>
      <c r="C120" s="1">
        <f t="shared" si="85"/>
        <v>11</v>
      </c>
      <c r="D120" s="272">
        <v>5.790277777777777</v>
      </c>
      <c r="E120" s="272">
        <v>426.29166666666663</v>
      </c>
      <c r="F120" s="272">
        <v>0</v>
      </c>
      <c r="G120" s="272">
        <v>366.29166666666663</v>
      </c>
      <c r="H120" s="272">
        <v>0</v>
      </c>
      <c r="I120" s="272">
        <v>307.79583333333329</v>
      </c>
      <c r="J120" s="272">
        <v>1.5041666666666629</v>
      </c>
      <c r="K120" s="272">
        <v>251.79583333333335</v>
      </c>
      <c r="L120" s="272">
        <v>5.5041666666666629</v>
      </c>
      <c r="M120" s="272">
        <v>195.79583333333335</v>
      </c>
      <c r="N120" s="272">
        <v>9.5041666666666629</v>
      </c>
      <c r="O120" s="272">
        <v>141.32083333333335</v>
      </c>
      <c r="P120" s="272">
        <v>15.029166666666661</v>
      </c>
      <c r="Q120" s="272">
        <v>93.433333333333351</v>
      </c>
      <c r="R120" s="272">
        <v>27.141666666666666</v>
      </c>
      <c r="DP120" s="18">
        <f>'Monthly Data'!F120</f>
        <v>40946320.13611865</v>
      </c>
      <c r="DQ120" s="18">
        <f>'Monthly Data'!J120</f>
        <v>11150445.016393399</v>
      </c>
      <c r="DR120" s="18">
        <f>'Monthly Data'!N120</f>
        <v>27625583.204349626</v>
      </c>
      <c r="DS120" s="4">
        <f>'Monthly Data'!S120</f>
        <v>7124288.8192156162</v>
      </c>
      <c r="DT120" s="4">
        <f>'Monthly Data'!V120</f>
        <v>3208594</v>
      </c>
      <c r="DU120" s="18">
        <f t="shared" si="86"/>
        <v>38356540.488131545</v>
      </c>
      <c r="DV120" s="18">
        <f t="shared" si="87"/>
        <v>10440443.430429829</v>
      </c>
      <c r="DW120" s="18">
        <f t="shared" si="88"/>
        <v>25805483.321661677</v>
      </c>
      <c r="DX120" s="18">
        <f t="shared" si="89"/>
        <v>6862439.2025452107</v>
      </c>
      <c r="DY120" s="18">
        <f t="shared" si="90"/>
        <v>3145652.033359068</v>
      </c>
      <c r="ER120" s="24">
        <f>'Monthly Data'!F120/'Monthly Data'!G120/'Monthly Data'!CD120</f>
        <v>23.470454454123118</v>
      </c>
      <c r="ES120" s="268">
        <f>'Monthly Data'!J120/'Monthly Data'!K120/'Monthly Data'!CD120</f>
        <v>83.243337188453879</v>
      </c>
      <c r="ET120" s="24">
        <f>'Monthly Data'!N120/'Monthly Data'!P120/'Monthly Data'!CD120</f>
        <v>1770.87071822754</v>
      </c>
      <c r="EU120" s="24">
        <f>'Monthly Data'!Q120/'Monthly Data'!U120/'Monthly Data'!CD120</f>
        <v>11640.960784313726</v>
      </c>
      <c r="EV120" s="24">
        <f>'Monthly Data'!V120/'Monthly Data'!Z120/'Monthly Data'!CD120</f>
        <v>106953.13333333333</v>
      </c>
      <c r="EW120" s="24"/>
      <c r="FG120" s="24"/>
    </row>
    <row r="121" spans="1:163" x14ac:dyDescent="0.25">
      <c r="A121" s="3">
        <v>45627</v>
      </c>
      <c r="B121" s="1">
        <f t="shared" si="84"/>
        <v>2024</v>
      </c>
      <c r="C121" s="1">
        <f t="shared" si="85"/>
        <v>12</v>
      </c>
      <c r="D121" s="272">
        <v>-1.3088709677419357</v>
      </c>
      <c r="E121" s="272">
        <v>660.57500000000016</v>
      </c>
      <c r="F121" s="272">
        <v>0</v>
      </c>
      <c r="G121" s="272">
        <v>598.57499999999993</v>
      </c>
      <c r="H121" s="272">
        <v>0</v>
      </c>
      <c r="I121" s="272">
        <v>536.57500000000005</v>
      </c>
      <c r="J121" s="272">
        <v>0</v>
      </c>
      <c r="K121" s="272">
        <v>474.57499999999999</v>
      </c>
      <c r="L121" s="272">
        <v>0</v>
      </c>
      <c r="M121" s="272">
        <v>412.57499999999999</v>
      </c>
      <c r="N121" s="272">
        <v>0</v>
      </c>
      <c r="O121" s="272">
        <v>350.57499999999993</v>
      </c>
      <c r="P121" s="272">
        <v>0</v>
      </c>
      <c r="Q121" s="272">
        <v>288.57499999999993</v>
      </c>
      <c r="R121" s="272">
        <v>0</v>
      </c>
      <c r="V121" s="268"/>
      <c r="W121" s="4"/>
      <c r="X121" s="4"/>
      <c r="DP121" s="18">
        <f>'Monthly Data'!F121</f>
        <v>47984220.953533597</v>
      </c>
      <c r="DQ121" s="18">
        <f>'Monthly Data'!J121</f>
        <v>13006669.290045742</v>
      </c>
      <c r="DR121" s="18">
        <f>'Monthly Data'!N121</f>
        <v>33184612.916072596</v>
      </c>
      <c r="DS121" s="4">
        <f>'Monthly Data'!S121</f>
        <v>7546802.9080073964</v>
      </c>
      <c r="DT121" s="4">
        <f>'Monthly Data'!V121</f>
        <v>3132940</v>
      </c>
      <c r="DU121" s="18">
        <f t="shared" si="86"/>
        <v>44568149.892832026</v>
      </c>
      <c r="DV121" s="18">
        <f t="shared" si="87"/>
        <v>11646004.323297899</v>
      </c>
      <c r="DW121" s="18">
        <f t="shared" si="88"/>
        <v>29850369.857259113</v>
      </c>
      <c r="DX121" s="18">
        <f t="shared" si="89"/>
        <v>6860535.331446507</v>
      </c>
      <c r="DY121" s="18">
        <f t="shared" si="90"/>
        <v>3184386.6951606609</v>
      </c>
      <c r="ER121" s="24">
        <f>'Monthly Data'!F121/'Monthly Data'!G121/'Monthly Data'!CD121</f>
        <v>26.666404149730855</v>
      </c>
      <c r="ES121" s="268">
        <f>'Monthly Data'!J121/'Monthly Data'!K121/'Monthly Data'!CD121</f>
        <v>97.642535978182394</v>
      </c>
      <c r="ET121" s="24">
        <f>'Monthly Data'!N121/'Monthly Data'!P121/'Monthly Data'!CD121</f>
        <v>2062.5652878409219</v>
      </c>
      <c r="EU121" s="24">
        <f>'Monthly Data'!Q121/'Monthly Data'!U121/'Monthly Data'!CD121</f>
        <v>12044.840607210626</v>
      </c>
      <c r="EV121" s="24">
        <f>'Monthly Data'!V121/'Monthly Data'!Z121/'Monthly Data'!CD121</f>
        <v>101062.58064516129</v>
      </c>
      <c r="EW121" s="24"/>
      <c r="FG121" s="24"/>
    </row>
    <row r="122" spans="1:163" x14ac:dyDescent="0.25">
      <c r="A122" s="3"/>
      <c r="D122" s="272"/>
      <c r="E122" s="423"/>
      <c r="F122" s="423"/>
      <c r="G122" s="272"/>
      <c r="H122" s="272"/>
      <c r="I122" s="272"/>
      <c r="J122" s="272"/>
      <c r="K122" s="272"/>
      <c r="L122" s="272"/>
      <c r="M122" s="272"/>
      <c r="N122" s="272"/>
      <c r="O122" s="272"/>
      <c r="P122" s="272"/>
      <c r="Q122" s="272"/>
      <c r="R122" s="272"/>
      <c r="V122" s="268"/>
      <c r="W122" s="4"/>
      <c r="X122" s="4"/>
      <c r="ER122" s="24"/>
      <c r="ES122" s="24"/>
      <c r="ET122" s="24"/>
      <c r="FG122" s="24"/>
    </row>
    <row r="123" spans="1:163" x14ac:dyDescent="0.25">
      <c r="A123" s="3"/>
      <c r="D123" s="272"/>
      <c r="E123" s="423"/>
      <c r="F123" s="423"/>
      <c r="G123" s="272"/>
      <c r="H123" s="272"/>
      <c r="I123" s="272"/>
      <c r="J123" s="272"/>
      <c r="K123" s="272"/>
      <c r="L123" s="272"/>
      <c r="M123" s="272"/>
      <c r="N123" s="272"/>
      <c r="O123" s="272"/>
      <c r="P123" s="272"/>
      <c r="Q123" s="272"/>
      <c r="R123" s="272"/>
      <c r="V123" s="268"/>
      <c r="W123" s="4"/>
      <c r="X123" s="4"/>
      <c r="ER123" s="24"/>
      <c r="ES123" s="24"/>
      <c r="ET123" s="24"/>
      <c r="FG123" s="24"/>
    </row>
    <row r="124" spans="1:163" x14ac:dyDescent="0.25">
      <c r="A124" s="3"/>
      <c r="D124" s="272"/>
      <c r="E124" s="423"/>
      <c r="F124" s="423"/>
      <c r="G124" s="272"/>
      <c r="H124" s="272"/>
      <c r="I124" s="272"/>
      <c r="J124" s="272"/>
      <c r="K124" s="272"/>
      <c r="L124" s="272"/>
      <c r="M124" s="272"/>
      <c r="N124" s="272"/>
      <c r="O124" s="272"/>
      <c r="P124" s="272"/>
      <c r="Q124" s="272"/>
      <c r="R124" s="272"/>
      <c r="V124" s="268"/>
      <c r="W124" s="4"/>
      <c r="X124" s="4"/>
      <c r="ER124" s="24"/>
      <c r="ES124" s="24"/>
      <c r="ET124" s="24"/>
      <c r="FG124" s="24"/>
    </row>
    <row r="125" spans="1:163" x14ac:dyDescent="0.25">
      <c r="A125" s="3"/>
      <c r="D125" s="272"/>
      <c r="E125" s="423"/>
      <c r="F125" s="423"/>
      <c r="G125" s="272"/>
      <c r="H125" s="272"/>
      <c r="I125" s="272"/>
      <c r="J125" s="272"/>
      <c r="K125" s="272"/>
      <c r="L125" s="272"/>
      <c r="M125" s="272"/>
      <c r="N125" s="272"/>
      <c r="O125" s="272"/>
      <c r="P125" s="272"/>
      <c r="Q125" s="272"/>
      <c r="R125" s="272"/>
      <c r="V125" s="268"/>
      <c r="W125" s="4"/>
      <c r="X125" s="4"/>
      <c r="ER125" s="24"/>
      <c r="ES125" s="24"/>
      <c r="ET125" s="24"/>
      <c r="FG125" s="24"/>
    </row>
    <row r="126" spans="1:163" x14ac:dyDescent="0.25">
      <c r="A126" s="3"/>
      <c r="D126" s="272"/>
      <c r="E126" s="423"/>
      <c r="F126" s="423"/>
      <c r="G126" s="272"/>
      <c r="H126" s="272"/>
      <c r="I126" s="272"/>
      <c r="J126" s="272"/>
      <c r="K126" s="272"/>
      <c r="L126" s="272"/>
      <c r="M126" s="272"/>
      <c r="N126" s="272"/>
      <c r="O126" s="272"/>
      <c r="P126" s="272"/>
      <c r="Q126" s="272"/>
      <c r="R126" s="272"/>
      <c r="V126" s="268"/>
      <c r="W126" s="4"/>
      <c r="X126" s="4"/>
      <c r="ER126" s="24"/>
      <c r="ES126" s="24"/>
      <c r="ET126" s="24"/>
      <c r="FG126" s="24"/>
    </row>
    <row r="127" spans="1:163" x14ac:dyDescent="0.25">
      <c r="A127" s="3"/>
      <c r="D127" s="272"/>
      <c r="E127" s="423"/>
      <c r="F127" s="423"/>
      <c r="G127" s="272"/>
      <c r="H127" s="272"/>
      <c r="I127" s="272"/>
      <c r="J127" s="272"/>
      <c r="K127" s="272"/>
      <c r="L127" s="272"/>
      <c r="M127" s="272"/>
      <c r="N127" s="272"/>
      <c r="O127" s="272"/>
      <c r="P127" s="272"/>
      <c r="Q127" s="272"/>
      <c r="R127" s="272"/>
      <c r="V127" s="268"/>
      <c r="W127" s="4"/>
      <c r="X127" s="4"/>
      <c r="ER127" s="24"/>
      <c r="ES127" s="24"/>
      <c r="ET127" s="24"/>
      <c r="FG127" s="24"/>
    </row>
    <row r="128" spans="1:163" x14ac:dyDescent="0.25">
      <c r="A128" s="3"/>
      <c r="D128" s="272"/>
      <c r="E128" s="423"/>
      <c r="F128" s="423"/>
      <c r="G128" s="272"/>
      <c r="H128" s="272"/>
      <c r="I128" s="272"/>
      <c r="J128" s="272"/>
      <c r="K128" s="272"/>
      <c r="L128" s="272"/>
      <c r="M128" s="272"/>
      <c r="N128" s="272"/>
      <c r="O128" s="272"/>
      <c r="P128" s="272"/>
      <c r="Q128" s="272"/>
      <c r="R128" s="272"/>
      <c r="V128" s="268"/>
      <c r="W128" s="4"/>
      <c r="X128" s="4"/>
      <c r="ER128" s="24"/>
      <c r="ES128" s="24"/>
      <c r="ET128" s="24"/>
      <c r="FG128" s="24"/>
    </row>
    <row r="129" spans="1:163" x14ac:dyDescent="0.25">
      <c r="A129" s="3"/>
      <c r="D129" s="272"/>
      <c r="E129" s="423"/>
      <c r="F129" s="423"/>
      <c r="G129" s="272"/>
      <c r="H129" s="272"/>
      <c r="I129" s="272"/>
      <c r="J129" s="272"/>
      <c r="K129" s="272"/>
      <c r="L129" s="272"/>
      <c r="M129" s="272"/>
      <c r="N129" s="272"/>
      <c r="O129" s="272"/>
      <c r="P129" s="272"/>
      <c r="Q129" s="272"/>
      <c r="R129" s="272"/>
      <c r="V129" s="268"/>
      <c r="W129" s="4"/>
      <c r="X129" s="4"/>
      <c r="ER129" s="24"/>
      <c r="ES129" s="24"/>
      <c r="ET129" s="24"/>
      <c r="FG129" s="24"/>
    </row>
    <row r="130" spans="1:163" x14ac:dyDescent="0.25">
      <c r="A130" s="3"/>
      <c r="D130" s="272"/>
      <c r="E130" s="423"/>
      <c r="F130" s="423"/>
      <c r="G130" s="272"/>
      <c r="H130" s="272"/>
      <c r="I130" s="272"/>
      <c r="J130" s="272"/>
      <c r="K130" s="272"/>
      <c r="L130" s="272"/>
      <c r="M130" s="272"/>
      <c r="N130" s="272"/>
      <c r="O130" s="272"/>
      <c r="P130" s="272"/>
      <c r="Q130" s="272"/>
      <c r="R130" s="272"/>
      <c r="V130" s="268"/>
      <c r="W130" s="4"/>
      <c r="X130" s="4"/>
      <c r="ER130" s="24"/>
      <c r="ES130" s="24"/>
      <c r="ET130" s="24"/>
      <c r="FG130" s="24"/>
    </row>
    <row r="131" spans="1:163" x14ac:dyDescent="0.25">
      <c r="A131" s="3"/>
      <c r="D131" s="272"/>
      <c r="E131" s="423"/>
      <c r="F131" s="423"/>
      <c r="G131" s="272"/>
      <c r="H131" s="272"/>
      <c r="I131" s="272"/>
      <c r="J131" s="272"/>
      <c r="K131" s="272"/>
      <c r="L131" s="272"/>
      <c r="M131" s="272"/>
      <c r="N131" s="272"/>
      <c r="O131" s="272"/>
      <c r="P131" s="272"/>
      <c r="Q131" s="272"/>
      <c r="R131" s="272"/>
      <c r="V131" s="268"/>
      <c r="W131" s="4"/>
      <c r="X131" s="4"/>
      <c r="ER131" s="24"/>
      <c r="ES131" s="24"/>
      <c r="ET131" s="24"/>
      <c r="FG131" s="24"/>
    </row>
    <row r="132" spans="1:163" x14ac:dyDescent="0.25">
      <c r="A132" s="3"/>
      <c r="D132" s="272"/>
      <c r="E132" s="423"/>
      <c r="F132" s="423"/>
      <c r="G132" s="272"/>
      <c r="H132" s="272"/>
      <c r="I132" s="272"/>
      <c r="J132" s="272"/>
      <c r="K132" s="272"/>
      <c r="L132" s="272"/>
      <c r="M132" s="272"/>
      <c r="N132" s="272"/>
      <c r="O132" s="272"/>
      <c r="P132" s="272"/>
      <c r="Q132" s="272"/>
      <c r="R132" s="272"/>
      <c r="V132" s="268"/>
      <c r="W132" s="4"/>
      <c r="X132" s="4"/>
      <c r="ER132" s="24"/>
      <c r="ES132" s="24"/>
      <c r="ET132" s="24"/>
      <c r="FG132" s="24"/>
    </row>
    <row r="133" spans="1:163" x14ac:dyDescent="0.25">
      <c r="A133" s="3"/>
      <c r="D133" s="272"/>
      <c r="E133" s="423"/>
      <c r="F133" s="423"/>
      <c r="G133" s="272"/>
      <c r="H133" s="272"/>
      <c r="I133" s="272"/>
      <c r="J133" s="272"/>
      <c r="K133" s="272"/>
      <c r="L133" s="272"/>
      <c r="M133" s="272"/>
      <c r="N133" s="272"/>
      <c r="O133" s="272"/>
      <c r="P133" s="272"/>
      <c r="Q133" s="272"/>
      <c r="R133" s="272"/>
      <c r="V133" s="268"/>
      <c r="W133" s="4"/>
      <c r="X133" s="4"/>
    </row>
    <row r="134" spans="1:163" x14ac:dyDescent="0.25">
      <c r="A134" s="3"/>
      <c r="D134" s="272"/>
      <c r="E134" s="423"/>
      <c r="F134" s="423"/>
      <c r="G134" s="272"/>
      <c r="H134" s="272"/>
      <c r="I134" s="272"/>
      <c r="J134" s="272"/>
      <c r="K134" s="272"/>
      <c r="L134" s="272"/>
      <c r="M134" s="272"/>
      <c r="N134" s="272"/>
      <c r="O134" s="272"/>
      <c r="P134" s="272"/>
      <c r="Q134" s="272"/>
      <c r="R134" s="272"/>
      <c r="S134" s="268"/>
      <c r="V134" s="268"/>
      <c r="W134" s="4"/>
      <c r="X134" s="4"/>
      <c r="AG134" s="272"/>
      <c r="DP134" s="18"/>
      <c r="DQ134" s="18"/>
      <c r="DR134" s="18"/>
      <c r="DS134" s="18"/>
      <c r="DT134" s="18"/>
    </row>
    <row r="135" spans="1:163" x14ac:dyDescent="0.25">
      <c r="A135" s="3"/>
      <c r="D135" s="272"/>
      <c r="E135" s="423"/>
      <c r="F135" s="423"/>
      <c r="G135" s="272"/>
      <c r="H135" s="272"/>
      <c r="I135" s="272"/>
      <c r="J135" s="272"/>
      <c r="K135" s="272"/>
      <c r="L135" s="272"/>
      <c r="M135" s="272"/>
      <c r="N135" s="272"/>
      <c r="O135" s="272"/>
      <c r="P135" s="272"/>
      <c r="Q135" s="272"/>
      <c r="R135" s="272"/>
      <c r="S135" s="268"/>
      <c r="T135" s="268"/>
      <c r="V135" s="268"/>
      <c r="W135" s="4"/>
      <c r="X135" s="4"/>
      <c r="AG135" s="272"/>
      <c r="DP135" s="18"/>
      <c r="DQ135" s="18"/>
      <c r="DR135" s="18"/>
      <c r="DS135" s="18"/>
      <c r="DT135" s="18"/>
    </row>
    <row r="136" spans="1:163" x14ac:dyDescent="0.25">
      <c r="A136" s="3"/>
      <c r="D136" s="272"/>
      <c r="E136" s="423"/>
      <c r="F136" s="423"/>
      <c r="G136" s="272"/>
      <c r="H136" s="272"/>
      <c r="I136" s="272"/>
      <c r="J136" s="272"/>
      <c r="K136" s="272"/>
      <c r="L136" s="272"/>
      <c r="M136" s="272"/>
      <c r="N136" s="272"/>
      <c r="O136" s="272"/>
      <c r="P136" s="272"/>
      <c r="Q136" s="272"/>
      <c r="R136" s="272"/>
      <c r="S136" s="268"/>
      <c r="T136" s="268"/>
      <c r="V136" s="268"/>
      <c r="W136" s="4"/>
      <c r="X136" s="4"/>
      <c r="AG136" s="272"/>
      <c r="DP136" s="18"/>
      <c r="DQ136" s="18"/>
      <c r="DR136" s="18"/>
      <c r="DS136" s="18"/>
      <c r="DT136" s="18"/>
    </row>
    <row r="137" spans="1:163" x14ac:dyDescent="0.25">
      <c r="A137" s="3"/>
      <c r="D137" s="272"/>
      <c r="E137" s="423"/>
      <c r="F137" s="423"/>
      <c r="G137" s="272"/>
      <c r="H137" s="272"/>
      <c r="I137" s="272"/>
      <c r="J137" s="272"/>
      <c r="K137" s="272"/>
      <c r="L137" s="272"/>
      <c r="M137" s="272"/>
      <c r="N137" s="272"/>
      <c r="O137" s="272"/>
      <c r="P137" s="272"/>
      <c r="Q137" s="272"/>
      <c r="R137" s="272"/>
      <c r="S137" s="268"/>
      <c r="T137" s="268"/>
      <c r="V137" s="268"/>
      <c r="W137" s="4"/>
      <c r="X137" s="4"/>
      <c r="AG137" s="272"/>
      <c r="DP137" s="18"/>
      <c r="DQ137" s="18"/>
      <c r="DR137" s="18"/>
      <c r="DS137" s="18"/>
      <c r="DT137" s="18"/>
    </row>
    <row r="138" spans="1:163" x14ac:dyDescent="0.25">
      <c r="A138" s="3"/>
      <c r="D138" s="272"/>
      <c r="E138" s="423"/>
      <c r="F138" s="423"/>
      <c r="G138" s="272"/>
      <c r="H138" s="272"/>
      <c r="I138" s="272"/>
      <c r="J138" s="272"/>
      <c r="K138" s="272"/>
      <c r="L138" s="272"/>
      <c r="M138" s="272"/>
      <c r="N138" s="272"/>
      <c r="O138" s="272"/>
      <c r="P138" s="272"/>
      <c r="Q138" s="272"/>
      <c r="R138" s="272"/>
      <c r="S138" s="268"/>
      <c r="T138" s="268"/>
      <c r="V138" s="268"/>
      <c r="W138" s="4"/>
      <c r="X138" s="4"/>
      <c r="AG138" s="272"/>
      <c r="DP138" s="18"/>
      <c r="DQ138" s="18"/>
      <c r="DR138" s="18"/>
      <c r="DS138" s="18"/>
      <c r="DT138" s="18"/>
    </row>
    <row r="139" spans="1:163" x14ac:dyDescent="0.25">
      <c r="A139" s="3"/>
      <c r="D139" s="272"/>
      <c r="E139" s="423"/>
      <c r="F139" s="423"/>
      <c r="G139" s="272"/>
      <c r="H139" s="272"/>
      <c r="I139" s="272"/>
      <c r="J139" s="272"/>
      <c r="K139" s="272"/>
      <c r="L139" s="272"/>
      <c r="M139" s="272"/>
      <c r="N139" s="272"/>
      <c r="O139" s="272"/>
      <c r="P139" s="272"/>
      <c r="Q139" s="272"/>
      <c r="R139" s="272"/>
      <c r="S139" s="268"/>
      <c r="T139" s="268"/>
      <c r="V139" s="268"/>
      <c r="W139" s="4"/>
      <c r="X139" s="4"/>
      <c r="AG139" s="272"/>
      <c r="DP139" s="18"/>
      <c r="DQ139" s="18"/>
      <c r="DR139" s="18"/>
      <c r="DS139" s="18"/>
      <c r="DT139" s="18"/>
    </row>
    <row r="140" spans="1:163" x14ac:dyDescent="0.25">
      <c r="A140" s="3"/>
      <c r="D140" s="272"/>
      <c r="E140" s="423"/>
      <c r="F140" s="423"/>
      <c r="G140" s="272"/>
      <c r="H140" s="272"/>
      <c r="I140" s="272"/>
      <c r="J140" s="272"/>
      <c r="K140" s="272"/>
      <c r="L140" s="272"/>
      <c r="M140" s="272"/>
      <c r="N140" s="272"/>
      <c r="O140" s="272"/>
      <c r="P140" s="272"/>
      <c r="Q140" s="272"/>
      <c r="R140" s="272"/>
      <c r="S140" s="268"/>
      <c r="T140" s="268"/>
      <c r="V140" s="268"/>
      <c r="W140" s="4"/>
      <c r="X140" s="4"/>
      <c r="AG140" s="272"/>
      <c r="DP140" s="18"/>
      <c r="DQ140" s="18"/>
      <c r="DR140" s="18"/>
      <c r="DS140" s="18"/>
      <c r="DT140" s="18"/>
    </row>
    <row r="141" spans="1:163" x14ac:dyDescent="0.25">
      <c r="A141" s="3"/>
      <c r="D141" s="272"/>
      <c r="E141" s="423"/>
      <c r="F141" s="423"/>
      <c r="G141" s="272"/>
      <c r="H141" s="272"/>
      <c r="I141" s="272"/>
      <c r="J141" s="272"/>
      <c r="K141" s="272"/>
      <c r="L141" s="272"/>
      <c r="M141" s="272"/>
      <c r="N141" s="272"/>
      <c r="O141" s="272"/>
      <c r="P141" s="272"/>
      <c r="Q141" s="272"/>
      <c r="R141" s="272"/>
      <c r="S141" s="268"/>
      <c r="T141" s="268"/>
      <c r="V141" s="268"/>
      <c r="W141" s="4"/>
      <c r="X141" s="4"/>
      <c r="AG141" s="272"/>
      <c r="DP141" s="18"/>
      <c r="DQ141" s="18"/>
      <c r="DR141" s="18"/>
      <c r="DS141" s="18"/>
      <c r="DT141" s="18"/>
    </row>
    <row r="142" spans="1:163" x14ac:dyDescent="0.25">
      <c r="A142" s="3"/>
      <c r="D142" s="272"/>
      <c r="E142" s="423"/>
      <c r="F142" s="423"/>
      <c r="G142" s="272"/>
      <c r="H142" s="272"/>
      <c r="I142" s="272"/>
      <c r="J142" s="272"/>
      <c r="K142" s="272"/>
      <c r="L142" s="272"/>
      <c r="M142" s="272"/>
      <c r="N142" s="272"/>
      <c r="O142" s="272"/>
      <c r="P142" s="272"/>
      <c r="Q142" s="272"/>
      <c r="R142" s="272"/>
      <c r="S142" s="268"/>
      <c r="T142" s="268"/>
      <c r="V142" s="268"/>
      <c r="W142" s="4"/>
      <c r="X142" s="4"/>
      <c r="AG142" s="272"/>
      <c r="DP142" s="18"/>
      <c r="DQ142" s="18"/>
      <c r="DR142" s="18"/>
      <c r="DS142" s="18"/>
      <c r="DT142" s="18"/>
    </row>
    <row r="143" spans="1:163" x14ac:dyDescent="0.25">
      <c r="A143" s="3"/>
      <c r="D143" s="272"/>
      <c r="E143" s="423"/>
      <c r="F143" s="423"/>
      <c r="G143" s="272"/>
      <c r="H143" s="272"/>
      <c r="I143" s="272"/>
      <c r="J143" s="272"/>
      <c r="K143" s="272"/>
      <c r="L143" s="272"/>
      <c r="M143" s="272"/>
      <c r="N143" s="272"/>
      <c r="O143" s="272"/>
      <c r="P143" s="272"/>
      <c r="Q143" s="272"/>
      <c r="R143" s="272"/>
      <c r="S143" s="268"/>
      <c r="T143" s="268"/>
      <c r="V143" s="268"/>
      <c r="W143" s="4"/>
      <c r="X143" s="4"/>
      <c r="AG143" s="272"/>
      <c r="DP143" s="18"/>
      <c r="DQ143" s="18"/>
      <c r="DR143" s="18"/>
      <c r="DS143" s="18"/>
      <c r="DT143" s="18"/>
    </row>
    <row r="144" spans="1:163" x14ac:dyDescent="0.25">
      <c r="A144" s="3"/>
      <c r="D144" s="272"/>
      <c r="E144" s="423"/>
      <c r="F144" s="423"/>
      <c r="G144" s="272"/>
      <c r="H144" s="272"/>
      <c r="I144" s="272"/>
      <c r="J144" s="272"/>
      <c r="K144" s="272"/>
      <c r="L144" s="272"/>
      <c r="M144" s="272"/>
      <c r="N144" s="272"/>
      <c r="O144" s="272"/>
      <c r="P144" s="272"/>
      <c r="Q144" s="272"/>
      <c r="R144" s="272"/>
      <c r="S144" s="268"/>
      <c r="T144" s="268"/>
      <c r="V144" s="268"/>
      <c r="W144" s="4"/>
      <c r="X144" s="4"/>
      <c r="AG144" s="272"/>
      <c r="DP144" s="18"/>
      <c r="DQ144" s="18"/>
      <c r="DR144" s="18"/>
      <c r="DS144" s="18"/>
      <c r="DT144" s="18"/>
    </row>
    <row r="145" spans="1:124" x14ac:dyDescent="0.25">
      <c r="A145" s="3"/>
      <c r="D145" s="272"/>
      <c r="E145" s="423"/>
      <c r="F145" s="423"/>
      <c r="G145" s="272"/>
      <c r="H145" s="272"/>
      <c r="I145" s="272"/>
      <c r="J145" s="272"/>
      <c r="K145" s="272"/>
      <c r="L145" s="272"/>
      <c r="M145" s="272"/>
      <c r="N145" s="272"/>
      <c r="O145" s="272"/>
      <c r="P145" s="272"/>
      <c r="Q145" s="272"/>
      <c r="R145" s="272"/>
      <c r="S145" s="268"/>
      <c r="T145" s="268"/>
      <c r="V145" s="268"/>
      <c r="W145" s="4"/>
      <c r="X145" s="4"/>
      <c r="AG145" s="272"/>
      <c r="DP145" s="18"/>
      <c r="DQ145" s="18"/>
      <c r="DR145" s="18"/>
      <c r="DS145" s="18"/>
      <c r="DT145" s="18"/>
    </row>
    <row r="146" spans="1:124" x14ac:dyDescent="0.25">
      <c r="A146" s="3"/>
      <c r="D146" s="272"/>
      <c r="E146" s="423"/>
      <c r="F146" s="423"/>
      <c r="G146" s="272"/>
      <c r="H146" s="272"/>
      <c r="I146" s="272"/>
      <c r="J146" s="272"/>
      <c r="K146" s="272"/>
      <c r="L146" s="272"/>
      <c r="M146" s="272"/>
      <c r="N146" s="272"/>
      <c r="O146" s="272"/>
      <c r="P146" s="272"/>
      <c r="Q146" s="272"/>
      <c r="R146" s="272"/>
      <c r="S146" s="268"/>
      <c r="T146" s="268"/>
      <c r="V146" s="268"/>
      <c r="W146" s="4"/>
      <c r="X146" s="4"/>
      <c r="AG146" s="272"/>
      <c r="DP146" s="18"/>
      <c r="DQ146" s="18"/>
      <c r="DR146" s="18"/>
      <c r="DS146" s="18"/>
      <c r="DT146" s="18"/>
    </row>
    <row r="147" spans="1:124" x14ac:dyDescent="0.25">
      <c r="A147" s="3"/>
      <c r="D147" s="272"/>
      <c r="E147" s="423"/>
      <c r="F147" s="423"/>
      <c r="G147" s="272"/>
      <c r="H147" s="272"/>
      <c r="I147" s="272"/>
      <c r="J147" s="272"/>
      <c r="K147" s="272"/>
      <c r="L147" s="272"/>
      <c r="M147" s="272"/>
      <c r="N147" s="272"/>
      <c r="O147" s="272"/>
      <c r="P147" s="272"/>
      <c r="Q147" s="272"/>
      <c r="R147" s="272"/>
      <c r="S147" s="268"/>
      <c r="T147" s="268"/>
      <c r="V147" s="268"/>
      <c r="W147" s="4"/>
      <c r="X147" s="4"/>
      <c r="AG147" s="272"/>
      <c r="DP147" s="18"/>
      <c r="DQ147" s="18"/>
      <c r="DR147" s="18"/>
      <c r="DS147" s="18"/>
      <c r="DT147" s="18"/>
    </row>
    <row r="148" spans="1:124" x14ac:dyDescent="0.25">
      <c r="A148" s="3"/>
      <c r="D148" s="272"/>
      <c r="E148" s="423"/>
      <c r="F148" s="423"/>
      <c r="G148" s="272"/>
      <c r="H148" s="272"/>
      <c r="I148" s="272"/>
      <c r="J148" s="272"/>
      <c r="K148" s="272"/>
      <c r="L148" s="272"/>
      <c r="M148" s="272"/>
      <c r="N148" s="272"/>
      <c r="O148" s="272"/>
      <c r="P148" s="272"/>
      <c r="Q148" s="272"/>
      <c r="R148" s="272"/>
      <c r="S148" s="268"/>
      <c r="T148" s="268"/>
      <c r="V148" s="268"/>
      <c r="W148" s="4"/>
      <c r="X148" s="4"/>
      <c r="AG148" s="272"/>
      <c r="DP148" s="18"/>
      <c r="DQ148" s="18"/>
      <c r="DR148" s="18"/>
      <c r="DS148" s="18"/>
      <c r="DT148" s="18"/>
    </row>
    <row r="149" spans="1:124" x14ac:dyDescent="0.25">
      <c r="A149" s="3"/>
      <c r="D149" s="272"/>
      <c r="E149" s="423"/>
      <c r="F149" s="423"/>
      <c r="G149" s="272"/>
      <c r="H149" s="272"/>
      <c r="I149" s="272"/>
      <c r="J149" s="272"/>
      <c r="K149" s="272"/>
      <c r="L149" s="272"/>
      <c r="M149" s="272"/>
      <c r="N149" s="272"/>
      <c r="O149" s="272"/>
      <c r="P149" s="272"/>
      <c r="Q149" s="272"/>
      <c r="R149" s="272"/>
      <c r="S149" s="268"/>
      <c r="T149" s="268"/>
      <c r="V149" s="268"/>
      <c r="W149" s="4"/>
      <c r="X149" s="4"/>
      <c r="AG149" s="272"/>
      <c r="DP149" s="18"/>
      <c r="DQ149" s="18"/>
      <c r="DR149" s="18"/>
      <c r="DS149" s="18"/>
      <c r="DT149" s="18"/>
    </row>
    <row r="150" spans="1:124" x14ac:dyDescent="0.25">
      <c r="A150" s="3"/>
      <c r="D150" s="272"/>
      <c r="E150" s="423"/>
      <c r="F150" s="423"/>
      <c r="G150" s="272"/>
      <c r="H150" s="272"/>
      <c r="I150" s="272"/>
      <c r="J150" s="272"/>
      <c r="K150" s="272"/>
      <c r="L150" s="272"/>
      <c r="M150" s="272"/>
      <c r="N150" s="272"/>
      <c r="O150" s="272"/>
      <c r="P150" s="272"/>
      <c r="Q150" s="272"/>
      <c r="R150" s="272"/>
      <c r="S150" s="268"/>
      <c r="T150" s="268"/>
      <c r="V150" s="268"/>
      <c r="W150" s="4"/>
      <c r="X150" s="4"/>
      <c r="AG150" s="272"/>
      <c r="DP150" s="18"/>
      <c r="DQ150" s="18"/>
      <c r="DR150" s="18"/>
      <c r="DS150" s="18"/>
      <c r="DT150" s="18"/>
    </row>
    <row r="151" spans="1:124" x14ac:dyDescent="0.25">
      <c r="A151" s="3"/>
      <c r="D151" s="272"/>
      <c r="E151" s="423"/>
      <c r="F151" s="423"/>
      <c r="G151" s="272"/>
      <c r="H151" s="272"/>
      <c r="I151" s="272"/>
      <c r="J151" s="272"/>
      <c r="K151" s="272"/>
      <c r="L151" s="272"/>
      <c r="M151" s="272"/>
      <c r="N151" s="272"/>
      <c r="O151" s="272"/>
      <c r="P151" s="272"/>
      <c r="Q151" s="272"/>
      <c r="R151" s="272"/>
      <c r="S151" s="268"/>
      <c r="T151" s="268"/>
      <c r="V151" s="268"/>
      <c r="W151" s="4"/>
      <c r="X151" s="4"/>
      <c r="AG151" s="272"/>
      <c r="DP151" s="18"/>
      <c r="DQ151" s="18"/>
      <c r="DR151" s="18"/>
      <c r="DS151" s="18"/>
      <c r="DT151" s="18"/>
    </row>
    <row r="152" spans="1:124" x14ac:dyDescent="0.25">
      <c r="A152" s="3"/>
      <c r="D152" s="272"/>
      <c r="E152" s="423"/>
      <c r="F152" s="423"/>
      <c r="G152" s="272"/>
      <c r="H152" s="272"/>
      <c r="I152" s="272"/>
      <c r="J152" s="272"/>
      <c r="K152" s="272"/>
      <c r="L152" s="272"/>
      <c r="M152" s="272"/>
      <c r="N152" s="272"/>
      <c r="O152" s="272"/>
      <c r="P152" s="272"/>
      <c r="Q152" s="272"/>
      <c r="R152" s="272"/>
      <c r="S152" s="268"/>
      <c r="T152" s="268"/>
      <c r="V152" s="268"/>
      <c r="W152" s="4"/>
      <c r="X152" s="4"/>
      <c r="AG152" s="272"/>
      <c r="DP152" s="18"/>
      <c r="DQ152" s="18"/>
      <c r="DR152" s="18"/>
      <c r="DS152" s="18"/>
      <c r="DT152" s="18"/>
    </row>
    <row r="153" spans="1:124" x14ac:dyDescent="0.25">
      <c r="A153" s="3"/>
      <c r="D153" s="272"/>
      <c r="E153" s="423"/>
      <c r="F153" s="423"/>
      <c r="G153" s="272"/>
      <c r="H153" s="272"/>
      <c r="I153" s="272"/>
      <c r="J153" s="272"/>
      <c r="K153" s="272"/>
      <c r="L153" s="272"/>
      <c r="M153" s="272"/>
      <c r="N153" s="272"/>
      <c r="O153" s="272"/>
      <c r="P153" s="272"/>
      <c r="Q153" s="272"/>
      <c r="R153" s="272"/>
      <c r="S153" s="268"/>
      <c r="T153" s="268"/>
      <c r="V153" s="268"/>
      <c r="W153" s="4"/>
      <c r="X153" s="4"/>
      <c r="AG153" s="272"/>
      <c r="DP153" s="18"/>
      <c r="DQ153" s="18"/>
      <c r="DR153" s="18"/>
      <c r="DS153" s="18"/>
      <c r="DT153" s="18"/>
    </row>
    <row r="154" spans="1:124" x14ac:dyDescent="0.25">
      <c r="A154" s="3"/>
      <c r="D154" s="272"/>
      <c r="E154" s="423"/>
      <c r="F154" s="423"/>
      <c r="G154" s="272"/>
      <c r="H154" s="272"/>
      <c r="I154" s="272"/>
      <c r="J154" s="272"/>
      <c r="K154" s="272"/>
      <c r="L154" s="272"/>
      <c r="M154" s="272"/>
      <c r="N154" s="272"/>
      <c r="O154" s="272"/>
      <c r="P154" s="272"/>
      <c r="Q154" s="272"/>
      <c r="R154" s="272"/>
      <c r="S154" s="268"/>
      <c r="T154" s="268"/>
      <c r="V154" s="268"/>
      <c r="W154" s="4"/>
      <c r="X154" s="4"/>
      <c r="AG154" s="272"/>
      <c r="DP154" s="18"/>
      <c r="DQ154" s="18"/>
      <c r="DR154" s="18"/>
      <c r="DS154" s="18"/>
      <c r="DT154" s="18"/>
    </row>
    <row r="155" spans="1:124" x14ac:dyDescent="0.25">
      <c r="A155" s="3"/>
      <c r="D155" s="272"/>
      <c r="E155" s="423"/>
      <c r="F155" s="423"/>
      <c r="G155" s="272"/>
      <c r="H155" s="272"/>
      <c r="I155" s="272"/>
      <c r="J155" s="272"/>
      <c r="K155" s="272"/>
      <c r="L155" s="272"/>
      <c r="M155" s="272"/>
      <c r="N155" s="272"/>
      <c r="O155" s="272"/>
      <c r="P155" s="272"/>
      <c r="Q155" s="272"/>
      <c r="R155" s="272"/>
      <c r="S155" s="268"/>
      <c r="T155" s="268"/>
      <c r="V155" s="268"/>
      <c r="W155" s="4"/>
      <c r="X155" s="4"/>
      <c r="AG155" s="272"/>
      <c r="DP155" s="18"/>
      <c r="DQ155" s="18"/>
      <c r="DR155" s="18"/>
      <c r="DS155" s="18"/>
      <c r="DT155" s="18"/>
    </row>
    <row r="156" spans="1:124" x14ac:dyDescent="0.25">
      <c r="A156" s="3"/>
      <c r="D156" s="272"/>
      <c r="E156" s="423"/>
      <c r="F156" s="423"/>
      <c r="G156" s="272"/>
      <c r="H156" s="272"/>
      <c r="I156" s="272"/>
      <c r="J156" s="272"/>
      <c r="K156" s="272"/>
      <c r="L156" s="272"/>
      <c r="M156" s="272"/>
      <c r="N156" s="272"/>
      <c r="O156" s="272"/>
      <c r="P156" s="272"/>
      <c r="Q156" s="272"/>
      <c r="R156" s="272"/>
      <c r="S156" s="268"/>
      <c r="T156" s="268"/>
      <c r="V156" s="268"/>
      <c r="W156" s="4"/>
      <c r="X156" s="4"/>
      <c r="AG156" s="272"/>
      <c r="DP156" s="18"/>
      <c r="DQ156" s="18"/>
      <c r="DR156" s="18"/>
      <c r="DS156" s="18"/>
      <c r="DT156" s="18"/>
    </row>
    <row r="157" spans="1:124" x14ac:dyDescent="0.25">
      <c r="A157" s="3"/>
      <c r="D157" s="272"/>
      <c r="E157" s="423"/>
      <c r="F157" s="423"/>
      <c r="G157" s="272"/>
      <c r="H157" s="272"/>
      <c r="I157" s="272"/>
      <c r="J157" s="272"/>
      <c r="K157" s="272"/>
      <c r="L157" s="272"/>
      <c r="M157" s="272"/>
      <c r="N157" s="272"/>
      <c r="O157" s="272"/>
      <c r="P157" s="272"/>
      <c r="Q157" s="272"/>
      <c r="R157" s="272"/>
      <c r="S157" s="268"/>
      <c r="T157" s="268"/>
      <c r="V157" s="268"/>
      <c r="W157" s="4"/>
      <c r="X157" s="4"/>
      <c r="AG157" s="272"/>
      <c r="DP157" s="18"/>
      <c r="DQ157" s="18"/>
      <c r="DR157" s="18"/>
      <c r="DS157" s="18"/>
      <c r="DT157" s="18"/>
    </row>
    <row r="158" spans="1:124" x14ac:dyDescent="0.25">
      <c r="A158" s="3"/>
      <c r="D158" s="272"/>
      <c r="E158" s="423"/>
      <c r="F158" s="423"/>
      <c r="G158" s="272"/>
      <c r="H158" s="272"/>
      <c r="I158" s="272"/>
      <c r="J158" s="272"/>
      <c r="K158" s="272"/>
      <c r="L158" s="272"/>
      <c r="M158" s="272"/>
      <c r="N158" s="272"/>
      <c r="O158" s="272"/>
      <c r="P158" s="272"/>
      <c r="Q158" s="272"/>
      <c r="R158" s="272"/>
      <c r="S158" s="268"/>
      <c r="T158" s="268"/>
      <c r="V158" s="268"/>
      <c r="W158" s="4"/>
      <c r="X158" s="4"/>
      <c r="AG158" s="272"/>
      <c r="DP158" s="18"/>
      <c r="DQ158" s="18"/>
      <c r="DR158" s="18"/>
      <c r="DS158" s="18"/>
      <c r="DT158" s="18"/>
    </row>
    <row r="159" spans="1:124" x14ac:dyDescent="0.25">
      <c r="A159" s="3"/>
      <c r="D159" s="272"/>
      <c r="E159" s="423"/>
      <c r="F159" s="423"/>
      <c r="G159" s="272"/>
      <c r="H159" s="272"/>
      <c r="I159" s="272"/>
      <c r="J159" s="272"/>
      <c r="K159" s="272"/>
      <c r="L159" s="272"/>
      <c r="M159" s="272"/>
      <c r="N159" s="272"/>
      <c r="O159" s="272"/>
      <c r="P159" s="272"/>
      <c r="Q159" s="272"/>
      <c r="R159" s="272"/>
      <c r="S159" s="268"/>
      <c r="T159" s="268"/>
      <c r="V159" s="268"/>
      <c r="W159" s="4"/>
      <c r="X159" s="4"/>
      <c r="AG159" s="272"/>
      <c r="DP159" s="18"/>
      <c r="DQ159" s="18"/>
      <c r="DR159" s="18"/>
      <c r="DS159" s="18"/>
      <c r="DT159" s="18"/>
    </row>
    <row r="160" spans="1:124" x14ac:dyDescent="0.25">
      <c r="A160" s="3"/>
      <c r="D160" s="272"/>
      <c r="E160" s="423"/>
      <c r="F160" s="423"/>
      <c r="G160" s="272"/>
      <c r="H160" s="272"/>
      <c r="I160" s="272"/>
      <c r="J160" s="272"/>
      <c r="K160" s="272"/>
      <c r="L160" s="272"/>
      <c r="M160" s="272"/>
      <c r="N160" s="272"/>
      <c r="O160" s="272"/>
      <c r="P160" s="272"/>
      <c r="Q160" s="272"/>
      <c r="R160" s="272"/>
      <c r="S160" s="268"/>
      <c r="T160" s="268"/>
      <c r="V160" s="268"/>
      <c r="W160" s="4"/>
      <c r="X160" s="4"/>
      <c r="AG160" s="272"/>
      <c r="DP160" s="18"/>
      <c r="DQ160" s="18"/>
      <c r="DR160" s="18"/>
      <c r="DS160" s="18"/>
      <c r="DT160" s="18"/>
    </row>
    <row r="161" spans="1:124" x14ac:dyDescent="0.25">
      <c r="A161" s="3"/>
      <c r="D161" s="272"/>
      <c r="E161" s="423"/>
      <c r="F161" s="423"/>
      <c r="G161" s="272"/>
      <c r="H161" s="272"/>
      <c r="I161" s="272"/>
      <c r="J161" s="272"/>
      <c r="K161" s="272"/>
      <c r="L161" s="272"/>
      <c r="M161" s="272"/>
      <c r="N161" s="272"/>
      <c r="O161" s="272"/>
      <c r="P161" s="272"/>
      <c r="Q161" s="272"/>
      <c r="R161" s="272"/>
      <c r="S161" s="268"/>
      <c r="T161" s="268"/>
      <c r="V161" s="268"/>
      <c r="W161" s="4"/>
      <c r="X161" s="4"/>
      <c r="AG161" s="272"/>
      <c r="DP161" s="18"/>
      <c r="DQ161" s="18"/>
      <c r="DR161" s="18"/>
      <c r="DS161" s="18"/>
      <c r="DT161" s="18"/>
    </row>
    <row r="162" spans="1:124" x14ac:dyDescent="0.25">
      <c r="A162" s="3"/>
      <c r="D162" s="272"/>
      <c r="E162" s="423"/>
      <c r="F162" s="423"/>
      <c r="G162" s="272"/>
      <c r="H162" s="272"/>
      <c r="I162" s="272"/>
      <c r="J162" s="272"/>
      <c r="K162" s="272"/>
      <c r="L162" s="272"/>
      <c r="M162" s="272"/>
      <c r="N162" s="272"/>
      <c r="O162" s="272"/>
      <c r="P162" s="272"/>
      <c r="Q162" s="272"/>
      <c r="R162" s="272"/>
      <c r="S162" s="268"/>
      <c r="T162" s="268"/>
      <c r="V162" s="268"/>
      <c r="W162" s="4"/>
      <c r="X162" s="4"/>
      <c r="AG162" s="272"/>
      <c r="DP162" s="18"/>
      <c r="DQ162" s="18"/>
      <c r="DR162" s="18"/>
      <c r="DS162" s="18"/>
      <c r="DT162" s="18"/>
    </row>
    <row r="163" spans="1:124" x14ac:dyDescent="0.25">
      <c r="A163" s="3"/>
      <c r="D163" s="272"/>
      <c r="E163" s="423"/>
      <c r="F163" s="423"/>
      <c r="G163" s="272"/>
      <c r="H163" s="272"/>
      <c r="I163" s="272"/>
      <c r="J163" s="272"/>
      <c r="K163" s="272"/>
      <c r="L163" s="272"/>
      <c r="M163" s="272"/>
      <c r="N163" s="272"/>
      <c r="O163" s="272"/>
      <c r="P163" s="272"/>
      <c r="Q163" s="272"/>
      <c r="R163" s="272"/>
      <c r="S163" s="268"/>
      <c r="T163" s="268"/>
      <c r="V163" s="268"/>
      <c r="W163" s="4"/>
      <c r="X163" s="4"/>
      <c r="AG163" s="272"/>
      <c r="DP163" s="18"/>
      <c r="DQ163" s="18"/>
      <c r="DR163" s="18"/>
      <c r="DS163" s="18"/>
      <c r="DT163" s="18"/>
    </row>
    <row r="164" spans="1:124" x14ac:dyDescent="0.25">
      <c r="A164" s="3"/>
      <c r="D164" s="272"/>
      <c r="E164" s="423"/>
      <c r="F164" s="423"/>
      <c r="G164" s="272"/>
      <c r="H164" s="272"/>
      <c r="I164" s="272"/>
      <c r="J164" s="272"/>
      <c r="K164" s="272"/>
      <c r="L164" s="272"/>
      <c r="M164" s="272"/>
      <c r="N164" s="272"/>
      <c r="O164" s="272"/>
      <c r="P164" s="272"/>
      <c r="Q164" s="272"/>
      <c r="R164" s="272"/>
      <c r="S164" s="268"/>
      <c r="T164" s="268"/>
      <c r="V164" s="268"/>
      <c r="W164" s="4"/>
      <c r="X164" s="4"/>
      <c r="AG164" s="272"/>
      <c r="DP164" s="18"/>
      <c r="DQ164" s="18"/>
      <c r="DR164" s="18"/>
      <c r="DS164" s="18"/>
      <c r="DT164" s="18"/>
    </row>
    <row r="165" spans="1:124" x14ac:dyDescent="0.25">
      <c r="A165" s="3"/>
      <c r="D165" s="272"/>
      <c r="E165" s="423"/>
      <c r="F165" s="423"/>
      <c r="G165" s="272"/>
      <c r="H165" s="272"/>
      <c r="I165" s="272"/>
      <c r="J165" s="272"/>
      <c r="K165" s="272"/>
      <c r="L165" s="272"/>
      <c r="M165" s="272"/>
      <c r="N165" s="272"/>
      <c r="O165" s="272"/>
      <c r="P165" s="272"/>
      <c r="Q165" s="272"/>
      <c r="R165" s="272"/>
      <c r="S165" s="268"/>
      <c r="T165" s="268"/>
      <c r="V165" s="268"/>
      <c r="W165" s="4"/>
      <c r="X165" s="4"/>
      <c r="AG165" s="272"/>
      <c r="DP165" s="18"/>
      <c r="DQ165" s="18"/>
      <c r="DR165" s="18"/>
      <c r="DS165" s="18"/>
      <c r="DT165" s="18"/>
    </row>
    <row r="166" spans="1:124" x14ac:dyDescent="0.25">
      <c r="A166" s="3"/>
      <c r="D166" s="272"/>
      <c r="E166" s="423"/>
      <c r="F166" s="423"/>
      <c r="G166" s="272"/>
      <c r="H166" s="272"/>
      <c r="I166" s="272"/>
      <c r="J166" s="272"/>
      <c r="K166" s="272"/>
      <c r="L166" s="272"/>
      <c r="M166" s="272"/>
      <c r="N166" s="272"/>
      <c r="O166" s="272"/>
      <c r="P166" s="272"/>
      <c r="Q166" s="272"/>
      <c r="R166" s="272"/>
      <c r="S166" s="268"/>
      <c r="T166" s="268"/>
      <c r="V166" s="268"/>
      <c r="W166" s="4"/>
      <c r="X166" s="4"/>
      <c r="AG166" s="272"/>
      <c r="DP166" s="18"/>
      <c r="DQ166" s="18"/>
      <c r="DR166" s="18"/>
      <c r="DS166" s="18"/>
      <c r="DT166" s="18"/>
    </row>
    <row r="167" spans="1:124" x14ac:dyDescent="0.25">
      <c r="A167" s="3"/>
      <c r="D167" s="272"/>
      <c r="E167" s="423"/>
      <c r="F167" s="423"/>
      <c r="G167" s="272"/>
      <c r="H167" s="272"/>
      <c r="I167" s="272"/>
      <c r="J167" s="272"/>
      <c r="K167" s="272"/>
      <c r="L167" s="272"/>
      <c r="M167" s="272"/>
      <c r="N167" s="272"/>
      <c r="O167" s="272"/>
      <c r="P167" s="272"/>
      <c r="Q167" s="272"/>
      <c r="R167" s="272"/>
      <c r="S167" s="268"/>
      <c r="T167" s="268"/>
      <c r="V167" s="268"/>
      <c r="W167" s="4"/>
      <c r="X167" s="4"/>
      <c r="AG167" s="272"/>
      <c r="DP167" s="18"/>
      <c r="DQ167" s="18"/>
      <c r="DR167" s="18"/>
      <c r="DS167" s="18"/>
      <c r="DT167" s="18"/>
    </row>
    <row r="168" spans="1:124" x14ac:dyDescent="0.25">
      <c r="A168" s="3"/>
      <c r="D168" s="272"/>
      <c r="E168" s="423"/>
      <c r="F168" s="423"/>
      <c r="G168" s="272"/>
      <c r="H168" s="272"/>
      <c r="I168" s="272"/>
      <c r="J168" s="272"/>
      <c r="K168" s="272"/>
      <c r="L168" s="272"/>
      <c r="M168" s="272"/>
      <c r="N168" s="272"/>
      <c r="O168" s="272"/>
      <c r="P168" s="272"/>
      <c r="Q168" s="272"/>
      <c r="R168" s="272"/>
      <c r="S168" s="268"/>
      <c r="T168" s="268"/>
      <c r="V168" s="268"/>
      <c r="W168" s="4"/>
      <c r="X168" s="4"/>
      <c r="AG168" s="272"/>
      <c r="DP168" s="18"/>
      <c r="DQ168" s="18"/>
      <c r="DR168" s="18"/>
      <c r="DS168" s="18"/>
      <c r="DT168" s="18"/>
    </row>
    <row r="169" spans="1:124" x14ac:dyDescent="0.25">
      <c r="A169" s="3"/>
      <c r="D169" s="272"/>
      <c r="E169" s="423"/>
      <c r="F169" s="423"/>
      <c r="G169" s="272"/>
      <c r="H169" s="272"/>
      <c r="I169" s="272"/>
      <c r="J169" s="272"/>
      <c r="K169" s="272"/>
      <c r="L169" s="272"/>
      <c r="M169" s="272"/>
      <c r="N169" s="272"/>
      <c r="O169" s="272"/>
      <c r="P169" s="272"/>
      <c r="Q169" s="272"/>
      <c r="R169" s="272"/>
      <c r="S169" s="268"/>
      <c r="T169" s="268"/>
      <c r="V169" s="268"/>
      <c r="W169" s="4"/>
      <c r="X169" s="4"/>
      <c r="AG169" s="272"/>
      <c r="DP169" s="18"/>
      <c r="DQ169" s="18"/>
      <c r="DR169" s="18"/>
      <c r="DS169" s="18"/>
      <c r="DT169" s="18"/>
    </row>
    <row r="170" spans="1:124" x14ac:dyDescent="0.25">
      <c r="A170" s="3"/>
      <c r="D170" s="272"/>
      <c r="E170" s="423"/>
      <c r="F170" s="423"/>
      <c r="G170" s="272"/>
      <c r="H170" s="272"/>
      <c r="I170" s="272"/>
      <c r="J170" s="272"/>
      <c r="K170" s="272"/>
      <c r="L170" s="272"/>
      <c r="M170" s="272"/>
      <c r="N170" s="272"/>
      <c r="O170" s="272"/>
      <c r="P170" s="272"/>
      <c r="Q170" s="272"/>
      <c r="R170" s="272"/>
      <c r="S170" s="268"/>
      <c r="T170" s="268"/>
      <c r="V170" s="268"/>
      <c r="W170" s="4"/>
      <c r="X170" s="4"/>
      <c r="AG170" s="272"/>
      <c r="DP170" s="18"/>
      <c r="DQ170" s="18"/>
      <c r="DR170" s="18"/>
      <c r="DS170" s="18"/>
      <c r="DT170" s="18"/>
    </row>
    <row r="171" spans="1:124" x14ac:dyDescent="0.25">
      <c r="A171" s="3"/>
      <c r="D171" s="272"/>
      <c r="E171" s="423"/>
      <c r="F171" s="423"/>
      <c r="G171" s="272"/>
      <c r="H171" s="272"/>
      <c r="I171" s="272"/>
      <c r="J171" s="272"/>
      <c r="K171" s="272"/>
      <c r="L171" s="272"/>
      <c r="M171" s="272"/>
      <c r="N171" s="272"/>
      <c r="O171" s="272"/>
      <c r="P171" s="272"/>
      <c r="Q171" s="272"/>
      <c r="R171" s="272"/>
      <c r="S171" s="268"/>
      <c r="T171" s="268"/>
      <c r="V171" s="268"/>
      <c r="W171" s="4"/>
      <c r="X171" s="4"/>
      <c r="AG171" s="272"/>
      <c r="DP171" s="18"/>
      <c r="DQ171" s="18"/>
      <c r="DR171" s="18"/>
      <c r="DS171" s="18"/>
      <c r="DT171" s="18"/>
    </row>
    <row r="172" spans="1:124" x14ac:dyDescent="0.25">
      <c r="A172" s="3"/>
      <c r="D172" s="272"/>
      <c r="E172" s="423"/>
      <c r="F172" s="423"/>
      <c r="G172" s="272"/>
      <c r="H172" s="272"/>
      <c r="I172" s="272"/>
      <c r="J172" s="272"/>
      <c r="K172" s="272"/>
      <c r="L172" s="272"/>
      <c r="M172" s="272"/>
      <c r="N172" s="272"/>
      <c r="O172" s="272"/>
      <c r="P172" s="272"/>
      <c r="Q172" s="272"/>
      <c r="R172" s="272"/>
      <c r="S172" s="268"/>
      <c r="T172" s="268"/>
      <c r="V172" s="268"/>
      <c r="W172" s="4"/>
      <c r="X172" s="4"/>
      <c r="AG172" s="272"/>
      <c r="DP172" s="18"/>
      <c r="DQ172" s="18"/>
      <c r="DR172" s="18"/>
      <c r="DS172" s="18"/>
      <c r="DT172" s="18"/>
    </row>
    <row r="173" spans="1:124" x14ac:dyDescent="0.25">
      <c r="A173" s="3"/>
      <c r="D173" s="272"/>
      <c r="E173" s="423"/>
      <c r="F173" s="423"/>
      <c r="G173" s="272"/>
      <c r="H173" s="272"/>
      <c r="I173" s="272"/>
      <c r="J173" s="272"/>
      <c r="K173" s="272"/>
      <c r="L173" s="272"/>
      <c r="M173" s="272"/>
      <c r="N173" s="272"/>
      <c r="O173" s="272"/>
      <c r="P173" s="272"/>
      <c r="Q173" s="272"/>
      <c r="R173" s="272"/>
      <c r="S173" s="268"/>
      <c r="T173" s="268"/>
      <c r="V173" s="268"/>
      <c r="W173" s="4"/>
      <c r="X173" s="4"/>
      <c r="AG173" s="272"/>
      <c r="DP173" s="18"/>
      <c r="DQ173" s="18"/>
      <c r="DR173" s="18"/>
      <c r="DS173" s="18"/>
      <c r="DT173" s="18"/>
    </row>
    <row r="174" spans="1:124" x14ac:dyDescent="0.25">
      <c r="A174" s="3"/>
      <c r="D174" s="272"/>
      <c r="E174" s="423"/>
      <c r="F174" s="423"/>
      <c r="G174" s="272"/>
      <c r="H174" s="272"/>
      <c r="I174" s="272"/>
      <c r="J174" s="272"/>
      <c r="K174" s="272"/>
      <c r="L174" s="272"/>
      <c r="M174" s="272"/>
      <c r="N174" s="272"/>
      <c r="O174" s="272"/>
      <c r="P174" s="272"/>
      <c r="Q174" s="272"/>
      <c r="R174" s="272"/>
      <c r="S174" s="268"/>
      <c r="T174" s="268"/>
      <c r="V174" s="268"/>
      <c r="W174" s="4"/>
      <c r="X174" s="4"/>
      <c r="AG174" s="272"/>
      <c r="DP174" s="18"/>
      <c r="DQ174" s="18"/>
      <c r="DR174" s="18"/>
      <c r="DS174" s="18"/>
      <c r="DT174" s="18"/>
    </row>
    <row r="175" spans="1:124" x14ac:dyDescent="0.25">
      <c r="A175" s="3"/>
      <c r="D175" s="272"/>
      <c r="E175" s="423"/>
      <c r="F175" s="423"/>
      <c r="G175" s="272"/>
      <c r="H175" s="272"/>
      <c r="I175" s="272"/>
      <c r="J175" s="272"/>
      <c r="K175" s="272"/>
      <c r="L175" s="272"/>
      <c r="M175" s="272"/>
      <c r="N175" s="272"/>
      <c r="O175" s="272"/>
      <c r="P175" s="272"/>
      <c r="Q175" s="272"/>
      <c r="R175" s="272"/>
      <c r="S175" s="268"/>
      <c r="T175" s="268"/>
      <c r="V175" s="268"/>
      <c r="W175" s="4"/>
      <c r="X175" s="4"/>
      <c r="AG175" s="272"/>
      <c r="DP175" s="18"/>
      <c r="DQ175" s="18"/>
      <c r="DR175" s="18"/>
      <c r="DS175" s="18"/>
      <c r="DT175" s="18"/>
    </row>
    <row r="176" spans="1:124" x14ac:dyDescent="0.25">
      <c r="A176" s="3"/>
      <c r="D176" s="272"/>
      <c r="E176" s="423"/>
      <c r="F176" s="423"/>
      <c r="G176" s="272"/>
      <c r="H176" s="272"/>
      <c r="I176" s="272"/>
      <c r="J176" s="272"/>
      <c r="K176" s="272"/>
      <c r="L176" s="272"/>
      <c r="M176" s="272"/>
      <c r="N176" s="272"/>
      <c r="O176" s="272"/>
      <c r="P176" s="272"/>
      <c r="Q176" s="272"/>
      <c r="R176" s="272"/>
      <c r="S176" s="268"/>
      <c r="T176" s="268"/>
      <c r="V176" s="268"/>
      <c r="W176" s="4"/>
      <c r="X176" s="4"/>
      <c r="AG176" s="272"/>
      <c r="DP176" s="18"/>
      <c r="DQ176" s="18"/>
      <c r="DR176" s="18"/>
      <c r="DS176" s="18"/>
      <c r="DT176" s="18"/>
    </row>
    <row r="177" spans="1:127" x14ac:dyDescent="0.25">
      <c r="A177" s="3"/>
      <c r="D177" s="272"/>
      <c r="E177" s="423"/>
      <c r="F177" s="423"/>
      <c r="G177" s="272"/>
      <c r="H177" s="272"/>
      <c r="I177" s="272"/>
      <c r="J177" s="272"/>
      <c r="K177" s="272"/>
      <c r="L177" s="272"/>
      <c r="M177" s="272"/>
      <c r="N177" s="272"/>
      <c r="O177" s="272"/>
      <c r="P177" s="272"/>
      <c r="Q177" s="272"/>
      <c r="R177" s="272"/>
      <c r="S177" s="268"/>
      <c r="T177" s="268"/>
      <c r="V177" s="268"/>
      <c r="W177" s="4"/>
      <c r="X177" s="4"/>
      <c r="AG177" s="272"/>
      <c r="DP177" s="18"/>
      <c r="DQ177" s="18"/>
      <c r="DR177" s="18"/>
      <c r="DS177" s="18"/>
      <c r="DT177" s="18"/>
    </row>
    <row r="178" spans="1:127" x14ac:dyDescent="0.25">
      <c r="A178" s="3"/>
      <c r="D178" s="272"/>
      <c r="E178" s="423"/>
      <c r="F178" s="423"/>
      <c r="G178" s="272"/>
      <c r="H178" s="272"/>
      <c r="I178" s="272"/>
      <c r="J178" s="272"/>
      <c r="K178" s="272"/>
      <c r="L178" s="272"/>
      <c r="M178" s="272"/>
      <c r="N178" s="272"/>
      <c r="O178" s="272"/>
      <c r="P178" s="272"/>
      <c r="Q178" s="272"/>
      <c r="R178" s="272"/>
      <c r="S178" s="268"/>
      <c r="T178" s="268"/>
      <c r="V178" s="268"/>
      <c r="W178" s="4"/>
      <c r="X178" s="4"/>
      <c r="AG178" s="272"/>
      <c r="DP178" s="18"/>
      <c r="DQ178" s="18"/>
      <c r="DR178" s="18"/>
      <c r="DS178" s="18"/>
      <c r="DT178" s="18"/>
    </row>
    <row r="179" spans="1:127" x14ac:dyDescent="0.25">
      <c r="A179" s="3"/>
      <c r="D179" s="272"/>
      <c r="E179" s="423"/>
      <c r="F179" s="423"/>
      <c r="G179" s="272"/>
      <c r="H179" s="272"/>
      <c r="I179" s="272"/>
      <c r="J179" s="272"/>
      <c r="K179" s="272"/>
      <c r="L179" s="272"/>
      <c r="M179" s="272"/>
      <c r="N179" s="272"/>
      <c r="O179" s="272"/>
      <c r="P179" s="272"/>
      <c r="Q179" s="272"/>
      <c r="R179" s="272"/>
      <c r="S179" s="268"/>
      <c r="T179" s="268"/>
      <c r="V179" s="268"/>
      <c r="W179" s="4"/>
      <c r="X179" s="4"/>
      <c r="AG179" s="272"/>
      <c r="DP179" s="18"/>
      <c r="DQ179" s="18"/>
      <c r="DR179" s="18"/>
      <c r="DS179" s="18"/>
      <c r="DT179" s="18"/>
    </row>
    <row r="180" spans="1:127" x14ac:dyDescent="0.25">
      <c r="A180" s="3"/>
      <c r="D180" s="272"/>
      <c r="E180" s="423"/>
      <c r="F180" s="423"/>
      <c r="G180" s="272"/>
      <c r="H180" s="272"/>
      <c r="I180" s="272"/>
      <c r="J180" s="272"/>
      <c r="K180" s="272"/>
      <c r="L180" s="272"/>
      <c r="M180" s="272"/>
      <c r="N180" s="272"/>
      <c r="O180" s="272"/>
      <c r="P180" s="272"/>
      <c r="Q180" s="272"/>
      <c r="R180" s="272"/>
      <c r="S180" s="268"/>
      <c r="T180" s="268"/>
      <c r="V180" s="268"/>
      <c r="W180" s="4"/>
      <c r="X180" s="4"/>
      <c r="AG180" s="272"/>
      <c r="DP180" s="18"/>
      <c r="DQ180" s="18"/>
      <c r="DR180" s="18"/>
      <c r="DS180" s="18"/>
      <c r="DT180" s="18"/>
    </row>
    <row r="181" spans="1:127" x14ac:dyDescent="0.25">
      <c r="A181" s="3"/>
      <c r="D181" s="272"/>
      <c r="E181" s="423"/>
      <c r="F181" s="423"/>
      <c r="G181" s="272"/>
      <c r="H181" s="272"/>
      <c r="I181" s="272"/>
      <c r="J181" s="272"/>
      <c r="K181" s="272"/>
      <c r="L181" s="272"/>
      <c r="M181" s="272"/>
      <c r="N181" s="272"/>
      <c r="O181" s="272"/>
      <c r="P181" s="272"/>
      <c r="Q181" s="272"/>
      <c r="R181" s="272"/>
      <c r="S181" s="268"/>
      <c r="T181" s="268"/>
      <c r="V181" s="268"/>
      <c r="W181" s="4"/>
      <c r="X181" s="4"/>
      <c r="AG181" s="272"/>
      <c r="DP181" s="18"/>
      <c r="DQ181" s="18"/>
      <c r="DR181" s="18"/>
      <c r="DS181" s="18"/>
      <c r="DT181" s="18"/>
    </row>
    <row r="182" spans="1:127" x14ac:dyDescent="0.25">
      <c r="A182" s="3"/>
      <c r="D182" s="272"/>
      <c r="E182" s="423"/>
      <c r="F182" s="423"/>
      <c r="G182" s="272"/>
      <c r="H182" s="272"/>
      <c r="I182" s="272"/>
      <c r="J182" s="272"/>
      <c r="K182" s="272"/>
      <c r="L182" s="272"/>
      <c r="M182" s="272"/>
      <c r="N182" s="272"/>
      <c r="O182" s="272"/>
      <c r="P182" s="272"/>
      <c r="Q182" s="272"/>
      <c r="R182" s="272"/>
      <c r="S182" s="268"/>
      <c r="T182" s="268"/>
      <c r="V182" s="268"/>
      <c r="W182" s="4"/>
      <c r="X182" s="4"/>
      <c r="AG182" s="272"/>
      <c r="DP182" s="18"/>
      <c r="DQ182" s="18"/>
      <c r="DR182" s="18"/>
      <c r="DS182" s="18"/>
      <c r="DT182" s="18"/>
      <c r="DU182" s="18"/>
      <c r="DV182" s="18"/>
      <c r="DW182" s="18"/>
    </row>
    <row r="183" spans="1:127" x14ac:dyDescent="0.25">
      <c r="A183" s="3"/>
      <c r="D183" s="272"/>
      <c r="E183" s="423"/>
      <c r="F183" s="423"/>
      <c r="G183" s="272"/>
      <c r="H183" s="272"/>
      <c r="I183" s="272"/>
      <c r="J183" s="272"/>
      <c r="K183" s="272"/>
      <c r="L183" s="272"/>
      <c r="M183" s="272"/>
      <c r="N183" s="272"/>
      <c r="O183" s="272"/>
      <c r="P183" s="272"/>
      <c r="Q183" s="272"/>
      <c r="R183" s="272"/>
      <c r="S183" s="268"/>
      <c r="T183" s="268"/>
      <c r="V183" s="268"/>
      <c r="W183" s="4"/>
      <c r="X183" s="4"/>
      <c r="AG183" s="272"/>
      <c r="DP183" s="18"/>
      <c r="DQ183" s="18"/>
      <c r="DR183" s="18"/>
      <c r="DS183" s="18"/>
      <c r="DT183" s="18"/>
      <c r="DU183" s="18"/>
      <c r="DV183" s="18"/>
      <c r="DW183" s="18"/>
    </row>
    <row r="184" spans="1:127" x14ac:dyDescent="0.25">
      <c r="A184" s="3"/>
      <c r="D184" s="272"/>
      <c r="E184" s="423"/>
      <c r="F184" s="423"/>
      <c r="G184" s="272"/>
      <c r="H184" s="272"/>
      <c r="I184" s="272"/>
      <c r="J184" s="272"/>
      <c r="K184" s="272"/>
      <c r="L184" s="272"/>
      <c r="M184" s="272"/>
      <c r="N184" s="272"/>
      <c r="O184" s="272"/>
      <c r="P184" s="272"/>
      <c r="Q184" s="272"/>
      <c r="R184" s="272"/>
      <c r="S184" s="268"/>
      <c r="T184" s="268"/>
      <c r="V184" s="268"/>
      <c r="W184" s="4"/>
      <c r="X184" s="4"/>
      <c r="AG184" s="272"/>
      <c r="DP184" s="18"/>
      <c r="DQ184" s="18"/>
      <c r="DR184" s="18"/>
      <c r="DS184" s="18"/>
      <c r="DT184" s="18"/>
      <c r="DU184" s="18"/>
      <c r="DV184" s="18"/>
      <c r="DW184" s="18"/>
    </row>
    <row r="185" spans="1:127" x14ac:dyDescent="0.25">
      <c r="A185" s="3"/>
      <c r="D185" s="272"/>
      <c r="E185" s="423"/>
      <c r="F185" s="423"/>
      <c r="G185" s="272"/>
      <c r="H185" s="272"/>
      <c r="I185" s="272"/>
      <c r="J185" s="272"/>
      <c r="K185" s="272"/>
      <c r="L185" s="272"/>
      <c r="M185" s="272"/>
      <c r="N185" s="272"/>
      <c r="O185" s="272"/>
      <c r="P185" s="272"/>
      <c r="Q185" s="272"/>
      <c r="R185" s="272"/>
      <c r="S185" s="268"/>
      <c r="T185" s="268"/>
      <c r="V185" s="268"/>
      <c r="W185" s="4"/>
      <c r="X185" s="4"/>
      <c r="AG185" s="272"/>
      <c r="DP185" s="18"/>
      <c r="DQ185" s="18"/>
      <c r="DR185" s="18"/>
      <c r="DS185" s="18"/>
      <c r="DT185" s="18"/>
      <c r="DU185" s="18"/>
      <c r="DV185" s="18"/>
      <c r="DW185" s="18"/>
    </row>
    <row r="186" spans="1:127" x14ac:dyDescent="0.25">
      <c r="A186" s="3"/>
      <c r="D186" s="272"/>
      <c r="E186" s="423"/>
      <c r="F186" s="423"/>
      <c r="G186" s="272"/>
      <c r="H186" s="272"/>
      <c r="I186" s="272"/>
      <c r="J186" s="272"/>
      <c r="K186" s="272"/>
      <c r="L186" s="272"/>
      <c r="M186" s="272"/>
      <c r="N186" s="272"/>
      <c r="O186" s="272"/>
      <c r="P186" s="272"/>
      <c r="Q186" s="272"/>
      <c r="R186" s="272"/>
      <c r="S186" s="268"/>
      <c r="T186" s="268"/>
      <c r="V186" s="268"/>
      <c r="W186" s="4"/>
      <c r="X186" s="4"/>
      <c r="AG186" s="272"/>
      <c r="DP186" s="18"/>
      <c r="DQ186" s="18"/>
      <c r="DR186" s="18"/>
      <c r="DS186" s="18"/>
      <c r="DT186" s="18"/>
      <c r="DU186" s="18"/>
      <c r="DV186" s="18"/>
      <c r="DW186" s="18"/>
    </row>
    <row r="187" spans="1:127" x14ac:dyDescent="0.25">
      <c r="A187" s="3"/>
      <c r="D187" s="272"/>
      <c r="E187" s="423"/>
      <c r="F187" s="423"/>
      <c r="G187" s="272"/>
      <c r="H187" s="272"/>
      <c r="I187" s="272"/>
      <c r="J187" s="272"/>
      <c r="K187" s="272"/>
      <c r="L187" s="272"/>
      <c r="M187" s="272"/>
      <c r="N187" s="272"/>
      <c r="O187" s="272"/>
      <c r="P187" s="272"/>
      <c r="Q187" s="272"/>
      <c r="R187" s="272"/>
      <c r="S187" s="268"/>
      <c r="T187" s="268"/>
      <c r="V187" s="268"/>
      <c r="W187" s="4"/>
      <c r="X187" s="4"/>
      <c r="AG187" s="272"/>
      <c r="DP187" s="18"/>
      <c r="DQ187" s="18"/>
      <c r="DR187" s="18"/>
      <c r="DS187" s="18"/>
      <c r="DT187" s="18"/>
      <c r="DU187" s="18"/>
      <c r="DV187" s="18"/>
      <c r="DW187" s="18"/>
    </row>
    <row r="188" spans="1:127" x14ac:dyDescent="0.25">
      <c r="A188" s="3"/>
      <c r="D188" s="272"/>
      <c r="E188" s="423"/>
      <c r="F188" s="423"/>
      <c r="G188" s="272"/>
      <c r="H188" s="272"/>
      <c r="I188" s="272"/>
      <c r="J188" s="272"/>
      <c r="K188" s="272"/>
      <c r="L188" s="272"/>
      <c r="M188" s="272"/>
      <c r="N188" s="272"/>
      <c r="O188" s="272"/>
      <c r="P188" s="272"/>
      <c r="Q188" s="272"/>
      <c r="R188" s="272"/>
      <c r="S188" s="268"/>
      <c r="T188" s="268"/>
      <c r="V188" s="268"/>
      <c r="W188" s="4"/>
      <c r="X188" s="4"/>
      <c r="AG188" s="272"/>
      <c r="DP188" s="18"/>
      <c r="DQ188" s="18"/>
      <c r="DR188" s="18"/>
      <c r="DS188" s="18"/>
      <c r="DT188" s="18"/>
      <c r="DU188" s="18"/>
      <c r="DV188" s="18"/>
      <c r="DW188" s="18"/>
    </row>
    <row r="189" spans="1:127" x14ac:dyDescent="0.25">
      <c r="A189" s="3"/>
      <c r="D189" s="272"/>
      <c r="E189" s="423"/>
      <c r="F189" s="423"/>
      <c r="G189" s="272"/>
      <c r="H189" s="272"/>
      <c r="I189" s="272"/>
      <c r="J189" s="272"/>
      <c r="K189" s="272"/>
      <c r="L189" s="272"/>
      <c r="M189" s="272"/>
      <c r="N189" s="272"/>
      <c r="O189" s="272"/>
      <c r="P189" s="272"/>
      <c r="Q189" s="272"/>
      <c r="R189" s="272"/>
      <c r="S189" s="268"/>
      <c r="T189" s="268"/>
      <c r="V189" s="268"/>
      <c r="W189" s="4"/>
      <c r="X189" s="4"/>
      <c r="AG189" s="272"/>
      <c r="DP189" s="18"/>
      <c r="DQ189" s="18"/>
      <c r="DR189" s="18"/>
      <c r="DS189" s="18"/>
      <c r="DT189" s="18"/>
      <c r="DU189" s="18"/>
      <c r="DV189" s="18"/>
      <c r="DW189" s="18"/>
    </row>
    <row r="190" spans="1:127" x14ac:dyDescent="0.25">
      <c r="A190" s="3"/>
      <c r="D190" s="272"/>
      <c r="E190" s="423"/>
      <c r="F190" s="423"/>
      <c r="G190" s="272"/>
      <c r="H190" s="272"/>
      <c r="I190" s="272"/>
      <c r="J190" s="272"/>
      <c r="K190" s="272"/>
      <c r="L190" s="272"/>
      <c r="M190" s="272"/>
      <c r="N190" s="272"/>
      <c r="O190" s="272"/>
      <c r="P190" s="272"/>
      <c r="Q190" s="272"/>
      <c r="R190" s="272"/>
      <c r="S190" s="268"/>
      <c r="T190" s="268"/>
      <c r="V190" s="268"/>
      <c r="W190" s="4"/>
      <c r="X190" s="4"/>
      <c r="AG190" s="272"/>
      <c r="DP190" s="18"/>
      <c r="DQ190" s="18"/>
      <c r="DR190" s="18"/>
      <c r="DS190" s="18"/>
      <c r="DT190" s="18"/>
      <c r="DU190" s="18"/>
      <c r="DV190" s="18"/>
      <c r="DW190" s="18"/>
    </row>
    <row r="191" spans="1:127" x14ac:dyDescent="0.25">
      <c r="A191" s="3"/>
      <c r="D191" s="272"/>
      <c r="E191" s="423"/>
      <c r="F191" s="423"/>
      <c r="G191" s="272"/>
      <c r="H191" s="272"/>
      <c r="I191" s="272"/>
      <c r="J191" s="272"/>
      <c r="K191" s="272"/>
      <c r="L191" s="272"/>
      <c r="M191" s="272"/>
      <c r="N191" s="272"/>
      <c r="O191" s="272"/>
      <c r="P191" s="272"/>
      <c r="Q191" s="272"/>
      <c r="R191" s="272"/>
      <c r="S191" s="268"/>
      <c r="T191" s="268"/>
      <c r="V191" s="268"/>
      <c r="W191" s="4"/>
      <c r="X191" s="4"/>
      <c r="AG191" s="272"/>
      <c r="DP191" s="18"/>
      <c r="DQ191" s="18"/>
      <c r="DR191" s="18"/>
      <c r="DS191" s="18"/>
      <c r="DT191" s="18"/>
      <c r="DU191" s="18"/>
      <c r="DV191" s="18"/>
      <c r="DW191" s="18"/>
    </row>
    <row r="192" spans="1:127" x14ac:dyDescent="0.25">
      <c r="A192" s="3"/>
      <c r="D192" s="272"/>
      <c r="E192" s="423"/>
      <c r="F192" s="423"/>
      <c r="G192" s="272"/>
      <c r="H192" s="272"/>
      <c r="I192" s="272"/>
      <c r="J192" s="272"/>
      <c r="K192" s="272"/>
      <c r="L192" s="272"/>
      <c r="M192" s="272"/>
      <c r="N192" s="272"/>
      <c r="O192" s="272"/>
      <c r="P192" s="272"/>
      <c r="Q192" s="272"/>
      <c r="R192" s="272"/>
      <c r="S192" s="268"/>
      <c r="T192" s="268"/>
      <c r="V192" s="268"/>
      <c r="W192" s="4"/>
      <c r="X192" s="4"/>
      <c r="AG192" s="272"/>
      <c r="DP192" s="18"/>
      <c r="DQ192" s="18"/>
      <c r="DR192" s="18"/>
      <c r="DS192" s="18"/>
      <c r="DT192" s="18"/>
      <c r="DU192" s="18"/>
      <c r="DV192" s="18"/>
      <c r="DW192" s="18"/>
    </row>
    <row r="193" spans="1:127" x14ac:dyDescent="0.25">
      <c r="A193" s="3"/>
      <c r="D193" s="272"/>
      <c r="E193" s="423"/>
      <c r="F193" s="423"/>
      <c r="G193" s="272"/>
      <c r="H193" s="272"/>
      <c r="I193" s="272"/>
      <c r="J193" s="272"/>
      <c r="K193" s="272"/>
      <c r="L193" s="272"/>
      <c r="M193" s="272"/>
      <c r="N193" s="272"/>
      <c r="O193" s="272"/>
      <c r="P193" s="272"/>
      <c r="Q193" s="272"/>
      <c r="R193" s="272"/>
      <c r="S193" s="1"/>
      <c r="T193" s="1"/>
      <c r="U193" s="1"/>
      <c r="AH193" s="1"/>
      <c r="DP193" s="18"/>
      <c r="DQ193" s="18"/>
      <c r="DR193" s="18"/>
      <c r="DS193" s="18"/>
      <c r="DT193" s="18"/>
      <c r="DU193" s="18"/>
      <c r="DV193" s="18"/>
      <c r="DW193" s="18"/>
    </row>
    <row r="194" spans="1:127" x14ac:dyDescent="0.25">
      <c r="S194" s="1"/>
      <c r="T194" s="1"/>
      <c r="U194" s="1"/>
      <c r="AH194" s="1"/>
    </row>
    <row r="195" spans="1:127" x14ac:dyDescent="0.25">
      <c r="S195" s="1"/>
      <c r="T195" s="1"/>
      <c r="U195" s="1"/>
      <c r="AH195" s="1"/>
    </row>
    <row r="196" spans="1:127" x14ac:dyDescent="0.25">
      <c r="S196" s="1"/>
      <c r="T196" s="1"/>
      <c r="U196" s="1"/>
      <c r="AH196" s="1"/>
    </row>
    <row r="197" spans="1:127" x14ac:dyDescent="0.25">
      <c r="S197" s="1"/>
      <c r="T197" s="1"/>
      <c r="U197" s="1"/>
      <c r="AH197" s="1"/>
    </row>
    <row r="198" spans="1:127" x14ac:dyDescent="0.25">
      <c r="S198" s="1"/>
      <c r="T198" s="1"/>
      <c r="U198" s="1"/>
      <c r="AH198" s="1"/>
    </row>
    <row r="199" spans="1:127" x14ac:dyDescent="0.25">
      <c r="S199" s="1"/>
      <c r="T199" s="1"/>
      <c r="U199" s="1"/>
      <c r="AH199" s="1"/>
    </row>
    <row r="200" spans="1:127" x14ac:dyDescent="0.25">
      <c r="S200" s="1"/>
      <c r="T200" s="1"/>
      <c r="U200" s="1"/>
      <c r="AH200" s="1"/>
    </row>
    <row r="201" spans="1:127" x14ac:dyDescent="0.25">
      <c r="S201" s="1"/>
      <c r="T201" s="1"/>
      <c r="U201" s="1"/>
      <c r="AH201" s="1"/>
    </row>
    <row r="202" spans="1:127" x14ac:dyDescent="0.25">
      <c r="S202" s="1"/>
      <c r="T202" s="1"/>
      <c r="U202" s="1"/>
      <c r="AH202" s="1"/>
    </row>
    <row r="203" spans="1:127" x14ac:dyDescent="0.25">
      <c r="S203" s="1"/>
      <c r="T203" s="1"/>
      <c r="U203" s="1"/>
      <c r="AH203" s="1"/>
    </row>
    <row r="204" spans="1:127" x14ac:dyDescent="0.25">
      <c r="S204" s="1"/>
      <c r="T204" s="1"/>
      <c r="U204" s="1"/>
      <c r="AH204" s="1"/>
    </row>
    <row r="205" spans="1:127" x14ac:dyDescent="0.25">
      <c r="S205" s="1"/>
      <c r="T205" s="1"/>
      <c r="U205" s="1"/>
      <c r="AH205" s="1"/>
    </row>
    <row r="206" spans="1:127" x14ac:dyDescent="0.25">
      <c r="S206" s="1"/>
      <c r="T206" s="1"/>
      <c r="U206" s="1"/>
      <c r="AH206" s="1"/>
    </row>
    <row r="207" spans="1:127" x14ac:dyDescent="0.25">
      <c r="S207" s="1"/>
      <c r="T207" s="1"/>
      <c r="U207" s="1"/>
      <c r="AH207" s="1"/>
    </row>
    <row r="208" spans="1:127" x14ac:dyDescent="0.25">
      <c r="S208" s="1"/>
      <c r="T208" s="1"/>
      <c r="U208" s="1"/>
      <c r="AH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pans="1:34" x14ac:dyDescent="0.25">
      <c r="S305" s="1"/>
      <c r="T305" s="1"/>
      <c r="U305" s="1"/>
      <c r="AH305" s="1"/>
    </row>
    <row r="306" spans="1:34" x14ac:dyDescent="0.25">
      <c r="S306" s="1"/>
      <c r="T306" s="1"/>
      <c r="U306" s="1"/>
      <c r="AH306" s="1"/>
    </row>
    <row r="307" spans="1:34" x14ac:dyDescent="0.25">
      <c r="S307" s="1"/>
      <c r="T307" s="1"/>
      <c r="U307" s="1"/>
      <c r="AH307" s="1"/>
    </row>
    <row r="308" spans="1:34" x14ac:dyDescent="0.25">
      <c r="S308" s="1"/>
      <c r="T308" s="1"/>
      <c r="U308" s="1"/>
      <c r="AH308" s="1"/>
    </row>
    <row r="309" spans="1:34" x14ac:dyDescent="0.25">
      <c r="S309" s="1"/>
      <c r="T309" s="1"/>
      <c r="U309" s="1"/>
      <c r="AH309" s="1"/>
    </row>
    <row r="310" spans="1:34" x14ac:dyDescent="0.25">
      <c r="S310" s="1"/>
      <c r="T310" s="1"/>
      <c r="U310" s="1"/>
      <c r="AH310" s="1"/>
    </row>
    <row r="311" spans="1:34" x14ac:dyDescent="0.25">
      <c r="S311" s="1"/>
      <c r="T311" s="1"/>
      <c r="U311" s="1"/>
      <c r="AH311" s="1"/>
    </row>
    <row r="312" spans="1:34" x14ac:dyDescent="0.25">
      <c r="S312" s="1"/>
      <c r="T312" s="1"/>
      <c r="U312" s="1"/>
      <c r="AH312" s="1"/>
    </row>
    <row r="313" spans="1:34" x14ac:dyDescent="0.25">
      <c r="S313" s="1"/>
      <c r="T313" s="1"/>
      <c r="U313" s="1"/>
      <c r="AH313" s="1"/>
    </row>
    <row r="314" spans="1:34" x14ac:dyDescent="0.25">
      <c r="A314" s="3"/>
      <c r="S314" s="1"/>
      <c r="T314" s="1"/>
      <c r="U314" s="1"/>
      <c r="AH314" s="1"/>
    </row>
    <row r="315" spans="1:34" x14ac:dyDescent="0.25">
      <c r="A315" s="3"/>
      <c r="S315" s="1"/>
      <c r="T315" s="1"/>
      <c r="U315" s="1"/>
      <c r="AH315" s="1"/>
    </row>
    <row r="316" spans="1:34" x14ac:dyDescent="0.25">
      <c r="A316" s="3"/>
      <c r="S316" s="1"/>
      <c r="T316" s="1"/>
      <c r="U316" s="1"/>
      <c r="AH316" s="1"/>
    </row>
    <row r="317" spans="1:34" x14ac:dyDescent="0.25">
      <c r="A317" s="3"/>
      <c r="S317" s="1"/>
      <c r="T317" s="1"/>
      <c r="U317" s="1"/>
      <c r="AH317" s="1"/>
    </row>
    <row r="318" spans="1:34" x14ac:dyDescent="0.25">
      <c r="A318" s="3"/>
      <c r="S318" s="1"/>
      <c r="T318" s="1"/>
      <c r="U318" s="1"/>
      <c r="AH318" s="1"/>
    </row>
    <row r="319" spans="1:34" x14ac:dyDescent="0.25">
      <c r="A319" s="3"/>
      <c r="S319" s="1"/>
      <c r="T319" s="1"/>
      <c r="U319" s="1"/>
      <c r="AH319" s="1"/>
    </row>
    <row r="320" spans="1:34" x14ac:dyDescent="0.25">
      <c r="A320" s="3"/>
      <c r="S320" s="1"/>
      <c r="T320" s="1"/>
      <c r="U320" s="1"/>
      <c r="AH320" s="1"/>
    </row>
    <row r="321" spans="1:34" x14ac:dyDescent="0.25">
      <c r="A321" s="3"/>
      <c r="S321" s="1"/>
      <c r="T321" s="1"/>
      <c r="U321" s="1"/>
      <c r="AH321" s="1"/>
    </row>
    <row r="322" spans="1:34" x14ac:dyDescent="0.25">
      <c r="A322" s="3"/>
      <c r="S322" s="1"/>
      <c r="T322" s="1"/>
      <c r="U322" s="1"/>
      <c r="AH322" s="1"/>
    </row>
    <row r="323" spans="1:34" x14ac:dyDescent="0.25">
      <c r="A323" s="3"/>
      <c r="S323" s="1"/>
      <c r="T323" s="1"/>
      <c r="U323" s="1"/>
      <c r="AH323" s="1"/>
    </row>
    <row r="324" spans="1:34" x14ac:dyDescent="0.25">
      <c r="A324" s="3"/>
      <c r="S324" s="1"/>
      <c r="T324" s="1"/>
      <c r="U324" s="1"/>
      <c r="AH324" s="1"/>
    </row>
    <row r="325" spans="1:34" x14ac:dyDescent="0.25">
      <c r="A325" s="3"/>
    </row>
    <row r="326" spans="1:34" x14ac:dyDescent="0.25">
      <c r="A326" s="3"/>
    </row>
    <row r="327" spans="1:34" x14ac:dyDescent="0.25">
      <c r="A327" s="3"/>
    </row>
    <row r="328" spans="1:34" x14ac:dyDescent="0.25">
      <c r="A328" s="3"/>
    </row>
    <row r="329" spans="1:34" x14ac:dyDescent="0.25">
      <c r="A329" s="3"/>
    </row>
    <row r="330" spans="1:34" x14ac:dyDescent="0.25">
      <c r="A330" s="3"/>
    </row>
    <row r="331" spans="1:34" x14ac:dyDescent="0.25">
      <c r="A331" s="3"/>
    </row>
    <row r="332" spans="1:34" x14ac:dyDescent="0.25">
      <c r="A332" s="3"/>
    </row>
    <row r="333" spans="1:34" x14ac:dyDescent="0.25">
      <c r="A333" s="3"/>
    </row>
    <row r="334" spans="1:34" x14ac:dyDescent="0.25">
      <c r="A334" s="3"/>
    </row>
    <row r="335" spans="1:34" x14ac:dyDescent="0.25">
      <c r="A335" s="3"/>
    </row>
    <row r="336" spans="1:34"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row r="1236" spans="1:1" x14ac:dyDescent="0.25">
      <c r="A1236" s="3"/>
    </row>
    <row r="1237" spans="1:1" x14ac:dyDescent="0.25">
      <c r="A1237" s="3"/>
    </row>
    <row r="1238" spans="1:1" x14ac:dyDescent="0.25">
      <c r="A1238" s="3"/>
    </row>
    <row r="1239" spans="1:1" x14ac:dyDescent="0.25">
      <c r="A1239" s="3"/>
    </row>
    <row r="1240" spans="1:1" x14ac:dyDescent="0.25">
      <c r="A1240" s="3"/>
    </row>
    <row r="1241" spans="1:1" x14ac:dyDescent="0.25">
      <c r="A1241" s="3"/>
    </row>
    <row r="1242" spans="1:1" x14ac:dyDescent="0.25">
      <c r="A1242" s="3"/>
    </row>
    <row r="1243" spans="1:1" x14ac:dyDescent="0.25">
      <c r="A1243" s="3"/>
    </row>
    <row r="1244" spans="1:1" x14ac:dyDescent="0.25">
      <c r="A1244" s="3"/>
    </row>
    <row r="1245" spans="1:1" x14ac:dyDescent="0.25">
      <c r="A1245" s="3"/>
    </row>
    <row r="1246" spans="1:1" x14ac:dyDescent="0.25">
      <c r="A1246" s="3"/>
    </row>
    <row r="1247" spans="1:1" x14ac:dyDescent="0.25">
      <c r="A1247" s="3"/>
    </row>
    <row r="1248" spans="1:1" x14ac:dyDescent="0.25">
      <c r="A1248" s="3"/>
    </row>
    <row r="1249" spans="1:1" x14ac:dyDescent="0.25">
      <c r="A1249" s="3"/>
    </row>
    <row r="1250" spans="1:1" x14ac:dyDescent="0.25">
      <c r="A1250" s="3"/>
    </row>
    <row r="1251" spans="1:1" x14ac:dyDescent="0.25">
      <c r="A1251" s="3"/>
    </row>
    <row r="1252" spans="1:1" x14ac:dyDescent="0.25">
      <c r="A1252" s="3"/>
    </row>
    <row r="1253" spans="1:1" x14ac:dyDescent="0.25">
      <c r="A1253" s="3"/>
    </row>
    <row r="1254" spans="1:1" x14ac:dyDescent="0.25">
      <c r="A1254" s="3"/>
    </row>
    <row r="1255" spans="1:1" x14ac:dyDescent="0.25">
      <c r="A1255" s="3"/>
    </row>
    <row r="1256" spans="1:1" x14ac:dyDescent="0.25">
      <c r="A1256" s="3"/>
    </row>
    <row r="1257" spans="1:1" x14ac:dyDescent="0.25">
      <c r="A1257" s="3"/>
    </row>
    <row r="1258" spans="1:1" x14ac:dyDescent="0.25">
      <c r="A1258" s="3"/>
    </row>
    <row r="1259" spans="1:1" x14ac:dyDescent="0.25">
      <c r="A1259" s="3"/>
    </row>
    <row r="1260" spans="1:1" x14ac:dyDescent="0.25">
      <c r="A1260" s="3"/>
    </row>
    <row r="1261" spans="1:1" x14ac:dyDescent="0.25">
      <c r="A1261" s="3"/>
    </row>
    <row r="1262" spans="1:1" x14ac:dyDescent="0.25">
      <c r="A1262" s="3"/>
    </row>
    <row r="1263" spans="1:1" x14ac:dyDescent="0.25">
      <c r="A1263" s="3"/>
    </row>
    <row r="1264" spans="1:1" x14ac:dyDescent="0.25">
      <c r="A1264" s="3"/>
    </row>
    <row r="1265" spans="1:1" x14ac:dyDescent="0.25">
      <c r="A1265" s="3"/>
    </row>
    <row r="1266" spans="1:1" x14ac:dyDescent="0.25">
      <c r="A1266" s="3"/>
    </row>
    <row r="1267" spans="1:1" x14ac:dyDescent="0.25">
      <c r="A1267" s="3"/>
    </row>
    <row r="1268" spans="1:1" x14ac:dyDescent="0.25">
      <c r="A1268" s="3"/>
    </row>
    <row r="1269" spans="1:1" x14ac:dyDescent="0.25">
      <c r="A1269" s="3"/>
    </row>
    <row r="1270" spans="1:1" x14ac:dyDescent="0.25">
      <c r="A1270" s="3"/>
    </row>
    <row r="1271" spans="1:1" x14ac:dyDescent="0.25">
      <c r="A1271" s="3"/>
    </row>
    <row r="1272" spans="1:1" x14ac:dyDescent="0.25">
      <c r="A1272" s="3"/>
    </row>
    <row r="1273" spans="1:1" x14ac:dyDescent="0.25">
      <c r="A1273" s="3"/>
    </row>
    <row r="1274" spans="1:1" x14ac:dyDescent="0.25">
      <c r="A1274" s="3"/>
    </row>
    <row r="1275" spans="1:1" x14ac:dyDescent="0.25">
      <c r="A1275" s="3"/>
    </row>
    <row r="1276" spans="1:1" x14ac:dyDescent="0.25">
      <c r="A1276" s="3"/>
    </row>
    <row r="1277" spans="1:1" x14ac:dyDescent="0.25">
      <c r="A1277" s="3"/>
    </row>
    <row r="1278" spans="1:1" x14ac:dyDescent="0.25">
      <c r="A1278" s="3"/>
    </row>
    <row r="1279" spans="1:1" x14ac:dyDescent="0.25">
      <c r="A1279" s="3"/>
    </row>
    <row r="1280" spans="1:1" x14ac:dyDescent="0.25">
      <c r="A1280" s="3"/>
    </row>
    <row r="1281" spans="1:1" x14ac:dyDescent="0.25">
      <c r="A1281" s="3"/>
    </row>
    <row r="1282" spans="1:1" x14ac:dyDescent="0.25">
      <c r="A1282" s="3"/>
    </row>
    <row r="1283" spans="1:1" x14ac:dyDescent="0.25">
      <c r="A1283" s="3"/>
    </row>
    <row r="1284" spans="1:1" x14ac:dyDescent="0.25">
      <c r="A1284" s="3"/>
    </row>
    <row r="1285" spans="1:1" x14ac:dyDescent="0.25">
      <c r="A1285" s="3"/>
    </row>
    <row r="1286" spans="1:1" x14ac:dyDescent="0.25">
      <c r="A1286" s="3"/>
    </row>
    <row r="1287" spans="1:1" x14ac:dyDescent="0.25">
      <c r="A1287" s="3"/>
    </row>
    <row r="1288" spans="1:1" x14ac:dyDescent="0.25">
      <c r="A1288" s="3"/>
    </row>
    <row r="1289" spans="1:1" x14ac:dyDescent="0.25">
      <c r="A1289" s="3"/>
    </row>
    <row r="1290" spans="1:1" x14ac:dyDescent="0.25">
      <c r="A1290" s="3"/>
    </row>
    <row r="1291" spans="1:1" x14ac:dyDescent="0.25">
      <c r="A1291" s="3"/>
    </row>
    <row r="1292" spans="1:1" x14ac:dyDescent="0.25">
      <c r="A1292" s="3"/>
    </row>
    <row r="1293" spans="1:1" x14ac:dyDescent="0.25">
      <c r="A1293" s="3"/>
    </row>
    <row r="1294" spans="1:1" x14ac:dyDescent="0.25">
      <c r="A1294" s="3"/>
    </row>
    <row r="1295" spans="1:1" x14ac:dyDescent="0.25">
      <c r="A1295" s="3"/>
    </row>
    <row r="1296" spans="1:1" x14ac:dyDescent="0.25">
      <c r="A1296" s="3"/>
    </row>
    <row r="1297" spans="1:1" x14ac:dyDescent="0.25">
      <c r="A1297" s="3"/>
    </row>
    <row r="1298" spans="1:1" x14ac:dyDescent="0.25">
      <c r="A1298" s="3"/>
    </row>
    <row r="1299" spans="1:1" x14ac:dyDescent="0.25">
      <c r="A1299" s="3"/>
    </row>
    <row r="1300" spans="1:1" x14ac:dyDescent="0.25">
      <c r="A1300" s="3"/>
    </row>
    <row r="1301" spans="1:1" x14ac:dyDescent="0.25">
      <c r="A1301" s="3"/>
    </row>
    <row r="1302" spans="1:1" x14ac:dyDescent="0.25">
      <c r="A1302" s="3"/>
    </row>
    <row r="1303" spans="1:1" x14ac:dyDescent="0.25">
      <c r="A1303" s="3"/>
    </row>
    <row r="1304" spans="1:1" x14ac:dyDescent="0.25">
      <c r="A1304" s="3"/>
    </row>
    <row r="1305" spans="1:1" x14ac:dyDescent="0.25">
      <c r="A1305" s="3"/>
    </row>
    <row r="1306" spans="1:1" x14ac:dyDescent="0.25">
      <c r="A1306" s="3"/>
    </row>
    <row r="1307" spans="1:1" x14ac:dyDescent="0.25">
      <c r="A1307" s="3"/>
    </row>
    <row r="1308" spans="1:1" x14ac:dyDescent="0.25">
      <c r="A1308" s="3"/>
    </row>
    <row r="1309" spans="1:1" x14ac:dyDescent="0.25">
      <c r="A1309" s="3"/>
    </row>
    <row r="1310" spans="1:1" x14ac:dyDescent="0.25">
      <c r="A1310" s="3"/>
    </row>
    <row r="1311" spans="1:1" x14ac:dyDescent="0.25">
      <c r="A1311" s="3"/>
    </row>
    <row r="1312" spans="1:1" x14ac:dyDescent="0.25">
      <c r="A1312" s="3"/>
    </row>
    <row r="1313" spans="1:1" x14ac:dyDescent="0.25">
      <c r="A1313" s="3"/>
    </row>
    <row r="1314" spans="1:1" x14ac:dyDescent="0.25">
      <c r="A1314" s="3"/>
    </row>
    <row r="1315" spans="1:1" x14ac:dyDescent="0.25">
      <c r="A1315" s="3"/>
    </row>
    <row r="1316" spans="1:1" x14ac:dyDescent="0.25">
      <c r="A1316" s="3"/>
    </row>
    <row r="1317" spans="1:1" x14ac:dyDescent="0.25">
      <c r="A1317" s="3"/>
    </row>
    <row r="1318" spans="1:1" x14ac:dyDescent="0.25">
      <c r="A1318" s="3"/>
    </row>
    <row r="1319" spans="1:1" x14ac:dyDescent="0.25">
      <c r="A1319" s="3"/>
    </row>
    <row r="1320" spans="1:1" x14ac:dyDescent="0.25">
      <c r="A1320" s="3"/>
    </row>
    <row r="1321" spans="1:1" x14ac:dyDescent="0.25">
      <c r="A1321" s="3"/>
    </row>
    <row r="1322" spans="1:1" x14ac:dyDescent="0.25">
      <c r="A1322" s="3"/>
    </row>
    <row r="1323" spans="1:1" x14ac:dyDescent="0.25">
      <c r="A1323" s="3"/>
    </row>
    <row r="1324" spans="1:1" x14ac:dyDescent="0.25">
      <c r="A1324" s="3"/>
    </row>
    <row r="1325" spans="1:1" x14ac:dyDescent="0.25">
      <c r="A1325" s="3"/>
    </row>
    <row r="1326" spans="1:1" x14ac:dyDescent="0.25">
      <c r="A1326" s="3"/>
    </row>
    <row r="1327" spans="1:1" x14ac:dyDescent="0.25">
      <c r="A1327" s="3"/>
    </row>
    <row r="1328" spans="1:1" x14ac:dyDescent="0.25">
      <c r="A1328" s="3"/>
    </row>
    <row r="1329" spans="1:1" x14ac:dyDescent="0.25">
      <c r="A1329" s="3"/>
    </row>
    <row r="1330" spans="1:1" x14ac:dyDescent="0.25">
      <c r="A1330" s="3"/>
    </row>
    <row r="1331" spans="1:1" x14ac:dyDescent="0.25">
      <c r="A1331" s="3"/>
    </row>
    <row r="1332" spans="1:1" x14ac:dyDescent="0.25">
      <c r="A1332" s="3"/>
    </row>
    <row r="1333" spans="1:1" x14ac:dyDescent="0.25">
      <c r="A1333" s="3"/>
    </row>
    <row r="1334" spans="1:1" x14ac:dyDescent="0.25">
      <c r="A1334" s="3"/>
    </row>
    <row r="1335" spans="1:1" x14ac:dyDescent="0.25">
      <c r="A1335" s="3"/>
    </row>
    <row r="1336" spans="1:1" x14ac:dyDescent="0.25">
      <c r="A1336" s="3"/>
    </row>
    <row r="1337" spans="1:1" x14ac:dyDescent="0.25">
      <c r="A1337" s="3"/>
    </row>
    <row r="1338" spans="1:1" x14ac:dyDescent="0.25">
      <c r="A1338" s="3"/>
    </row>
    <row r="1339" spans="1:1" x14ac:dyDescent="0.25">
      <c r="A1339" s="3"/>
    </row>
    <row r="1340" spans="1:1" x14ac:dyDescent="0.25">
      <c r="A1340" s="3"/>
    </row>
    <row r="1341" spans="1:1" x14ac:dyDescent="0.25">
      <c r="A1341" s="3"/>
    </row>
    <row r="1342" spans="1:1" x14ac:dyDescent="0.25">
      <c r="A1342" s="3"/>
    </row>
    <row r="1343" spans="1:1" x14ac:dyDescent="0.25">
      <c r="A1343" s="3"/>
    </row>
    <row r="1344" spans="1:1" x14ac:dyDescent="0.25">
      <c r="A1344" s="3"/>
    </row>
    <row r="1345" spans="1:1" x14ac:dyDescent="0.25">
      <c r="A1345" s="3"/>
    </row>
    <row r="1346" spans="1:1" x14ac:dyDescent="0.25">
      <c r="A1346" s="3"/>
    </row>
    <row r="1347" spans="1:1" x14ac:dyDescent="0.25">
      <c r="A1347" s="3"/>
    </row>
    <row r="1348" spans="1:1" x14ac:dyDescent="0.25">
      <c r="A1348" s="3"/>
    </row>
    <row r="1349" spans="1:1" x14ac:dyDescent="0.25">
      <c r="A1349" s="3"/>
    </row>
    <row r="1350" spans="1:1" x14ac:dyDescent="0.25">
      <c r="A1350" s="3"/>
    </row>
    <row r="1351" spans="1:1" x14ac:dyDescent="0.25">
      <c r="A1351" s="3"/>
    </row>
    <row r="1352" spans="1:1" x14ac:dyDescent="0.25">
      <c r="A1352" s="3"/>
    </row>
    <row r="1353" spans="1:1" x14ac:dyDescent="0.25">
      <c r="A1353" s="3"/>
    </row>
    <row r="1354" spans="1:1" x14ac:dyDescent="0.25">
      <c r="A1354" s="3"/>
    </row>
    <row r="1355" spans="1:1" x14ac:dyDescent="0.25">
      <c r="A1355" s="3"/>
    </row>
    <row r="1356" spans="1:1" x14ac:dyDescent="0.25">
      <c r="A1356" s="3"/>
    </row>
    <row r="1357" spans="1:1" x14ac:dyDescent="0.25">
      <c r="A1357" s="3"/>
    </row>
    <row r="1358" spans="1:1" x14ac:dyDescent="0.25">
      <c r="A1358" s="3"/>
    </row>
    <row r="1359" spans="1:1" x14ac:dyDescent="0.25">
      <c r="A1359" s="3"/>
    </row>
    <row r="1360" spans="1:1" x14ac:dyDescent="0.25">
      <c r="A1360" s="3"/>
    </row>
    <row r="1361" spans="1:1" x14ac:dyDescent="0.25">
      <c r="A1361" s="3"/>
    </row>
    <row r="1362" spans="1:1" x14ac:dyDescent="0.25">
      <c r="A1362" s="3"/>
    </row>
    <row r="1363" spans="1:1" x14ac:dyDescent="0.25">
      <c r="A1363" s="3"/>
    </row>
    <row r="1364" spans="1:1" x14ac:dyDescent="0.25">
      <c r="A1364" s="3"/>
    </row>
    <row r="1365" spans="1:1" x14ac:dyDescent="0.25">
      <c r="A1365" s="3"/>
    </row>
    <row r="1366" spans="1:1" x14ac:dyDescent="0.25">
      <c r="A1366" s="3"/>
    </row>
    <row r="1367" spans="1:1" x14ac:dyDescent="0.25">
      <c r="A1367" s="3"/>
    </row>
    <row r="1368" spans="1:1" x14ac:dyDescent="0.25">
      <c r="A1368" s="3"/>
    </row>
    <row r="1369" spans="1:1" x14ac:dyDescent="0.25">
      <c r="A1369" s="3"/>
    </row>
    <row r="1370" spans="1:1" x14ac:dyDescent="0.25">
      <c r="A1370" s="3"/>
    </row>
    <row r="1371" spans="1:1" x14ac:dyDescent="0.25">
      <c r="A1371" s="3"/>
    </row>
    <row r="1372" spans="1:1" x14ac:dyDescent="0.25">
      <c r="A1372" s="3"/>
    </row>
    <row r="1373" spans="1:1" x14ac:dyDescent="0.25">
      <c r="A1373" s="3"/>
    </row>
    <row r="1374" spans="1:1" x14ac:dyDescent="0.25">
      <c r="A1374" s="3"/>
    </row>
    <row r="1375" spans="1:1" x14ac:dyDescent="0.25">
      <c r="A1375" s="3"/>
    </row>
    <row r="1376" spans="1:1" x14ac:dyDescent="0.25">
      <c r="A1376" s="3"/>
    </row>
    <row r="1377" spans="1:1" x14ac:dyDescent="0.25">
      <c r="A1377" s="3"/>
    </row>
    <row r="1378" spans="1:1" x14ac:dyDescent="0.25">
      <c r="A1378" s="3"/>
    </row>
    <row r="1379" spans="1:1" x14ac:dyDescent="0.25">
      <c r="A1379" s="3"/>
    </row>
    <row r="1380" spans="1:1" x14ac:dyDescent="0.25">
      <c r="A1380" s="3"/>
    </row>
    <row r="1381" spans="1:1" x14ac:dyDescent="0.25">
      <c r="A1381" s="3"/>
    </row>
    <row r="1382" spans="1:1" x14ac:dyDescent="0.25">
      <c r="A1382" s="3"/>
    </row>
    <row r="1383" spans="1:1" x14ac:dyDescent="0.25">
      <c r="A1383" s="3"/>
    </row>
    <row r="1384" spans="1:1" x14ac:dyDescent="0.25">
      <c r="A1384" s="3"/>
    </row>
    <row r="1385" spans="1:1" x14ac:dyDescent="0.25">
      <c r="A1385" s="3"/>
    </row>
    <row r="1386" spans="1:1" x14ac:dyDescent="0.25">
      <c r="A1386" s="3"/>
    </row>
    <row r="1387" spans="1:1" x14ac:dyDescent="0.25">
      <c r="A1387" s="3"/>
    </row>
    <row r="1388" spans="1:1" x14ac:dyDescent="0.25">
      <c r="A1388" s="3"/>
    </row>
    <row r="1389" spans="1:1" x14ac:dyDescent="0.25">
      <c r="A1389" s="3"/>
    </row>
    <row r="1390" spans="1:1" x14ac:dyDescent="0.25">
      <c r="A1390" s="3"/>
    </row>
    <row r="1391" spans="1:1" x14ac:dyDescent="0.25">
      <c r="A1391" s="3"/>
    </row>
    <row r="1392" spans="1: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7" tint="0.79998168889431442"/>
  </sheetPr>
  <dimension ref="A3:W93"/>
  <sheetViews>
    <sheetView topLeftCell="D1" workbookViewId="0">
      <selection activeCell="G45" sqref="G45"/>
    </sheetView>
  </sheetViews>
  <sheetFormatPr defaultColWidth="9.33203125" defaultRowHeight="13.8" x14ac:dyDescent="0.25"/>
  <cols>
    <col min="1" max="1" width="22.33203125" style="405" bestFit="1" customWidth="1"/>
    <col min="2" max="2" width="14.44140625" style="406" bestFit="1" customWidth="1"/>
    <col min="3" max="10" width="15.44140625" style="405" customWidth="1"/>
    <col min="11" max="12" width="13.33203125" style="405" bestFit="1" customWidth="1"/>
    <col min="13" max="13" width="16.44140625" style="405" customWidth="1"/>
    <col min="14" max="20" width="14.6640625" style="405" customWidth="1"/>
    <col min="21" max="21" width="14.33203125" style="405" customWidth="1"/>
    <col min="22" max="22" width="12.77734375" style="405" bestFit="1" customWidth="1"/>
    <col min="23" max="23" width="13.109375" style="405" customWidth="1"/>
    <col min="24" max="16384" width="9.33203125" style="405"/>
  </cols>
  <sheetData>
    <row r="3" spans="1:21" x14ac:dyDescent="0.25">
      <c r="A3" s="405" t="s">
        <v>187</v>
      </c>
      <c r="B3" s="406" t="s">
        <v>188</v>
      </c>
      <c r="C3" s="405" t="s">
        <v>189</v>
      </c>
      <c r="D3" s="405" t="s">
        <v>190</v>
      </c>
      <c r="E3" s="405" t="s">
        <v>191</v>
      </c>
      <c r="F3" s="405" t="s">
        <v>192</v>
      </c>
      <c r="G3" s="405" t="s">
        <v>193</v>
      </c>
      <c r="H3" s="405" t="s">
        <v>116</v>
      </c>
      <c r="I3" s="405" t="s">
        <v>194</v>
      </c>
      <c r="J3" s="405" t="s">
        <v>117</v>
      </c>
    </row>
    <row r="4" spans="1:21" x14ac:dyDescent="0.25">
      <c r="C4" s="407"/>
      <c r="D4" s="407"/>
      <c r="E4" s="407"/>
      <c r="F4" s="407"/>
      <c r="G4" s="407"/>
      <c r="H4" s="407"/>
      <c r="I4" s="407"/>
      <c r="J4" s="407"/>
      <c r="K4" s="408"/>
    </row>
    <row r="5" spans="1:21" x14ac:dyDescent="0.25">
      <c r="A5" s="405">
        <v>2015</v>
      </c>
      <c r="B5" s="409">
        <v>2015</v>
      </c>
      <c r="C5" s="407">
        <v>3491718</v>
      </c>
      <c r="D5" s="407">
        <v>1030255.24</v>
      </c>
      <c r="E5" s="407">
        <v>1436934.9400000002</v>
      </c>
      <c r="F5" s="407">
        <v>9650836.8200000003</v>
      </c>
      <c r="G5" s="407">
        <v>0</v>
      </c>
      <c r="H5" s="407">
        <v>0</v>
      </c>
      <c r="I5" s="407">
        <v>0</v>
      </c>
      <c r="J5" s="407">
        <v>0</v>
      </c>
      <c r="K5" s="408">
        <f>SUM(C5:J5)</f>
        <v>15609745</v>
      </c>
      <c r="M5" s="405" t="str">
        <f>C3</f>
        <v>Residential</v>
      </c>
      <c r="N5" s="405" t="str">
        <f t="shared" ref="N5:T5" si="0">D3</f>
        <v>GS&lt;50 kW</v>
      </c>
      <c r="O5" s="405" t="str">
        <f t="shared" si="0"/>
        <v>GS 50 to 999 kW (I1 &amp; I4)</v>
      </c>
      <c r="P5" s="405" t="str">
        <f t="shared" si="0"/>
        <v>GS 1,000 to 4,999 kW (I2)</v>
      </c>
      <c r="Q5" s="405" t="str">
        <f t="shared" si="0"/>
        <v>Large Use (I3)</v>
      </c>
      <c r="R5" s="405" t="str">
        <f t="shared" si="0"/>
        <v>Street Lighting</v>
      </c>
      <c r="S5" s="405" t="str">
        <f t="shared" si="0"/>
        <v>USL</v>
      </c>
      <c r="T5" s="405" t="str">
        <f t="shared" si="0"/>
        <v>Sentinel Lights</v>
      </c>
    </row>
    <row r="6" spans="1:21" x14ac:dyDescent="0.25">
      <c r="B6" s="409">
        <v>2016</v>
      </c>
      <c r="C6" s="407">
        <v>3449531</v>
      </c>
      <c r="D6" s="407">
        <v>1030255.24</v>
      </c>
      <c r="E6" s="407">
        <v>1436934.9400000002</v>
      </c>
      <c r="F6" s="407">
        <v>9650836.8200000003</v>
      </c>
      <c r="G6" s="407">
        <v>0</v>
      </c>
      <c r="H6" s="407">
        <v>0</v>
      </c>
      <c r="I6" s="407">
        <v>0</v>
      </c>
      <c r="J6" s="407">
        <v>0</v>
      </c>
      <c r="K6" s="408">
        <f>SUM(C6:J6)</f>
        <v>15567558</v>
      </c>
    </row>
    <row r="7" spans="1:21" x14ac:dyDescent="0.25">
      <c r="B7" s="406">
        <v>2017</v>
      </c>
      <c r="C7" s="407">
        <v>3446807</v>
      </c>
      <c r="D7" s="407">
        <v>1030255.2400000001</v>
      </c>
      <c r="E7" s="407">
        <v>1436934.94</v>
      </c>
      <c r="F7" s="407">
        <v>9650836.8200000003</v>
      </c>
      <c r="G7" s="407">
        <v>0</v>
      </c>
      <c r="H7" s="407">
        <v>0</v>
      </c>
      <c r="I7" s="407">
        <v>0</v>
      </c>
      <c r="J7" s="407">
        <v>0</v>
      </c>
      <c r="K7" s="408">
        <f>SUM(C7:J7)</f>
        <v>15564834</v>
      </c>
      <c r="L7" s="405">
        <v>2015</v>
      </c>
      <c r="M7" s="407">
        <f t="shared" ref="M7:M18" si="1">SUMIFS(C:C,$B:$B,$L7)-SUMIFS(C:C,$A:$A,$L7)/2</f>
        <v>1745859</v>
      </c>
      <c r="N7" s="407">
        <f t="shared" ref="N7:N18" si="2">SUMIFS(D:D,$B:$B,$L7)-SUMIFS(D:D,$A:$A,$L7)/2</f>
        <v>515127.62</v>
      </c>
      <c r="O7" s="407">
        <f t="shared" ref="O7:O18" si="3">SUMIFS(E:E,$B:$B,$L7)-SUMIFS(E:E,$A:$A,$L7)/2</f>
        <v>718467.47000000009</v>
      </c>
      <c r="P7" s="407">
        <f t="shared" ref="P7:P18" si="4">SUMIFS(F:F,$B:$B,$L7)-SUMIFS(F:F,$A:$A,$L7)/2</f>
        <v>4825418.41</v>
      </c>
      <c r="Q7" s="407">
        <f t="shared" ref="Q7:Q18" si="5">SUMIFS(G:G,$B:$B,$L7)-SUMIFS(G:G,$A:$A,$L7)/2</f>
        <v>0</v>
      </c>
      <c r="R7" s="407">
        <f t="shared" ref="R7:R18" si="6">SUMIFS(H:H,$B:$B,$L7)-SUMIFS(H:H,$A:$A,$L7)/2</f>
        <v>0</v>
      </c>
      <c r="S7" s="407">
        <f t="shared" ref="S7:S18" si="7">SUMIFS(I:I,$B:$B,$L7)-SUMIFS(I:I,$A:$A,$L7)/2</f>
        <v>0</v>
      </c>
      <c r="T7" s="407">
        <f t="shared" ref="T7:T18" si="8">SUMIFS(J:J,$B:$B,$L7)-SUMIFS(J:J,$A:$A,$L7)/2</f>
        <v>0</v>
      </c>
      <c r="U7" s="408">
        <f t="shared" ref="U7:U18" si="9">SUM(M7:T7)</f>
        <v>7804872.5</v>
      </c>
    </row>
    <row r="8" spans="1:21" x14ac:dyDescent="0.25">
      <c r="B8" s="409">
        <v>2018</v>
      </c>
      <c r="C8" s="407">
        <v>3444448</v>
      </c>
      <c r="D8" s="407">
        <v>1025094.46</v>
      </c>
      <c r="E8" s="407">
        <v>1429737.0100000002</v>
      </c>
      <c r="F8" s="407">
        <v>9649614.5299999993</v>
      </c>
      <c r="G8" s="407">
        <v>0</v>
      </c>
      <c r="H8" s="407">
        <v>0</v>
      </c>
      <c r="I8" s="407">
        <v>0</v>
      </c>
      <c r="J8" s="407">
        <v>0</v>
      </c>
      <c r="K8" s="408">
        <f t="shared" ref="K8:K39" si="10">SUM(C8:J8)</f>
        <v>15548894</v>
      </c>
      <c r="L8" s="405">
        <v>2016</v>
      </c>
      <c r="M8" s="407">
        <f t="shared" si="1"/>
        <v>8129504.5</v>
      </c>
      <c r="N8" s="407">
        <f t="shared" si="2"/>
        <v>2242271.165</v>
      </c>
      <c r="O8" s="407">
        <f t="shared" si="3"/>
        <v>2246980.33</v>
      </c>
      <c r="P8" s="407">
        <f t="shared" si="4"/>
        <v>9958131.004999999</v>
      </c>
      <c r="Q8" s="407">
        <f t="shared" si="5"/>
        <v>0</v>
      </c>
      <c r="R8" s="407">
        <f t="shared" si="6"/>
        <v>0</v>
      </c>
      <c r="S8" s="407">
        <f t="shared" si="7"/>
        <v>0</v>
      </c>
      <c r="T8" s="407">
        <f t="shared" si="8"/>
        <v>0</v>
      </c>
      <c r="U8" s="408">
        <f t="shared" si="9"/>
        <v>22576887</v>
      </c>
    </row>
    <row r="9" spans="1:21" x14ac:dyDescent="0.25">
      <c r="B9" s="409">
        <v>2019</v>
      </c>
      <c r="C9" s="407">
        <v>3438848</v>
      </c>
      <c r="D9" s="407">
        <v>1025094.46</v>
      </c>
      <c r="E9" s="407">
        <v>1429737.0100000002</v>
      </c>
      <c r="F9" s="407">
        <v>9649614.5299999993</v>
      </c>
      <c r="G9" s="407">
        <v>0</v>
      </c>
      <c r="H9" s="407">
        <v>0</v>
      </c>
      <c r="I9" s="407">
        <v>0</v>
      </c>
      <c r="J9" s="407">
        <v>0</v>
      </c>
      <c r="K9" s="408">
        <f t="shared" si="10"/>
        <v>15543294</v>
      </c>
      <c r="L9" s="405">
        <v>2017</v>
      </c>
      <c r="M9" s="407">
        <f t="shared" si="1"/>
        <v>21218883.5</v>
      </c>
      <c r="N9" s="407">
        <f t="shared" si="2"/>
        <v>4711924.9122964675</v>
      </c>
      <c r="O9" s="407">
        <f t="shared" si="3"/>
        <v>4819230.9586269651</v>
      </c>
      <c r="P9" s="407">
        <f t="shared" si="4"/>
        <v>10265409.998426484</v>
      </c>
      <c r="Q9" s="407">
        <f t="shared" si="5"/>
        <v>139443.67499999999</v>
      </c>
      <c r="R9" s="407">
        <f t="shared" si="6"/>
        <v>3144329.5</v>
      </c>
      <c r="S9" s="407">
        <f t="shared" si="7"/>
        <v>0</v>
      </c>
      <c r="T9" s="407">
        <f t="shared" si="8"/>
        <v>0</v>
      </c>
      <c r="U9" s="408">
        <f t="shared" si="9"/>
        <v>44299222.544349909</v>
      </c>
    </row>
    <row r="10" spans="1:21" x14ac:dyDescent="0.25">
      <c r="B10" s="406">
        <v>2020</v>
      </c>
      <c r="C10" s="407">
        <v>3434778</v>
      </c>
      <c r="D10" s="407">
        <v>1024538.52</v>
      </c>
      <c r="E10" s="407">
        <v>1428961.62</v>
      </c>
      <c r="F10" s="407">
        <v>9649482.8599999994</v>
      </c>
      <c r="G10" s="407">
        <v>0</v>
      </c>
      <c r="H10" s="407">
        <v>0</v>
      </c>
      <c r="I10" s="407">
        <v>0</v>
      </c>
      <c r="J10" s="407">
        <v>0</v>
      </c>
      <c r="K10" s="408">
        <f t="shared" si="10"/>
        <v>15537761</v>
      </c>
      <c r="L10" s="405">
        <v>2018</v>
      </c>
      <c r="M10" s="410">
        <f t="shared" si="1"/>
        <v>27652754.856041778</v>
      </c>
      <c r="N10" s="410">
        <f t="shared" si="2"/>
        <v>6398722.2314855214</v>
      </c>
      <c r="O10" s="410">
        <f t="shared" si="3"/>
        <v>7226093.9416703656</v>
      </c>
      <c r="P10" s="410">
        <f t="shared" si="4"/>
        <v>10267066.018426483</v>
      </c>
      <c r="Q10" s="410">
        <f t="shared" si="5"/>
        <v>278914.1166666667</v>
      </c>
      <c r="R10" s="410">
        <f t="shared" si="6"/>
        <v>6279863.666666666</v>
      </c>
      <c r="S10" s="410">
        <f t="shared" si="7"/>
        <v>0</v>
      </c>
      <c r="T10" s="410">
        <f t="shared" si="8"/>
        <v>0</v>
      </c>
      <c r="U10" s="408">
        <f t="shared" si="9"/>
        <v>58103414.83095748</v>
      </c>
    </row>
    <row r="11" spans="1:21" x14ac:dyDescent="0.25">
      <c r="B11" s="406">
        <v>2021</v>
      </c>
      <c r="C11" s="407">
        <v>3434085</v>
      </c>
      <c r="D11" s="407">
        <v>1024538.9</v>
      </c>
      <c r="E11" s="407">
        <v>1428962.1500000001</v>
      </c>
      <c r="F11" s="407">
        <v>9649482.9499999993</v>
      </c>
      <c r="G11" s="407">
        <v>0</v>
      </c>
      <c r="H11" s="407">
        <v>0</v>
      </c>
      <c r="I11" s="407">
        <v>0</v>
      </c>
      <c r="J11" s="407">
        <v>0</v>
      </c>
      <c r="K11" s="408">
        <f t="shared" si="10"/>
        <v>15537069</v>
      </c>
      <c r="L11" s="405">
        <v>2019</v>
      </c>
      <c r="M11" s="407">
        <f t="shared" si="1"/>
        <v>29232189</v>
      </c>
      <c r="N11" s="407">
        <f t="shared" si="2"/>
        <v>6673753.7377930023</v>
      </c>
      <c r="O11" s="407">
        <f t="shared" si="3"/>
        <v>7815669.4940469237</v>
      </c>
      <c r="P11" s="407">
        <f t="shared" si="4"/>
        <v>10267066.018426483</v>
      </c>
      <c r="Q11" s="407">
        <f t="shared" si="5"/>
        <v>278694.2333333334</v>
      </c>
      <c r="R11" s="407">
        <f t="shared" si="6"/>
        <v>6284261.333333333</v>
      </c>
      <c r="S11" s="407">
        <f t="shared" si="7"/>
        <v>0</v>
      </c>
      <c r="T11" s="407">
        <f t="shared" si="8"/>
        <v>0</v>
      </c>
      <c r="U11" s="408">
        <f t="shared" si="9"/>
        <v>60551633.816933081</v>
      </c>
    </row>
    <row r="12" spans="1:21" x14ac:dyDescent="0.25">
      <c r="B12" s="409">
        <v>2022</v>
      </c>
      <c r="C12" s="407">
        <v>3433285</v>
      </c>
      <c r="D12" s="407">
        <v>1024538.9</v>
      </c>
      <c r="E12" s="407">
        <v>1428962.1500000001</v>
      </c>
      <c r="F12" s="407">
        <v>9649482.9499999993</v>
      </c>
      <c r="G12" s="407">
        <v>0</v>
      </c>
      <c r="H12" s="407">
        <v>0</v>
      </c>
      <c r="I12" s="407">
        <v>0</v>
      </c>
      <c r="J12" s="407">
        <v>0</v>
      </c>
      <c r="K12" s="408">
        <f t="shared" si="10"/>
        <v>15536269</v>
      </c>
      <c r="L12" s="405">
        <v>2020</v>
      </c>
      <c r="M12" s="407">
        <f t="shared" si="1"/>
        <v>29230324</v>
      </c>
      <c r="N12" s="407">
        <f t="shared" si="2"/>
        <v>6585301.5072964681</v>
      </c>
      <c r="O12" s="407">
        <f t="shared" si="3"/>
        <v>7784984.8386269649</v>
      </c>
      <c r="P12" s="407">
        <f t="shared" si="4"/>
        <v>10266934.348426484</v>
      </c>
      <c r="Q12" s="407">
        <f t="shared" si="5"/>
        <v>278474.34999999998</v>
      </c>
      <c r="R12" s="407">
        <f t="shared" si="6"/>
        <v>6288659</v>
      </c>
      <c r="S12" s="407">
        <f t="shared" si="7"/>
        <v>0</v>
      </c>
      <c r="T12" s="407">
        <f t="shared" si="8"/>
        <v>0</v>
      </c>
      <c r="U12" s="408">
        <f t="shared" si="9"/>
        <v>60434678.044349916</v>
      </c>
    </row>
    <row r="13" spans="1:21" x14ac:dyDescent="0.25">
      <c r="B13" s="406">
        <v>2023</v>
      </c>
      <c r="C13" s="407">
        <v>3411555</v>
      </c>
      <c r="D13" s="407">
        <v>1021515.6200000001</v>
      </c>
      <c r="E13" s="407">
        <v>1424745.4700000002</v>
      </c>
      <c r="F13" s="407">
        <v>9648766.9100000001</v>
      </c>
      <c r="G13" s="407">
        <v>0</v>
      </c>
      <c r="H13" s="407">
        <v>0</v>
      </c>
      <c r="I13" s="407">
        <v>0</v>
      </c>
      <c r="J13" s="407">
        <v>0</v>
      </c>
      <c r="K13" s="408">
        <f t="shared" si="10"/>
        <v>15506583</v>
      </c>
      <c r="L13" s="405">
        <v>2021</v>
      </c>
      <c r="M13" s="410">
        <f t="shared" si="1"/>
        <v>29305871.934940301</v>
      </c>
      <c r="N13" s="410">
        <f t="shared" si="2"/>
        <v>6723203.5239578728</v>
      </c>
      <c r="O13" s="410">
        <f t="shared" si="3"/>
        <v>8419069.7081180345</v>
      </c>
      <c r="P13" s="410">
        <f t="shared" si="4"/>
        <v>10384797.871148594</v>
      </c>
      <c r="Q13" s="410">
        <f t="shared" si="5"/>
        <v>314471.08306896279</v>
      </c>
      <c r="R13" s="410">
        <f t="shared" si="6"/>
        <v>6296919</v>
      </c>
      <c r="S13" s="410">
        <f t="shared" si="7"/>
        <v>0</v>
      </c>
      <c r="T13" s="410">
        <f t="shared" si="8"/>
        <v>0</v>
      </c>
      <c r="U13" s="408">
        <f t="shared" si="9"/>
        <v>61444333.121233761</v>
      </c>
    </row>
    <row r="14" spans="1:21" x14ac:dyDescent="0.25">
      <c r="B14" s="406">
        <v>2024</v>
      </c>
      <c r="C14" s="407">
        <v>3411555</v>
      </c>
      <c r="D14" s="407">
        <v>885399.24</v>
      </c>
      <c r="E14" s="407">
        <v>1234898.94</v>
      </c>
      <c r="F14" s="407">
        <v>9616528.8200000003</v>
      </c>
      <c r="G14" s="407">
        <v>0</v>
      </c>
      <c r="H14" s="407">
        <v>0</v>
      </c>
      <c r="I14" s="407">
        <v>0</v>
      </c>
      <c r="J14" s="407">
        <v>0</v>
      </c>
      <c r="K14" s="408">
        <f t="shared" si="10"/>
        <v>15148382</v>
      </c>
      <c r="L14" s="405">
        <v>2022</v>
      </c>
      <c r="M14" s="407">
        <f t="shared" si="1"/>
        <v>29517005.581627347</v>
      </c>
      <c r="N14" s="407">
        <f t="shared" si="2"/>
        <v>7633814.9046583213</v>
      </c>
      <c r="O14" s="407">
        <f t="shared" si="3"/>
        <v>10123383.733097071</v>
      </c>
      <c r="P14" s="407">
        <f t="shared" si="4"/>
        <v>10735595.671786766</v>
      </c>
      <c r="Q14" s="407">
        <f t="shared" si="5"/>
        <v>390912.74599548522</v>
      </c>
      <c r="R14" s="407">
        <f t="shared" si="6"/>
        <v>5752413.4589334028</v>
      </c>
      <c r="S14" s="407">
        <f t="shared" si="7"/>
        <v>0</v>
      </c>
      <c r="T14" s="407">
        <f t="shared" si="8"/>
        <v>0</v>
      </c>
      <c r="U14" s="408">
        <f t="shared" si="9"/>
        <v>64153126.096098393</v>
      </c>
    </row>
    <row r="15" spans="1:21" x14ac:dyDescent="0.25">
      <c r="B15" s="409">
        <v>2025</v>
      </c>
      <c r="C15" s="407">
        <v>3271033</v>
      </c>
      <c r="D15" s="407">
        <v>537467.82000000007</v>
      </c>
      <c r="E15" s="407">
        <v>749626.17</v>
      </c>
      <c r="F15" s="407">
        <v>9139843.0099999998</v>
      </c>
      <c r="G15" s="407">
        <v>0</v>
      </c>
      <c r="H15" s="407">
        <v>0</v>
      </c>
      <c r="I15" s="407">
        <v>0</v>
      </c>
      <c r="J15" s="407">
        <v>0</v>
      </c>
      <c r="K15" s="408">
        <f t="shared" si="10"/>
        <v>13697970</v>
      </c>
      <c r="L15" s="405">
        <v>2023</v>
      </c>
      <c r="M15" s="407">
        <f t="shared" si="1"/>
        <v>30133809.97628472</v>
      </c>
      <c r="N15" s="407">
        <f t="shared" si="2"/>
        <v>8863502.7297288366</v>
      </c>
      <c r="O15" s="407">
        <f t="shared" si="3"/>
        <v>12359708.990371948</v>
      </c>
      <c r="P15" s="407">
        <f t="shared" si="4"/>
        <v>11776437.184313722</v>
      </c>
      <c r="Q15" s="407">
        <f t="shared" si="5"/>
        <v>535149.39831725019</v>
      </c>
      <c r="R15" s="407">
        <f t="shared" si="6"/>
        <v>5752413.4589334028</v>
      </c>
      <c r="S15" s="407">
        <f t="shared" si="7"/>
        <v>0</v>
      </c>
      <c r="T15" s="407">
        <f t="shared" si="8"/>
        <v>0</v>
      </c>
      <c r="U15" s="408">
        <f t="shared" si="9"/>
        <v>69421021.737949878</v>
      </c>
    </row>
    <row r="16" spans="1:21" x14ac:dyDescent="0.25">
      <c r="B16" s="406">
        <v>2026</v>
      </c>
      <c r="C16" s="407">
        <v>3215018</v>
      </c>
      <c r="D16" s="407">
        <v>472781.93999999994</v>
      </c>
      <c r="E16" s="407">
        <v>659406.39</v>
      </c>
      <c r="F16" s="407">
        <v>9124522.6699999999</v>
      </c>
      <c r="G16" s="407">
        <v>0</v>
      </c>
      <c r="H16" s="407">
        <v>0</v>
      </c>
      <c r="I16" s="407">
        <v>0</v>
      </c>
      <c r="J16" s="407">
        <v>0</v>
      </c>
      <c r="K16" s="408">
        <f t="shared" si="10"/>
        <v>13471729</v>
      </c>
      <c r="L16" s="405">
        <v>2024</v>
      </c>
      <c r="M16" s="410">
        <f t="shared" si="1"/>
        <v>31567265.493016619</v>
      </c>
      <c r="N16" s="410">
        <f t="shared" si="2"/>
        <v>10274097.419494292</v>
      </c>
      <c r="O16" s="410">
        <f t="shared" si="3"/>
        <v>14642100.019155171</v>
      </c>
      <c r="P16" s="410">
        <f t="shared" si="4"/>
        <v>13613039.03583131</v>
      </c>
      <c r="Q16" s="410">
        <f t="shared" si="5"/>
        <v>726843.17854955222</v>
      </c>
      <c r="R16" s="410">
        <f t="shared" si="6"/>
        <v>5752413.4589334028</v>
      </c>
      <c r="S16" s="410">
        <f t="shared" si="7"/>
        <v>0</v>
      </c>
      <c r="T16" s="410">
        <f t="shared" si="8"/>
        <v>0</v>
      </c>
      <c r="U16" s="408">
        <f t="shared" si="9"/>
        <v>76575758.604980335</v>
      </c>
    </row>
    <row r="17" spans="1:23" x14ac:dyDescent="0.25">
      <c r="C17" s="407"/>
      <c r="D17" s="407"/>
      <c r="E17" s="407"/>
      <c r="F17" s="407"/>
      <c r="G17" s="407"/>
      <c r="H17" s="407"/>
      <c r="I17" s="407"/>
      <c r="J17" s="407"/>
      <c r="K17" s="408"/>
      <c r="L17" s="405">
        <v>2025</v>
      </c>
      <c r="M17" s="407">
        <f t="shared" si="1"/>
        <v>33138077.337702911</v>
      </c>
      <c r="N17" s="407">
        <f t="shared" si="2"/>
        <v>11827737.96299839</v>
      </c>
      <c r="O17" s="407">
        <f t="shared" si="3"/>
        <v>17126744.810117509</v>
      </c>
      <c r="P17" s="407">
        <f t="shared" si="4"/>
        <v>15251476.942608131</v>
      </c>
      <c r="Q17" s="407">
        <f t="shared" si="5"/>
        <v>950413.0196628964</v>
      </c>
      <c r="R17" s="407">
        <f t="shared" si="6"/>
        <v>5746107.4708899613</v>
      </c>
      <c r="S17" s="407">
        <f t="shared" si="7"/>
        <v>0</v>
      </c>
      <c r="T17" s="407">
        <f t="shared" si="8"/>
        <v>0</v>
      </c>
      <c r="U17" s="408">
        <f t="shared" si="9"/>
        <v>84040557.543979809</v>
      </c>
    </row>
    <row r="18" spans="1:23" x14ac:dyDescent="0.25">
      <c r="A18" s="405">
        <v>2016</v>
      </c>
      <c r="B18" s="409">
        <v>2016</v>
      </c>
      <c r="C18" s="407">
        <v>9359947</v>
      </c>
      <c r="D18" s="407">
        <v>2424031.85</v>
      </c>
      <c r="E18" s="407">
        <v>1620090.7799999998</v>
      </c>
      <c r="F18" s="407">
        <v>614588.37</v>
      </c>
      <c r="G18" s="407">
        <v>0</v>
      </c>
      <c r="H18" s="407">
        <v>0</v>
      </c>
      <c r="I18" s="407"/>
      <c r="J18" s="407">
        <v>0</v>
      </c>
      <c r="K18" s="408">
        <f t="shared" si="10"/>
        <v>14018657.999999998</v>
      </c>
      <c r="L18" s="405">
        <v>2026</v>
      </c>
      <c r="M18" s="407">
        <f t="shared" si="1"/>
        <v>34529625.589044094</v>
      </c>
      <c r="N18" s="407">
        <f t="shared" si="2"/>
        <v>13494534.34162293</v>
      </c>
      <c r="O18" s="407">
        <f t="shared" si="3"/>
        <v>19866454.951912038</v>
      </c>
      <c r="P18" s="407">
        <f t="shared" si="4"/>
        <v>17289190.203130886</v>
      </c>
      <c r="Q18" s="407">
        <f t="shared" si="5"/>
        <v>1167787.7878789699</v>
      </c>
      <c r="R18" s="407">
        <f t="shared" si="6"/>
        <v>5746107.4708899613</v>
      </c>
      <c r="S18" s="407">
        <f t="shared" si="7"/>
        <v>0</v>
      </c>
      <c r="T18" s="407">
        <f t="shared" si="8"/>
        <v>0</v>
      </c>
      <c r="U18" s="408">
        <f t="shared" si="9"/>
        <v>92093700.344478875</v>
      </c>
    </row>
    <row r="19" spans="1:23" x14ac:dyDescent="0.25">
      <c r="A19" s="411"/>
      <c r="B19" s="406">
        <v>2017</v>
      </c>
      <c r="C19" s="407">
        <v>9359947</v>
      </c>
      <c r="D19" s="407">
        <v>2424000.6672964673</v>
      </c>
      <c r="E19" s="407">
        <v>1620057.1986269648</v>
      </c>
      <c r="F19" s="407">
        <v>614573.17842648411</v>
      </c>
      <c r="G19" s="407">
        <v>0</v>
      </c>
      <c r="H19" s="407">
        <v>0</v>
      </c>
      <c r="I19" s="407">
        <v>0</v>
      </c>
      <c r="J19" s="407">
        <v>0</v>
      </c>
      <c r="K19" s="408">
        <f t="shared" si="10"/>
        <v>14018578.044349916</v>
      </c>
    </row>
    <row r="20" spans="1:23" x14ac:dyDescent="0.25">
      <c r="A20" s="411"/>
      <c r="B20" s="409">
        <v>2018</v>
      </c>
      <c r="C20" s="407">
        <v>9359947</v>
      </c>
      <c r="D20" s="407">
        <v>2418351.4572964674</v>
      </c>
      <c r="E20" s="407">
        <v>1622770.098626965</v>
      </c>
      <c r="F20" s="407">
        <v>617451.48842648417</v>
      </c>
      <c r="G20" s="407">
        <v>0</v>
      </c>
      <c r="H20" s="407">
        <v>0</v>
      </c>
      <c r="I20" s="407">
        <v>0</v>
      </c>
      <c r="J20" s="407">
        <v>0</v>
      </c>
      <c r="K20" s="408">
        <f t="shared" si="10"/>
        <v>14018520.044349918</v>
      </c>
      <c r="M20" s="410"/>
      <c r="N20" s="410"/>
      <c r="O20" s="410"/>
      <c r="P20" s="410"/>
      <c r="Q20" s="410"/>
      <c r="R20" s="410"/>
      <c r="S20" s="410"/>
      <c r="T20" s="410"/>
      <c r="U20" s="408"/>
    </row>
    <row r="21" spans="1:23" x14ac:dyDescent="0.25">
      <c r="A21" s="411"/>
      <c r="B21" s="409">
        <v>2019</v>
      </c>
      <c r="C21" s="407">
        <v>9359947</v>
      </c>
      <c r="D21" s="407">
        <v>2295809.8172964673</v>
      </c>
      <c r="E21" s="407">
        <v>1584072.7386269649</v>
      </c>
      <c r="F21" s="407">
        <v>617451.48842648417</v>
      </c>
      <c r="G21" s="407">
        <v>0</v>
      </c>
      <c r="H21" s="407">
        <v>0</v>
      </c>
      <c r="I21" s="407">
        <v>0</v>
      </c>
      <c r="J21" s="407">
        <v>0</v>
      </c>
      <c r="K21" s="408">
        <f t="shared" si="10"/>
        <v>13857281.044349916</v>
      </c>
      <c r="M21" s="407"/>
      <c r="N21" s="407"/>
      <c r="O21" s="407"/>
      <c r="P21" s="407"/>
      <c r="Q21" s="407"/>
      <c r="R21" s="407"/>
      <c r="S21" s="407"/>
      <c r="T21" s="407"/>
      <c r="U21" s="408"/>
    </row>
    <row r="22" spans="1:23" x14ac:dyDescent="0.25">
      <c r="A22" s="411"/>
      <c r="B22" s="406">
        <v>2020</v>
      </c>
      <c r="C22" s="407">
        <v>9359947</v>
      </c>
      <c r="D22" s="407">
        <v>2204656.1772964676</v>
      </c>
      <c r="E22" s="407">
        <v>1555287.378626965</v>
      </c>
      <c r="F22" s="407">
        <v>617451.48842648417</v>
      </c>
      <c r="G22" s="407">
        <v>0</v>
      </c>
      <c r="H22" s="407">
        <v>0</v>
      </c>
      <c r="I22" s="407">
        <v>0</v>
      </c>
      <c r="J22" s="407">
        <v>0</v>
      </c>
      <c r="K22" s="408">
        <f t="shared" si="10"/>
        <v>13737342.044349916</v>
      </c>
      <c r="M22" s="407"/>
      <c r="N22" s="407"/>
      <c r="O22" s="407"/>
      <c r="P22" s="407"/>
      <c r="Q22" s="407"/>
      <c r="R22" s="407"/>
      <c r="S22" s="407"/>
      <c r="T22" s="407"/>
      <c r="U22" s="408"/>
    </row>
    <row r="23" spans="1:23" x14ac:dyDescent="0.25">
      <c r="B23" s="406">
        <v>2021</v>
      </c>
      <c r="C23" s="407">
        <v>9359947</v>
      </c>
      <c r="D23" s="407">
        <v>1854295.5844861702</v>
      </c>
      <c r="E23" s="407">
        <v>1438690.3217543373</v>
      </c>
      <c r="F23" s="407">
        <v>613638.66936505726</v>
      </c>
      <c r="G23" s="407">
        <v>0</v>
      </c>
      <c r="H23" s="407">
        <v>0</v>
      </c>
      <c r="I23" s="407">
        <v>0</v>
      </c>
      <c r="J23" s="407">
        <v>0</v>
      </c>
      <c r="K23" s="408">
        <f t="shared" si="10"/>
        <v>13266571.575605566</v>
      </c>
    </row>
    <row r="24" spans="1:23" x14ac:dyDescent="0.25">
      <c r="B24" s="409">
        <v>2022</v>
      </c>
      <c r="C24" s="407">
        <v>9359947</v>
      </c>
      <c r="D24" s="407">
        <v>1643061.1844861703</v>
      </c>
      <c r="E24" s="407">
        <v>1371984.7217543374</v>
      </c>
      <c r="F24" s="407">
        <v>613638.66936505726</v>
      </c>
      <c r="G24" s="407">
        <v>0</v>
      </c>
      <c r="H24" s="407">
        <v>0</v>
      </c>
      <c r="I24" s="407">
        <v>0</v>
      </c>
      <c r="J24" s="407">
        <v>0</v>
      </c>
      <c r="K24" s="408">
        <f t="shared" si="10"/>
        <v>12988631.575605564</v>
      </c>
      <c r="M24" s="407"/>
      <c r="W24" s="407"/>
    </row>
    <row r="25" spans="1:23" x14ac:dyDescent="0.25">
      <c r="B25" s="406">
        <v>2023</v>
      </c>
      <c r="C25" s="407">
        <v>9358824</v>
      </c>
      <c r="D25" s="407">
        <v>1557401.5844861702</v>
      </c>
      <c r="E25" s="407">
        <v>1344934.3217543373</v>
      </c>
      <c r="F25" s="407">
        <v>613638.66936505726</v>
      </c>
      <c r="G25" s="407">
        <v>0</v>
      </c>
      <c r="H25" s="407">
        <v>0</v>
      </c>
      <c r="I25" s="407">
        <v>0</v>
      </c>
      <c r="J25" s="407">
        <v>0</v>
      </c>
      <c r="K25" s="408">
        <f t="shared" si="10"/>
        <v>12874798.575605566</v>
      </c>
      <c r="M25" s="407"/>
      <c r="W25" s="407"/>
    </row>
    <row r="26" spans="1:23" x14ac:dyDescent="0.25">
      <c r="B26" s="406">
        <v>2024</v>
      </c>
      <c r="C26" s="407">
        <v>9358824</v>
      </c>
      <c r="D26" s="407">
        <v>1441479.7578876079</v>
      </c>
      <c r="E26" s="407">
        <v>1306738.5577251161</v>
      </c>
      <c r="F26" s="407">
        <v>612621.67897088593</v>
      </c>
      <c r="G26" s="407">
        <v>0</v>
      </c>
      <c r="H26" s="407">
        <v>0</v>
      </c>
      <c r="I26" s="407">
        <v>0</v>
      </c>
      <c r="J26" s="407">
        <v>0</v>
      </c>
      <c r="K26" s="408">
        <f t="shared" si="10"/>
        <v>12719663.99458361</v>
      </c>
      <c r="M26" s="405" t="str">
        <f>M5</f>
        <v>Residential</v>
      </c>
      <c r="N26" s="405" t="str">
        <f t="shared" ref="N26:T26" si="11">N5</f>
        <v>GS&lt;50 kW</v>
      </c>
      <c r="O26" s="405" t="str">
        <f t="shared" si="11"/>
        <v>GS 50 to 999 kW (I1 &amp; I4)</v>
      </c>
      <c r="P26" s="405" t="str">
        <f t="shared" si="11"/>
        <v>GS 1,000 to 4,999 kW (I2)</v>
      </c>
      <c r="Q26" s="405" t="str">
        <f t="shared" si="11"/>
        <v>Large Use (I3)</v>
      </c>
      <c r="R26" s="405" t="str">
        <f t="shared" si="11"/>
        <v>Street Lighting</v>
      </c>
      <c r="S26" s="405" t="str">
        <f t="shared" si="11"/>
        <v>USL</v>
      </c>
      <c r="T26" s="405" t="str">
        <f t="shared" si="11"/>
        <v>Sentinel Lights</v>
      </c>
      <c r="W26" s="407"/>
    </row>
    <row r="27" spans="1:23" x14ac:dyDescent="0.25">
      <c r="B27" s="409">
        <v>2025</v>
      </c>
      <c r="C27" s="407">
        <v>9329089</v>
      </c>
      <c r="D27" s="407">
        <v>1310997.2478876079</v>
      </c>
      <c r="E27" s="407">
        <v>1265397.8977251162</v>
      </c>
      <c r="F27" s="407">
        <v>612534.84897088585</v>
      </c>
      <c r="G27" s="407">
        <v>0</v>
      </c>
      <c r="H27" s="407">
        <v>0</v>
      </c>
      <c r="I27" s="407">
        <v>0</v>
      </c>
      <c r="J27" s="407">
        <v>0</v>
      </c>
      <c r="K27" s="408">
        <f t="shared" si="10"/>
        <v>12518018.99458361</v>
      </c>
      <c r="L27" s="405">
        <v>2024</v>
      </c>
      <c r="M27" s="412">
        <f>SUMIFS(C$4:C$88,$B$4:$B$88,$L27)-C86/2</f>
        <v>31567265.493016619</v>
      </c>
      <c r="N27" s="412">
        <f t="shared" ref="N27:T27" si="12">SUMIFS(D$4:D$88,$B$4:$B$88,$L27)-D86/2</f>
        <v>10274097.419494292</v>
      </c>
      <c r="O27" s="412">
        <f t="shared" si="12"/>
        <v>14642100.019155171</v>
      </c>
      <c r="P27" s="412">
        <f t="shared" si="12"/>
        <v>13613039.03583131</v>
      </c>
      <c r="Q27" s="412">
        <f t="shared" si="12"/>
        <v>726843.17854955222</v>
      </c>
      <c r="R27" s="412">
        <f t="shared" si="12"/>
        <v>5752413.4589334028</v>
      </c>
      <c r="S27" s="412">
        <f t="shared" si="12"/>
        <v>0</v>
      </c>
      <c r="T27" s="412">
        <f t="shared" si="12"/>
        <v>0</v>
      </c>
      <c r="U27" s="408">
        <f>SUM(M27:T27)</f>
        <v>76575758.604980335</v>
      </c>
      <c r="W27" s="407"/>
    </row>
    <row r="28" spans="1:23" x14ac:dyDescent="0.25">
      <c r="B28" s="406">
        <v>2026</v>
      </c>
      <c r="C28" s="407">
        <v>9243405</v>
      </c>
      <c r="D28" s="407">
        <v>1184762.0188705858</v>
      </c>
      <c r="E28" s="407">
        <v>1205238.2480144768</v>
      </c>
      <c r="F28" s="407">
        <v>550055.03791131102</v>
      </c>
      <c r="G28" s="407">
        <v>0</v>
      </c>
      <c r="H28" s="407">
        <v>0</v>
      </c>
      <c r="I28" s="407">
        <v>0</v>
      </c>
      <c r="J28" s="407">
        <v>0</v>
      </c>
      <c r="K28" s="408">
        <f t="shared" si="10"/>
        <v>12183460.304796373</v>
      </c>
      <c r="L28" s="405">
        <v>2025</v>
      </c>
      <c r="M28" s="412">
        <f>SUMIFS(C$4:C$88,$B$4:$B$88,$L28)-C87/2</f>
        <v>31134905.522142</v>
      </c>
      <c r="N28" s="412">
        <f t="shared" ref="N28:T28" si="13">SUMIFS(D$4:D$88,$B$4:$B$88,$L28)-D87/2</f>
        <v>9604045.3668436669</v>
      </c>
      <c r="O28" s="412">
        <f t="shared" si="13"/>
        <v>14028874.837089229</v>
      </c>
      <c r="P28" s="412">
        <f t="shared" si="13"/>
        <v>13136830.164710363</v>
      </c>
      <c r="Q28" s="412">
        <f t="shared" si="13"/>
        <v>726156.48238483572</v>
      </c>
      <c r="R28" s="412">
        <f t="shared" si="13"/>
        <v>5746107.4708899613</v>
      </c>
      <c r="S28" s="412">
        <f t="shared" si="13"/>
        <v>0</v>
      </c>
      <c r="T28" s="412">
        <f t="shared" si="13"/>
        <v>0</v>
      </c>
      <c r="U28" s="408">
        <f>SUM(M28:T28)</f>
        <v>74376919.844060034</v>
      </c>
      <c r="W28" s="407"/>
    </row>
    <row r="29" spans="1:23" x14ac:dyDescent="0.25">
      <c r="C29" s="413"/>
      <c r="D29" s="413"/>
      <c r="E29" s="413"/>
      <c r="F29" s="413"/>
      <c r="G29" s="413"/>
      <c r="H29" s="413"/>
      <c r="I29" s="413"/>
      <c r="J29" s="413"/>
      <c r="K29" s="408"/>
      <c r="L29" s="405">
        <v>2026</v>
      </c>
      <c r="M29" s="412">
        <f>SUMIFS(C$4:C$88,$B$4:$B$88,$L29)-C88/2</f>
        <v>30745480.285217583</v>
      </c>
      <c r="N29" s="412">
        <f t="shared" ref="N29:T29" si="14">SUMIFS(D$4:D$88,$B$4:$B$88,$L29)-D88/2</f>
        <v>9078434.0899492577</v>
      </c>
      <c r="O29" s="412">
        <f t="shared" si="14"/>
        <v>13684220.734958058</v>
      </c>
      <c r="P29" s="412">
        <f t="shared" si="14"/>
        <v>13059603.315362828</v>
      </c>
      <c r="Q29" s="412">
        <f t="shared" si="14"/>
        <v>719352.35699323611</v>
      </c>
      <c r="R29" s="412">
        <f t="shared" si="14"/>
        <v>5746107.4708899613</v>
      </c>
      <c r="S29" s="412">
        <f t="shared" si="14"/>
        <v>0</v>
      </c>
      <c r="T29" s="412">
        <f t="shared" si="14"/>
        <v>0</v>
      </c>
      <c r="U29" s="408">
        <f>SUM(M29:T29)</f>
        <v>73033198.253370926</v>
      </c>
      <c r="W29" s="407"/>
    </row>
    <row r="30" spans="1:23" x14ac:dyDescent="0.25">
      <c r="A30" s="405">
        <v>2017</v>
      </c>
      <c r="B30" s="406">
        <v>2017</v>
      </c>
      <c r="C30" s="413">
        <v>16824259</v>
      </c>
      <c r="D30" s="413">
        <v>2515338.0099999998</v>
      </c>
      <c r="E30" s="413">
        <v>3524477.64</v>
      </c>
      <c r="F30" s="413">
        <v>0</v>
      </c>
      <c r="G30" s="413">
        <v>278887.34999999998</v>
      </c>
      <c r="H30" s="413">
        <v>6288659</v>
      </c>
      <c r="I30" s="413">
        <v>0</v>
      </c>
      <c r="J30" s="413">
        <v>0</v>
      </c>
      <c r="K30" s="408">
        <f t="shared" si="10"/>
        <v>29431621</v>
      </c>
    </row>
    <row r="31" spans="1:23" x14ac:dyDescent="0.25">
      <c r="B31" s="409">
        <v>2018</v>
      </c>
      <c r="C31" s="413">
        <v>13242368</v>
      </c>
      <c r="D31" s="413">
        <v>2515525.3766666669</v>
      </c>
      <c r="E31" s="413">
        <v>3524798.84</v>
      </c>
      <c r="F31" s="413">
        <v>0</v>
      </c>
      <c r="G31" s="413">
        <v>278914.1166666667</v>
      </c>
      <c r="H31" s="413">
        <v>6279863.666666666</v>
      </c>
      <c r="I31" s="413">
        <v>0</v>
      </c>
      <c r="J31" s="413">
        <v>0</v>
      </c>
      <c r="K31" s="408">
        <f t="shared" si="10"/>
        <v>25841470</v>
      </c>
      <c r="M31" s="407"/>
    </row>
    <row r="32" spans="1:23" x14ac:dyDescent="0.25">
      <c r="B32" s="409">
        <v>2019</v>
      </c>
      <c r="C32" s="413">
        <v>13242368</v>
      </c>
      <c r="D32" s="413">
        <v>2509211.1133333333</v>
      </c>
      <c r="E32" s="413">
        <v>3520652.32</v>
      </c>
      <c r="F32" s="413">
        <v>0</v>
      </c>
      <c r="G32" s="413">
        <v>278694.2333333334</v>
      </c>
      <c r="H32" s="413">
        <v>6284261.333333333</v>
      </c>
      <c r="I32" s="413">
        <v>0</v>
      </c>
      <c r="J32" s="413">
        <v>0</v>
      </c>
      <c r="K32" s="408">
        <f t="shared" si="10"/>
        <v>25835187</v>
      </c>
      <c r="M32" s="407"/>
    </row>
    <row r="33" spans="1:23" x14ac:dyDescent="0.25">
      <c r="B33" s="406">
        <v>2020</v>
      </c>
      <c r="C33" s="413">
        <v>13242368</v>
      </c>
      <c r="D33" s="413">
        <v>2478083.61</v>
      </c>
      <c r="E33" s="413">
        <v>3508670.04</v>
      </c>
      <c r="F33" s="413">
        <v>0</v>
      </c>
      <c r="G33" s="413">
        <v>278474.34999999998</v>
      </c>
      <c r="H33" s="413">
        <v>6288659</v>
      </c>
      <c r="I33" s="413">
        <v>0</v>
      </c>
      <c r="J33" s="413">
        <v>0</v>
      </c>
      <c r="K33" s="408">
        <f t="shared" si="10"/>
        <v>25796255</v>
      </c>
      <c r="L33" s="1"/>
      <c r="M33" s="414"/>
      <c r="N33" s="414"/>
      <c r="O33" s="414"/>
      <c r="P33" s="414"/>
      <c r="Q33" s="414"/>
    </row>
    <row r="34" spans="1:23" x14ac:dyDescent="0.25">
      <c r="B34" s="406">
        <v>2021</v>
      </c>
      <c r="C34" s="413">
        <v>13242087</v>
      </c>
      <c r="D34" s="413">
        <v>2443300.6899999995</v>
      </c>
      <c r="E34" s="413">
        <v>3497685.96</v>
      </c>
      <c r="F34" s="413">
        <v>0</v>
      </c>
      <c r="G34" s="413">
        <v>278474.34999999998</v>
      </c>
      <c r="H34" s="413">
        <v>6296919</v>
      </c>
      <c r="I34" s="413">
        <v>0</v>
      </c>
      <c r="J34" s="413">
        <v>0</v>
      </c>
      <c r="K34" s="408">
        <f t="shared" si="10"/>
        <v>25758467</v>
      </c>
      <c r="L34" s="1"/>
      <c r="M34" s="414"/>
      <c r="N34" s="414"/>
      <c r="O34" s="414"/>
      <c r="P34" s="414"/>
      <c r="Q34" s="414"/>
    </row>
    <row r="35" spans="1:23" x14ac:dyDescent="0.25">
      <c r="B35" s="409">
        <v>2022</v>
      </c>
      <c r="C35" s="413">
        <v>13241425</v>
      </c>
      <c r="D35" s="413">
        <v>2173569.8793360302</v>
      </c>
      <c r="E35" s="413">
        <v>3176775.7017189092</v>
      </c>
      <c r="F35" s="413">
        <v>0</v>
      </c>
      <c r="G35" s="413">
        <v>254394.18847657577</v>
      </c>
      <c r="H35" s="413">
        <v>5752413.4589334028</v>
      </c>
      <c r="I35" s="413">
        <v>0</v>
      </c>
      <c r="J35" s="413">
        <v>0</v>
      </c>
      <c r="K35" s="408">
        <f t="shared" si="10"/>
        <v>24598578.228464916</v>
      </c>
      <c r="L35" s="1"/>
      <c r="M35" s="414"/>
      <c r="N35" s="414"/>
      <c r="O35" s="414"/>
      <c r="P35" s="414"/>
      <c r="Q35" s="414"/>
    </row>
    <row r="36" spans="1:23" x14ac:dyDescent="0.25">
      <c r="B36" s="406">
        <v>2023</v>
      </c>
      <c r="C36" s="413">
        <v>13241425</v>
      </c>
      <c r="D36" s="413">
        <v>2010232.9593360303</v>
      </c>
      <c r="E36" s="413">
        <v>3125195.6217189091</v>
      </c>
      <c r="F36" s="413">
        <v>0</v>
      </c>
      <c r="G36" s="413">
        <v>254394.18847657577</v>
      </c>
      <c r="H36" s="413">
        <v>5752413.4589334028</v>
      </c>
      <c r="I36" s="413">
        <v>0</v>
      </c>
      <c r="J36" s="413">
        <v>0</v>
      </c>
      <c r="K36" s="408">
        <f t="shared" si="10"/>
        <v>24383661.22846492</v>
      </c>
      <c r="L36" s="1"/>
      <c r="M36" s="414" t="str">
        <f>M26</f>
        <v>Residential</v>
      </c>
      <c r="N36" s="414" t="str">
        <f>N26</f>
        <v>GS&lt;50 kW</v>
      </c>
      <c r="O36" s="414" t="str">
        <f>O26</f>
        <v>GS 50 to 999 kW (I1 &amp; I4)</v>
      </c>
      <c r="P36" s="414" t="str">
        <f>P26</f>
        <v>GS 1,000 to 4,999 kW (I2)</v>
      </c>
      <c r="Q36" s="414" t="str">
        <f>Q26</f>
        <v>Large Use (I3)</v>
      </c>
      <c r="R36" s="414"/>
      <c r="S36" s="407"/>
      <c r="T36" s="407"/>
      <c r="U36" s="407"/>
      <c r="V36" s="407"/>
    </row>
    <row r="37" spans="1:23" x14ac:dyDescent="0.25">
      <c r="B37" s="406">
        <v>2024</v>
      </c>
      <c r="C37" s="413">
        <v>13241274.911516305</v>
      </c>
      <c r="D37" s="413">
        <v>1996869.8793360302</v>
      </c>
      <c r="E37" s="413">
        <v>3120975.7017189092</v>
      </c>
      <c r="F37" s="413">
        <v>0</v>
      </c>
      <c r="G37" s="413">
        <v>254394.18847657577</v>
      </c>
      <c r="H37" s="413">
        <v>5752413.4589334028</v>
      </c>
      <c r="I37" s="413">
        <v>0</v>
      </c>
      <c r="J37" s="413">
        <v>0</v>
      </c>
      <c r="K37" s="408">
        <f t="shared" si="10"/>
        <v>24365928.139981221</v>
      </c>
      <c r="L37" s="1">
        <v>2015</v>
      </c>
      <c r="M37" s="414">
        <f>M7</f>
        <v>1745859</v>
      </c>
      <c r="N37" s="414">
        <f>N7</f>
        <v>515127.62</v>
      </c>
      <c r="O37" s="414">
        <f>O7</f>
        <v>718467.47000000009</v>
      </c>
      <c r="P37" s="414">
        <f>P7</f>
        <v>4825418.41</v>
      </c>
      <c r="Q37" s="414">
        <f>Q7</f>
        <v>0</v>
      </c>
      <c r="R37" s="407"/>
      <c r="S37" s="407"/>
      <c r="T37" s="407"/>
      <c r="U37" s="407"/>
      <c r="V37" s="407"/>
    </row>
    <row r="38" spans="1:23" x14ac:dyDescent="0.25">
      <c r="B38" s="409">
        <v>2025</v>
      </c>
      <c r="C38" s="413">
        <v>13241274.911516305</v>
      </c>
      <c r="D38" s="413">
        <v>1958475.7514063972</v>
      </c>
      <c r="E38" s="413">
        <v>3106121.1966966814</v>
      </c>
      <c r="F38" s="413">
        <v>0</v>
      </c>
      <c r="G38" s="413">
        <v>254115.31305805678</v>
      </c>
      <c r="H38" s="413">
        <v>5746107.4708899613</v>
      </c>
      <c r="I38" s="413">
        <v>0</v>
      </c>
      <c r="J38" s="413">
        <v>0</v>
      </c>
      <c r="K38" s="408">
        <f t="shared" si="10"/>
        <v>24306094.643567398</v>
      </c>
      <c r="L38" s="1">
        <f t="shared" ref="L38:L46" si="15">L8</f>
        <v>2016</v>
      </c>
      <c r="M38" s="414">
        <f t="shared" ref="M38:O46" si="16">M8-M7</f>
        <v>6383645.5</v>
      </c>
      <c r="N38" s="414">
        <f t="shared" si="16"/>
        <v>1727143.5449999999</v>
      </c>
      <c r="O38" s="414">
        <f t="shared" si="16"/>
        <v>1528512.8599999999</v>
      </c>
      <c r="P38" s="414">
        <f t="shared" ref="P38:Q46" si="17">P8-P7</f>
        <v>5132712.5949999988</v>
      </c>
      <c r="Q38" s="414">
        <f t="shared" si="17"/>
        <v>0</v>
      </c>
      <c r="R38" s="407" t="s">
        <v>195</v>
      </c>
      <c r="S38" s="407"/>
      <c r="T38" s="407"/>
      <c r="U38" s="407"/>
      <c r="V38" s="407"/>
    </row>
    <row r="39" spans="1:23" x14ac:dyDescent="0.25">
      <c r="B39" s="406">
        <v>2026</v>
      </c>
      <c r="C39" s="413">
        <v>13226762.673903767</v>
      </c>
      <c r="D39" s="271">
        <v>1913889.5914063971</v>
      </c>
      <c r="E39" s="413">
        <v>3092041.3566966816</v>
      </c>
      <c r="F39" s="413">
        <v>0</v>
      </c>
      <c r="G39" s="413">
        <v>254115.31305805678</v>
      </c>
      <c r="H39" s="413">
        <v>5746107.4708899613</v>
      </c>
      <c r="I39" s="413">
        <v>0</v>
      </c>
      <c r="J39" s="413">
        <v>0</v>
      </c>
      <c r="K39" s="408">
        <f t="shared" si="10"/>
        <v>24232916.40595486</v>
      </c>
      <c r="L39" s="1">
        <f t="shared" si="15"/>
        <v>2017</v>
      </c>
      <c r="M39" s="414">
        <f t="shared" si="16"/>
        <v>13089379</v>
      </c>
      <c r="N39" s="414">
        <f t="shared" si="16"/>
        <v>2469653.7472964674</v>
      </c>
      <c r="O39" s="414">
        <f t="shared" si="16"/>
        <v>2572250.628626965</v>
      </c>
      <c r="P39" s="414">
        <f t="shared" si="17"/>
        <v>307278.99342648499</v>
      </c>
      <c r="Q39" s="414">
        <f t="shared" si="17"/>
        <v>139443.67499999999</v>
      </c>
      <c r="T39" s="407"/>
      <c r="U39" s="407"/>
      <c r="V39" s="407"/>
    </row>
    <row r="40" spans="1:23" x14ac:dyDescent="0.25">
      <c r="C40" s="413"/>
      <c r="D40" s="413"/>
      <c r="E40" s="413"/>
      <c r="F40" s="413"/>
      <c r="G40" s="413"/>
      <c r="H40" s="413"/>
      <c r="I40" s="413"/>
      <c r="J40" s="413"/>
      <c r="K40" s="408"/>
      <c r="L40" s="1">
        <f t="shared" si="15"/>
        <v>2018</v>
      </c>
      <c r="M40" s="414">
        <f t="shared" si="16"/>
        <v>6433871.3560417779</v>
      </c>
      <c r="N40" s="414">
        <f t="shared" si="16"/>
        <v>1686797.319189054</v>
      </c>
      <c r="O40" s="414">
        <f t="shared" si="16"/>
        <v>2406862.9830434006</v>
      </c>
      <c r="P40" s="414">
        <f t="shared" si="17"/>
        <v>1656.019999999553</v>
      </c>
      <c r="Q40" s="414">
        <f t="shared" si="17"/>
        <v>139470.44166666671</v>
      </c>
      <c r="U40" s="407"/>
      <c r="V40" s="407"/>
      <c r="W40" s="415"/>
    </row>
    <row r="41" spans="1:23" x14ac:dyDescent="0.25">
      <c r="A41" s="405">
        <v>2018</v>
      </c>
      <c r="B41" s="409">
        <v>2018</v>
      </c>
      <c r="C41" s="413">
        <v>3211983.7120835511</v>
      </c>
      <c r="D41" s="413">
        <v>879501.87504477438</v>
      </c>
      <c r="E41" s="413">
        <v>1297575.9860867995</v>
      </c>
      <c r="F41" s="413">
        <v>0</v>
      </c>
      <c r="G41" s="413">
        <v>0</v>
      </c>
      <c r="H41" s="413">
        <v>0</v>
      </c>
      <c r="I41" s="413">
        <v>0</v>
      </c>
      <c r="J41" s="413">
        <v>0</v>
      </c>
      <c r="K41" s="408">
        <f>SUM(C41:J41)</f>
        <v>5389061.5732151251</v>
      </c>
      <c r="L41" s="1">
        <f t="shared" si="15"/>
        <v>2019</v>
      </c>
      <c r="M41" s="414">
        <f t="shared" si="16"/>
        <v>1579434.1439582221</v>
      </c>
      <c r="N41" s="414">
        <f>N11-N10</f>
        <v>275031.50630748086</v>
      </c>
      <c r="O41" s="414">
        <f t="shared" si="16"/>
        <v>589575.55237655807</v>
      </c>
      <c r="P41" s="414">
        <f t="shared" si="17"/>
        <v>0</v>
      </c>
      <c r="Q41" s="414">
        <f t="shared" si="17"/>
        <v>-219.88333333330229</v>
      </c>
      <c r="V41" s="407"/>
    </row>
    <row r="42" spans="1:23" x14ac:dyDescent="0.25">
      <c r="B42" s="409">
        <v>2019</v>
      </c>
      <c r="C42" s="413">
        <v>3188821</v>
      </c>
      <c r="D42" s="413">
        <v>798454.99999999988</v>
      </c>
      <c r="E42" s="413">
        <v>1266939</v>
      </c>
      <c r="F42" s="413">
        <v>0</v>
      </c>
      <c r="G42" s="413">
        <v>0</v>
      </c>
      <c r="H42" s="413">
        <v>0</v>
      </c>
      <c r="I42" s="413">
        <v>0</v>
      </c>
      <c r="J42" s="413">
        <v>0</v>
      </c>
      <c r="K42" s="408">
        <f>SUM(C42:J42)</f>
        <v>5254215</v>
      </c>
      <c r="L42" s="1">
        <f t="shared" si="15"/>
        <v>2020</v>
      </c>
      <c r="M42" s="414">
        <f t="shared" si="16"/>
        <v>-1865</v>
      </c>
      <c r="N42" s="414">
        <f t="shared" si="16"/>
        <v>-88452.230496534146</v>
      </c>
      <c r="O42" s="414">
        <f t="shared" si="16"/>
        <v>-30684.655419958755</v>
      </c>
      <c r="P42" s="414">
        <f t="shared" si="17"/>
        <v>-131.66999999992549</v>
      </c>
      <c r="Q42" s="414">
        <f t="shared" si="17"/>
        <v>-219.8833333334187</v>
      </c>
    </row>
    <row r="43" spans="1:23" x14ac:dyDescent="0.25">
      <c r="B43" s="406">
        <v>2020</v>
      </c>
      <c r="C43" s="413">
        <v>3188821</v>
      </c>
      <c r="D43" s="413">
        <v>798454.99999999988</v>
      </c>
      <c r="E43" s="413">
        <v>1266939</v>
      </c>
      <c r="F43" s="413">
        <v>0</v>
      </c>
      <c r="G43" s="413">
        <v>0</v>
      </c>
      <c r="H43" s="413">
        <v>0</v>
      </c>
      <c r="I43" s="413">
        <v>0</v>
      </c>
      <c r="J43" s="413">
        <v>0</v>
      </c>
      <c r="K43" s="408">
        <f t="shared" ref="K43:K73" si="18">SUM(C43:J43)</f>
        <v>5254215</v>
      </c>
      <c r="L43" s="1">
        <f t="shared" si="15"/>
        <v>2021</v>
      </c>
      <c r="M43" s="414">
        <f t="shared" si="16"/>
        <v>75547.934940300882</v>
      </c>
      <c r="N43" s="414">
        <f t="shared" si="16"/>
        <v>137902.01666140463</v>
      </c>
      <c r="O43" s="414">
        <f t="shared" si="16"/>
        <v>634084.86949106958</v>
      </c>
      <c r="P43" s="414">
        <f t="shared" si="17"/>
        <v>117863.52272211015</v>
      </c>
      <c r="Q43" s="414">
        <f t="shared" si="17"/>
        <v>35996.733068962814</v>
      </c>
    </row>
    <row r="44" spans="1:23" x14ac:dyDescent="0.25">
      <c r="B44" s="406">
        <v>2021</v>
      </c>
      <c r="C44" s="413">
        <v>3188821</v>
      </c>
      <c r="D44" s="413">
        <v>798454.99999999988</v>
      </c>
      <c r="E44" s="413">
        <v>1266939</v>
      </c>
      <c r="F44" s="413">
        <v>0</v>
      </c>
      <c r="G44" s="413">
        <v>0</v>
      </c>
      <c r="H44" s="413">
        <v>0</v>
      </c>
      <c r="I44" s="413">
        <v>0</v>
      </c>
      <c r="J44" s="413">
        <v>0</v>
      </c>
      <c r="K44" s="408">
        <f t="shared" si="18"/>
        <v>5254215</v>
      </c>
      <c r="L44" s="1">
        <f t="shared" si="15"/>
        <v>2022</v>
      </c>
      <c r="M44" s="414">
        <f t="shared" si="16"/>
        <v>211133.64668704569</v>
      </c>
      <c r="N44" s="414">
        <f t="shared" si="16"/>
        <v>910611.38070044853</v>
      </c>
      <c r="O44" s="414">
        <f t="shared" si="16"/>
        <v>1704314.0249790363</v>
      </c>
      <c r="P44" s="414">
        <f t="shared" si="17"/>
        <v>350797.80063817278</v>
      </c>
      <c r="Q44" s="414">
        <f t="shared" si="17"/>
        <v>76441.662926522433</v>
      </c>
    </row>
    <row r="45" spans="1:23" x14ac:dyDescent="0.25">
      <c r="B45" s="409">
        <v>2022</v>
      </c>
      <c r="C45" s="413">
        <v>3188821</v>
      </c>
      <c r="D45" s="413">
        <v>798454.99999999988</v>
      </c>
      <c r="E45" s="413">
        <v>1266939</v>
      </c>
      <c r="F45" s="413">
        <v>0</v>
      </c>
      <c r="G45" s="413">
        <v>0</v>
      </c>
      <c r="H45" s="413">
        <v>0</v>
      </c>
      <c r="I45" s="413">
        <v>0</v>
      </c>
      <c r="J45" s="413">
        <v>0</v>
      </c>
      <c r="K45" s="408">
        <f t="shared" si="18"/>
        <v>5254215</v>
      </c>
      <c r="L45" s="1">
        <f t="shared" si="15"/>
        <v>2023</v>
      </c>
      <c r="M45" s="414">
        <f t="shared" si="16"/>
        <v>616804.39465737343</v>
      </c>
      <c r="N45" s="414">
        <f t="shared" si="16"/>
        <v>1229687.8250705153</v>
      </c>
      <c r="O45" s="414">
        <f t="shared" si="16"/>
        <v>2236325.2572748773</v>
      </c>
      <c r="P45" s="414">
        <f t="shared" si="17"/>
        <v>1040841.5125269555</v>
      </c>
      <c r="Q45" s="414">
        <f t="shared" si="17"/>
        <v>144236.65232176497</v>
      </c>
    </row>
    <row r="46" spans="1:23" x14ac:dyDescent="0.25">
      <c r="B46" s="406">
        <v>2023</v>
      </c>
      <c r="C46" s="413">
        <v>3188821</v>
      </c>
      <c r="D46" s="413">
        <v>798454.99999999988</v>
      </c>
      <c r="E46" s="413">
        <v>1266939</v>
      </c>
      <c r="F46" s="413">
        <v>0</v>
      </c>
      <c r="G46" s="413">
        <v>0</v>
      </c>
      <c r="H46" s="413">
        <v>0</v>
      </c>
      <c r="I46" s="413">
        <v>0</v>
      </c>
      <c r="J46" s="413">
        <v>0</v>
      </c>
      <c r="K46" s="408">
        <f t="shared" si="18"/>
        <v>5254215</v>
      </c>
      <c r="L46" s="1">
        <f t="shared" si="15"/>
        <v>2024</v>
      </c>
      <c r="M46" s="414">
        <f t="shared" si="16"/>
        <v>1433455.5167318992</v>
      </c>
      <c r="N46" s="414">
        <f t="shared" si="16"/>
        <v>1410594.6897654552</v>
      </c>
      <c r="O46" s="414">
        <f t="shared" si="16"/>
        <v>2282391.0287832227</v>
      </c>
      <c r="P46" s="414">
        <f t="shared" si="17"/>
        <v>1836601.8515175879</v>
      </c>
      <c r="Q46" s="414">
        <f t="shared" si="17"/>
        <v>191693.78023230203</v>
      </c>
    </row>
    <row r="47" spans="1:23" x14ac:dyDescent="0.25">
      <c r="B47" s="406">
        <v>2024</v>
      </c>
      <c r="C47" s="413">
        <v>3188821</v>
      </c>
      <c r="D47" s="413">
        <v>798454.99999999988</v>
      </c>
      <c r="E47" s="413">
        <v>1266939</v>
      </c>
      <c r="F47" s="413">
        <v>0</v>
      </c>
      <c r="G47" s="413">
        <v>0</v>
      </c>
      <c r="H47" s="413">
        <v>0</v>
      </c>
      <c r="I47" s="413">
        <v>0</v>
      </c>
      <c r="J47" s="413">
        <v>0</v>
      </c>
      <c r="K47" s="408">
        <f t="shared" si="18"/>
        <v>5254215</v>
      </c>
    </row>
    <row r="48" spans="1:23" x14ac:dyDescent="0.25">
      <c r="B48" s="409">
        <v>2025</v>
      </c>
      <c r="C48" s="413">
        <v>3188821</v>
      </c>
      <c r="D48" s="413">
        <v>798454.99999999988</v>
      </c>
      <c r="E48" s="413">
        <v>1266939</v>
      </c>
      <c r="F48" s="413">
        <v>0</v>
      </c>
      <c r="G48" s="413">
        <v>0</v>
      </c>
      <c r="H48" s="413">
        <v>0</v>
      </c>
      <c r="I48" s="413">
        <v>0</v>
      </c>
      <c r="J48" s="413">
        <v>0</v>
      </c>
      <c r="K48" s="408">
        <f t="shared" si="18"/>
        <v>5254215</v>
      </c>
    </row>
    <row r="49" spans="1:11" x14ac:dyDescent="0.25">
      <c r="B49" s="406">
        <v>2026</v>
      </c>
      <c r="C49" s="413">
        <v>3188821</v>
      </c>
      <c r="D49" s="413">
        <v>798454.99999999988</v>
      </c>
      <c r="E49" s="413">
        <v>1266939</v>
      </c>
      <c r="F49" s="413">
        <v>0</v>
      </c>
      <c r="G49" s="413">
        <v>0</v>
      </c>
      <c r="H49" s="413">
        <v>0</v>
      </c>
      <c r="I49" s="413">
        <v>0</v>
      </c>
      <c r="J49" s="413">
        <v>0</v>
      </c>
      <c r="K49" s="408">
        <f t="shared" si="18"/>
        <v>5254215</v>
      </c>
    </row>
    <row r="50" spans="1:11" x14ac:dyDescent="0.25">
      <c r="C50" s="413"/>
      <c r="D50" s="413"/>
      <c r="E50" s="413"/>
      <c r="F50" s="413"/>
      <c r="G50" s="413"/>
      <c r="H50" s="413"/>
      <c r="I50" s="413"/>
      <c r="J50" s="413"/>
      <c r="K50" s="408"/>
    </row>
    <row r="51" spans="1:11" x14ac:dyDescent="0.25">
      <c r="A51" s="405">
        <v>2019</v>
      </c>
      <c r="B51" s="406">
        <v>2019</v>
      </c>
      <c r="C51" s="413">
        <v>4410</v>
      </c>
      <c r="D51" s="413">
        <v>90366.694326404904</v>
      </c>
      <c r="E51" s="413">
        <v>28536.850839917333</v>
      </c>
      <c r="F51" s="413">
        <v>0</v>
      </c>
      <c r="G51" s="413">
        <v>0</v>
      </c>
      <c r="H51" s="413">
        <v>0</v>
      </c>
      <c r="I51" s="413">
        <v>0</v>
      </c>
      <c r="J51" s="405">
        <v>0</v>
      </c>
      <c r="K51" s="408">
        <f t="shared" si="18"/>
        <v>123313.54516632223</v>
      </c>
    </row>
    <row r="52" spans="1:11" x14ac:dyDescent="0.25">
      <c r="B52" s="406">
        <v>2020</v>
      </c>
      <c r="C52" s="413">
        <v>4410</v>
      </c>
      <c r="D52" s="413">
        <v>79568.2</v>
      </c>
      <c r="E52" s="413">
        <v>25126.799999999999</v>
      </c>
      <c r="F52" s="413">
        <v>0</v>
      </c>
      <c r="G52" s="413">
        <v>0</v>
      </c>
      <c r="H52" s="413">
        <v>0</v>
      </c>
      <c r="I52" s="413">
        <v>0</v>
      </c>
      <c r="J52" s="405">
        <v>0</v>
      </c>
      <c r="K52" s="408">
        <f t="shared" si="18"/>
        <v>109105</v>
      </c>
    </row>
    <row r="53" spans="1:11" x14ac:dyDescent="0.25">
      <c r="B53" s="406">
        <v>2021</v>
      </c>
      <c r="C53" s="413">
        <v>4410</v>
      </c>
      <c r="D53" s="413">
        <v>79568.2</v>
      </c>
      <c r="E53" s="413">
        <v>25126.799999999999</v>
      </c>
      <c r="F53" s="413">
        <v>0</v>
      </c>
      <c r="G53" s="413">
        <v>0</v>
      </c>
      <c r="H53" s="413">
        <v>0</v>
      </c>
      <c r="I53" s="413">
        <v>0</v>
      </c>
      <c r="J53" s="405">
        <v>0</v>
      </c>
      <c r="K53" s="408">
        <f t="shared" si="18"/>
        <v>109105</v>
      </c>
    </row>
    <row r="54" spans="1:11" x14ac:dyDescent="0.25">
      <c r="B54" s="409">
        <v>2022</v>
      </c>
      <c r="C54" s="413">
        <v>4410</v>
      </c>
      <c r="D54" s="413">
        <v>79568.2</v>
      </c>
      <c r="E54" s="413">
        <v>25126.799999999999</v>
      </c>
      <c r="F54" s="413">
        <v>0</v>
      </c>
      <c r="G54" s="413">
        <v>0</v>
      </c>
      <c r="H54" s="413">
        <v>0</v>
      </c>
      <c r="I54" s="413">
        <v>0</v>
      </c>
      <c r="J54" s="405">
        <v>0</v>
      </c>
      <c r="K54" s="408">
        <f t="shared" si="18"/>
        <v>109105</v>
      </c>
    </row>
    <row r="55" spans="1:11" x14ac:dyDescent="0.25">
      <c r="B55" s="406">
        <v>2023</v>
      </c>
      <c r="C55" s="413">
        <v>4410</v>
      </c>
      <c r="D55" s="413">
        <v>79568.2</v>
      </c>
      <c r="E55" s="413">
        <v>25126.799999999999</v>
      </c>
      <c r="F55" s="413">
        <v>0</v>
      </c>
      <c r="G55" s="413">
        <v>0</v>
      </c>
      <c r="H55" s="413">
        <v>0</v>
      </c>
      <c r="I55" s="413">
        <v>0</v>
      </c>
      <c r="J55" s="405">
        <v>0</v>
      </c>
      <c r="K55" s="408">
        <f t="shared" si="18"/>
        <v>109105</v>
      </c>
    </row>
    <row r="56" spans="1:11" x14ac:dyDescent="0.25">
      <c r="B56" s="406">
        <v>2024</v>
      </c>
      <c r="C56" s="413">
        <v>4410</v>
      </c>
      <c r="D56" s="413">
        <v>79568.2</v>
      </c>
      <c r="E56" s="413">
        <v>25126.799999999999</v>
      </c>
      <c r="F56" s="413">
        <v>0</v>
      </c>
      <c r="G56" s="413">
        <v>0</v>
      </c>
      <c r="H56" s="413">
        <v>0</v>
      </c>
      <c r="I56" s="413">
        <v>0</v>
      </c>
      <c r="J56" s="405">
        <v>0</v>
      </c>
      <c r="K56" s="408">
        <f t="shared" si="18"/>
        <v>109105</v>
      </c>
    </row>
    <row r="57" spans="1:11" x14ac:dyDescent="0.25">
      <c r="B57" s="409">
        <v>2025</v>
      </c>
      <c r="C57" s="413">
        <v>4410</v>
      </c>
      <c r="D57" s="413">
        <v>79568.2</v>
      </c>
      <c r="E57" s="413">
        <v>25126.799999999999</v>
      </c>
      <c r="F57" s="413">
        <v>0</v>
      </c>
      <c r="G57" s="413">
        <v>0</v>
      </c>
      <c r="H57" s="413">
        <v>0</v>
      </c>
      <c r="I57" s="413">
        <v>0</v>
      </c>
      <c r="J57" s="405">
        <v>0</v>
      </c>
      <c r="K57" s="408">
        <f t="shared" si="18"/>
        <v>109105</v>
      </c>
    </row>
    <row r="58" spans="1:11" x14ac:dyDescent="0.25">
      <c r="B58" s="406">
        <v>2026</v>
      </c>
      <c r="C58" s="413">
        <v>4410</v>
      </c>
      <c r="D58" s="413">
        <v>79568.2</v>
      </c>
      <c r="E58" s="413">
        <v>25126.799999999999</v>
      </c>
      <c r="F58" s="413">
        <v>0</v>
      </c>
      <c r="G58" s="413">
        <v>0</v>
      </c>
      <c r="H58" s="413">
        <v>0</v>
      </c>
      <c r="I58" s="413">
        <v>0</v>
      </c>
      <c r="J58" s="405">
        <v>0</v>
      </c>
      <c r="K58" s="408">
        <f t="shared" si="18"/>
        <v>109105</v>
      </c>
    </row>
    <row r="59" spans="1:11" x14ac:dyDescent="0.25">
      <c r="C59" s="413"/>
      <c r="D59" s="413"/>
      <c r="E59" s="413"/>
      <c r="F59" s="413"/>
      <c r="G59" s="413"/>
      <c r="H59" s="413"/>
      <c r="I59" s="413"/>
      <c r="J59" s="413"/>
      <c r="K59" s="408"/>
    </row>
    <row r="60" spans="1:11" x14ac:dyDescent="0.25">
      <c r="A60" s="405">
        <v>2020</v>
      </c>
      <c r="B60" s="406">
        <v>2020</v>
      </c>
      <c r="C60" s="410">
        <v>0</v>
      </c>
      <c r="D60" s="410"/>
      <c r="E60" s="410"/>
      <c r="F60" s="410"/>
      <c r="G60" s="410"/>
      <c r="H60" s="407"/>
      <c r="I60" s="407"/>
      <c r="J60" s="407"/>
      <c r="K60" s="408">
        <f t="shared" si="18"/>
        <v>0</v>
      </c>
    </row>
    <row r="61" spans="1:11" x14ac:dyDescent="0.25">
      <c r="B61" s="406">
        <v>2021</v>
      </c>
      <c r="C61" s="410">
        <f t="shared" ref="C61:E66" si="19">C60*(SUM(C52,C42,C31,C19,C6)/SUM(C$51,C$41,C$30,C$18,C$5))</f>
        <v>0</v>
      </c>
      <c r="D61" s="410">
        <f t="shared" si="19"/>
        <v>0</v>
      </c>
      <c r="E61" s="410">
        <f t="shared" si="19"/>
        <v>0</v>
      </c>
      <c r="F61" s="410"/>
      <c r="G61" s="410"/>
      <c r="H61" s="407"/>
      <c r="I61" s="407"/>
      <c r="J61" s="407"/>
      <c r="K61" s="408">
        <f t="shared" si="18"/>
        <v>0</v>
      </c>
    </row>
    <row r="62" spans="1:11" x14ac:dyDescent="0.25">
      <c r="B62" s="409">
        <v>2022</v>
      </c>
      <c r="C62" s="410">
        <f t="shared" si="19"/>
        <v>0</v>
      </c>
      <c r="D62" s="410">
        <f t="shared" si="19"/>
        <v>0</v>
      </c>
      <c r="E62" s="410">
        <f t="shared" si="19"/>
        <v>0</v>
      </c>
      <c r="F62" s="410"/>
      <c r="G62" s="410"/>
      <c r="H62" s="407"/>
      <c r="I62" s="407"/>
      <c r="J62" s="407"/>
      <c r="K62" s="408">
        <f t="shared" si="18"/>
        <v>0</v>
      </c>
    </row>
    <row r="63" spans="1:11" x14ac:dyDescent="0.25">
      <c r="B63" s="406">
        <v>2023</v>
      </c>
      <c r="C63" s="410">
        <f t="shared" si="19"/>
        <v>0</v>
      </c>
      <c r="D63" s="410">
        <f t="shared" si="19"/>
        <v>0</v>
      </c>
      <c r="E63" s="410">
        <f t="shared" si="19"/>
        <v>0</v>
      </c>
      <c r="F63" s="410"/>
      <c r="G63" s="410"/>
      <c r="H63" s="407"/>
      <c r="I63" s="407"/>
      <c r="J63" s="407"/>
      <c r="K63" s="408">
        <f t="shared" si="18"/>
        <v>0</v>
      </c>
    </row>
    <row r="64" spans="1:11" x14ac:dyDescent="0.25">
      <c r="B64" s="406">
        <v>2024</v>
      </c>
      <c r="C64" s="410">
        <f t="shared" si="19"/>
        <v>0</v>
      </c>
      <c r="D64" s="410">
        <f t="shared" si="19"/>
        <v>0</v>
      </c>
      <c r="E64" s="410">
        <f t="shared" si="19"/>
        <v>0</v>
      </c>
      <c r="F64" s="410"/>
      <c r="G64" s="410"/>
      <c r="H64" s="407"/>
      <c r="I64" s="407"/>
      <c r="J64" s="407"/>
      <c r="K64" s="408">
        <f t="shared" si="18"/>
        <v>0</v>
      </c>
    </row>
    <row r="65" spans="1:13" x14ac:dyDescent="0.25">
      <c r="B65" s="409">
        <v>2025</v>
      </c>
      <c r="C65" s="410">
        <f t="shared" si="19"/>
        <v>0</v>
      </c>
      <c r="D65" s="410">
        <f t="shared" si="19"/>
        <v>0</v>
      </c>
      <c r="E65" s="410">
        <f t="shared" si="19"/>
        <v>0</v>
      </c>
      <c r="F65" s="410"/>
      <c r="G65" s="410"/>
      <c r="H65" s="407"/>
      <c r="I65" s="407"/>
      <c r="J65" s="407"/>
      <c r="K65" s="408">
        <f t="shared" si="18"/>
        <v>0</v>
      </c>
    </row>
    <row r="66" spans="1:13" x14ac:dyDescent="0.25">
      <c r="B66" s="406">
        <v>2026</v>
      </c>
      <c r="C66" s="410">
        <f t="shared" si="19"/>
        <v>0</v>
      </c>
      <c r="D66" s="410">
        <f t="shared" si="19"/>
        <v>0</v>
      </c>
      <c r="E66" s="410">
        <f t="shared" si="19"/>
        <v>0</v>
      </c>
      <c r="F66" s="410"/>
      <c r="G66" s="410"/>
      <c r="H66" s="407"/>
      <c r="I66" s="407"/>
      <c r="J66" s="407"/>
      <c r="K66" s="408">
        <f t="shared" si="18"/>
        <v>0</v>
      </c>
    </row>
    <row r="67" spans="1:13" x14ac:dyDescent="0.25">
      <c r="C67" s="410"/>
      <c r="D67" s="410"/>
      <c r="E67" s="410"/>
      <c r="F67" s="410"/>
      <c r="G67" s="410"/>
      <c r="H67" s="407"/>
      <c r="I67" s="407"/>
      <c r="J67" s="407"/>
      <c r="K67" s="408"/>
    </row>
    <row r="68" spans="1:13" x14ac:dyDescent="0.25">
      <c r="A68" s="405">
        <v>2021</v>
      </c>
      <c r="B68" s="406">
        <v>2021</v>
      </c>
      <c r="C68" s="410">
        <f>'CDM Framework'!P37</f>
        <v>153043.86988060616</v>
      </c>
      <c r="D68" s="410">
        <f>'CDM Framework'!P38</f>
        <v>1046090.2989434061</v>
      </c>
      <c r="E68" s="410">
        <f>'CDM Framework'!P39</f>
        <v>1523330.9527273935</v>
      </c>
      <c r="F68" s="410">
        <f>'CDM Framework'!P40</f>
        <v>243352.50356707259</v>
      </c>
      <c r="G68" s="410">
        <f>'CDM Framework'!P41</f>
        <v>71993.466137925701</v>
      </c>
      <c r="H68" s="410"/>
      <c r="I68" s="410"/>
      <c r="J68" s="410"/>
      <c r="K68" s="408">
        <f t="shared" si="18"/>
        <v>3037811.0912564038</v>
      </c>
      <c r="L68" s="407"/>
      <c r="M68" s="407"/>
    </row>
    <row r="69" spans="1:13" x14ac:dyDescent="0.25">
      <c r="B69" s="409">
        <v>2022</v>
      </c>
      <c r="C69" s="410">
        <f>C68*(SUM(C52,C42,C31,C19,C6)/SUM(C$51,C$41,C$30,C$18,C$5))</f>
        <v>136073.71174674181</v>
      </c>
      <c r="D69" s="410">
        <f>D68*(SUM(D52,D42,D31,D19,D6)/SUM(D$51,D$41,D$30,D$18,D$5))</f>
        <v>1032268.6612356408</v>
      </c>
      <c r="E69" s="410">
        <f>E68*(SUM(E52,E42,E31,E19,E6)/SUM(E$51,E$41,E$30,E$18,E$5))</f>
        <v>1516827.5052204099</v>
      </c>
      <c r="F69" s="410">
        <f>F68*(SUM(F52,F42,F31,F19,F6)/SUM(F$51,F$41,F$30,F$18,F$5))</f>
        <v>243352.14343513653</v>
      </c>
      <c r="G69" s="410">
        <f>G68</f>
        <v>71993.466137925701</v>
      </c>
      <c r="H69" s="410"/>
      <c r="I69" s="410"/>
      <c r="J69" s="410"/>
      <c r="K69" s="408">
        <f t="shared" si="18"/>
        <v>3000515.4877758543</v>
      </c>
    </row>
    <row r="70" spans="1:13" x14ac:dyDescent="0.25">
      <c r="B70" s="406">
        <v>2023</v>
      </c>
      <c r="C70" s="410">
        <f t="shared" ref="C70:D73" si="20">C69*(SUM(C53,C43,C32,C20,C7)/SUM(C$51,C$41,C$30,C$18,C$5))</f>
        <v>120974.00820911671</v>
      </c>
      <c r="D70" s="410">
        <f t="shared" si="20"/>
        <v>1016850.0447817155</v>
      </c>
      <c r="E70" s="410">
        <f t="shared" ref="E70:F73" si="21">E69*(SUM(E53,E43,E32,E20,E7)/SUM(E$51,E$41,E$30,E$18,E$5))</f>
        <v>1510076.8274995959</v>
      </c>
      <c r="F70" s="410">
        <f t="shared" si="21"/>
        <v>243420.01651326998</v>
      </c>
      <c r="G70" s="410">
        <f>G69*(SUM(G53,G43,G32,G20,G7)/SUM(G$51,G$41,G$30,G$18,G$5))</f>
        <v>71943.613972876512</v>
      </c>
      <c r="H70" s="410"/>
      <c r="I70" s="410"/>
      <c r="J70" s="410"/>
      <c r="K70" s="408">
        <f t="shared" si="18"/>
        <v>2963264.5109765744</v>
      </c>
    </row>
    <row r="71" spans="1:13" x14ac:dyDescent="0.25">
      <c r="B71" s="406">
        <v>2024</v>
      </c>
      <c r="C71" s="410">
        <f t="shared" si="20"/>
        <v>107541.19868211792</v>
      </c>
      <c r="D71" s="410">
        <f t="shared" si="20"/>
        <v>978388.24366859801</v>
      </c>
      <c r="E71" s="410">
        <f t="shared" si="21"/>
        <v>1492303.611727013</v>
      </c>
      <c r="F71" s="410">
        <f t="shared" si="21"/>
        <v>243458.92483662508</v>
      </c>
      <c r="G71" s="410">
        <f>G70*(SUM(G54,G44,G33,G21,G8)/SUM(G$51,G$41,G$30,G$18,G$5))</f>
        <v>71837.073778167804</v>
      </c>
      <c r="H71" s="410"/>
      <c r="I71" s="410"/>
      <c r="J71" s="410"/>
      <c r="K71" s="408">
        <f t="shared" si="18"/>
        <v>2893529.0526925214</v>
      </c>
    </row>
    <row r="72" spans="1:13" x14ac:dyDescent="0.25">
      <c r="B72" s="409">
        <v>2025</v>
      </c>
      <c r="C72" s="410">
        <f t="shared" si="20"/>
        <v>95580.724409503426</v>
      </c>
      <c r="D72" s="410">
        <f t="shared" si="20"/>
        <v>923625.64277466608</v>
      </c>
      <c r="E72" s="410">
        <f t="shared" si="21"/>
        <v>1467234.4026350547</v>
      </c>
      <c r="F72" s="410">
        <f t="shared" si="21"/>
        <v>243497.83937909745</v>
      </c>
      <c r="G72" s="410">
        <f>G71*(SUM(G55,G45,G34,G22,G9)/SUM(G$51,G$41,G$30,G$18,G$5))</f>
        <v>71730.691357199685</v>
      </c>
      <c r="H72" s="410"/>
      <c r="I72" s="410"/>
      <c r="J72" s="410"/>
      <c r="K72" s="408">
        <f t="shared" si="18"/>
        <v>2801669.3005555212</v>
      </c>
    </row>
    <row r="73" spans="1:13" x14ac:dyDescent="0.25">
      <c r="B73" s="406">
        <v>2026</v>
      </c>
      <c r="C73" s="410">
        <f t="shared" si="20"/>
        <v>84936.714842537171</v>
      </c>
      <c r="D73" s="410">
        <f t="shared" si="20"/>
        <v>789321.94199731492</v>
      </c>
      <c r="E73" s="410">
        <f t="shared" si="21"/>
        <v>1361264.2934230943</v>
      </c>
      <c r="F73" s="410">
        <f t="shared" si="21"/>
        <v>243443.19611036879</v>
      </c>
      <c r="G73" s="410">
        <f>G72*(SUM(G56,G46,G35,G23,G10)/SUM(G$51,G$41,G$30,G$18,G$5))</f>
        <v>65430.974250637548</v>
      </c>
      <c r="H73" s="410"/>
      <c r="I73" s="410"/>
      <c r="J73" s="410"/>
      <c r="K73" s="408">
        <f t="shared" si="18"/>
        <v>2544397.1206239527</v>
      </c>
    </row>
    <row r="74" spans="1:13" x14ac:dyDescent="0.25">
      <c r="C74" s="407"/>
      <c r="D74" s="407"/>
      <c r="E74" s="407"/>
      <c r="F74" s="407"/>
      <c r="G74" s="407"/>
    </row>
    <row r="75" spans="1:13" x14ac:dyDescent="0.25">
      <c r="A75" s="405">
        <v>2022</v>
      </c>
      <c r="B75" s="409">
        <v>2022</v>
      </c>
      <c r="C75" s="407">
        <f>'CDM Framework'!Q37</f>
        <v>306087.73976121232</v>
      </c>
      <c r="D75" s="407">
        <f>'CDM Framework'!Q38</f>
        <v>1764706.1592009596</v>
      </c>
      <c r="E75" s="407">
        <f>'CDM Framework'!Q39</f>
        <v>2673535.7088068253</v>
      </c>
      <c r="F75" s="407">
        <f>'CDM Framework'!Q40</f>
        <v>458243.81797314249</v>
      </c>
      <c r="G75" s="407">
        <f>'CDM Framework'!Q41</f>
        <v>129050.18276196746</v>
      </c>
      <c r="K75" s="408">
        <f>SUM(C75:J75)</f>
        <v>5331623.6085041072</v>
      </c>
    </row>
    <row r="76" spans="1:13" x14ac:dyDescent="0.25">
      <c r="B76" s="406">
        <v>2023</v>
      </c>
      <c r="C76" s="410">
        <f>C75*(SUM(C52,C42,C31,C19,C6)/SUM(C$51,C$41,C$30,C$18,C$5))</f>
        <v>272147.42349348363</v>
      </c>
      <c r="D76" s="410">
        <f t="shared" ref="D76:E79" si="22">D75*(SUM(D52,D42,D31,D19,D6)/SUM(D$51,D$41,D$30,D$18,D$5))</f>
        <v>1741389.6929094992</v>
      </c>
      <c r="E76" s="410">
        <f t="shared" si="22"/>
        <v>2662121.7746849321</v>
      </c>
      <c r="F76" s="410">
        <f>F75*(SUM(F52,F42,F31,F19,F6)/SUM(F$51,F$41,F$30,F$18,F$5))</f>
        <v>458243.13982834865</v>
      </c>
      <c r="G76" s="410">
        <f>G75</f>
        <v>129050.18276196746</v>
      </c>
      <c r="K76" s="408">
        <f>SUM(C76:J76)</f>
        <v>5262952.2136782305</v>
      </c>
    </row>
    <row r="77" spans="1:13" x14ac:dyDescent="0.25">
      <c r="B77" s="406">
        <v>2024</v>
      </c>
      <c r="C77" s="410">
        <f>C76*(SUM(C53,C43,C32,C20,C7)/SUM(C$51,C$41,C$30,C$18,C$5))</f>
        <v>241948.01641823343</v>
      </c>
      <c r="D77" s="410">
        <f t="shared" si="22"/>
        <v>1715379.1970181963</v>
      </c>
      <c r="E77" s="410">
        <f t="shared" si="22"/>
        <v>2650273.9369495213</v>
      </c>
      <c r="F77" s="410">
        <f>F76*(SUM(F53,F43,F32,F20,F7)/SUM(F$51,F$41,F$30,F$18,F$5))</f>
        <v>458370.94791746035</v>
      </c>
      <c r="G77" s="410">
        <f>G76*(SUM(G53,G43,G32,G20,G7)/SUM(G$51,G$41,G$30,G$18,G$5))</f>
        <v>128960.82144411742</v>
      </c>
      <c r="K77" s="408">
        <f>SUM(C77:J77)</f>
        <v>5194932.9197475296</v>
      </c>
    </row>
    <row r="78" spans="1:13" x14ac:dyDescent="0.25">
      <c r="B78" s="409">
        <v>2025</v>
      </c>
      <c r="C78" s="410">
        <f>C77*(SUM(C54,C44,C33,C21,C8)/SUM(C$51,C$41,C$30,C$18,C$5))</f>
        <v>215082.39736423583</v>
      </c>
      <c r="D78" s="410">
        <f t="shared" si="22"/>
        <v>1650495.9098040466</v>
      </c>
      <c r="E78" s="410">
        <f t="shared" si="22"/>
        <v>2619080.8945293874</v>
      </c>
      <c r="F78" s="410">
        <f>F77*(SUM(F54,F44,F33,F21,F8)/SUM(F$51,F$41,F$30,F$18,F$5))</f>
        <v>458444.21405766369</v>
      </c>
      <c r="G78" s="410">
        <f>G77*(SUM(G54,G44,G33,G21,G8)/SUM(G$51,G$41,G$30,G$18,G$5))</f>
        <v>128769.84534119838</v>
      </c>
      <c r="K78" s="408">
        <f>SUM(C78:J78)</f>
        <v>5071873.2610965315</v>
      </c>
    </row>
    <row r="79" spans="1:13" x14ac:dyDescent="0.25">
      <c r="B79" s="406">
        <v>2026</v>
      </c>
      <c r="C79" s="410">
        <f>C78*(SUM(C55,C45,C34,C22,C9)/SUM(C$51,C$41,C$30,C$18,C$5))</f>
        <v>191161.44881900685</v>
      </c>
      <c r="D79" s="410">
        <f t="shared" si="22"/>
        <v>1558113.924052916</v>
      </c>
      <c r="E79" s="410">
        <f t="shared" si="22"/>
        <v>2575082.9533210797</v>
      </c>
      <c r="F79" s="410">
        <f>F78*(SUM(F55,F45,F34,F22,F9)/SUM(F$51,F$41,F$30,F$18,F$5))</f>
        <v>458517.49190874735</v>
      </c>
      <c r="G79" s="410">
        <f>G78*(SUM(G55,G45,G34,G22,G9)/SUM(G$51,G$41,G$30,G$18,G$5))</f>
        <v>128579.15205186162</v>
      </c>
      <c r="K79" s="408">
        <f>SUM(C79:J79)</f>
        <v>4911454.9701536121</v>
      </c>
      <c r="L79" s="407"/>
      <c r="M79" s="407"/>
    </row>
    <row r="80" spans="1:13" x14ac:dyDescent="0.25">
      <c r="C80" s="410"/>
      <c r="D80" s="410"/>
      <c r="E80" s="410"/>
      <c r="F80" s="410"/>
      <c r="G80" s="410"/>
    </row>
    <row r="81" spans="1:17" x14ac:dyDescent="0.25">
      <c r="A81" s="405">
        <v>2023</v>
      </c>
      <c r="B81" s="406">
        <v>2023</v>
      </c>
      <c r="C81" s="410">
        <f>'CDM Framework'!R37</f>
        <v>1071307.0891642431</v>
      </c>
      <c r="D81" s="410">
        <f>'CDM Framework'!R38</f>
        <v>1276179.2564308401</v>
      </c>
      <c r="E81" s="410">
        <f>'CDM Framework'!R39</f>
        <v>2001138.3494283485</v>
      </c>
      <c r="F81" s="410">
        <f>'CDM Framework'!R40</f>
        <v>1624736.8972140942</v>
      </c>
      <c r="G81" s="410">
        <f>'CDM Framework'!R41</f>
        <v>159522.82621166087</v>
      </c>
      <c r="K81" s="408">
        <f>SUM(C81:J81)</f>
        <v>6132884.4184491867</v>
      </c>
    </row>
    <row r="82" spans="1:17" x14ac:dyDescent="0.25">
      <c r="B82" s="406">
        <v>2024</v>
      </c>
      <c r="C82" s="410">
        <f>C81*(SUM(C52,C42,C31,C19,C6)/SUM(C$51,C$41,C$30,C$18,C$5))</f>
        <v>952515.98222719273</v>
      </c>
      <c r="D82" s="410">
        <f t="shared" ref="D82:E84" si="23">D81*(SUM(D52,D42,D31,D19,D6)/SUM(D$51,D$41,D$30,D$18,D$5))</f>
        <v>1259317.5310612726</v>
      </c>
      <c r="E82" s="410">
        <f t="shared" si="23"/>
        <v>1992595.0330948767</v>
      </c>
      <c r="F82" s="410">
        <f>F81*(SUM(F52,F42,F31,F19,F6)/SUM(F$51,F$41,F$30,F$18,F$5))</f>
        <v>1624734.4928022397</v>
      </c>
      <c r="G82" s="410">
        <f>G81</f>
        <v>159522.82621166087</v>
      </c>
      <c r="K82" s="408">
        <f>SUM(C82:J82)</f>
        <v>5988685.8653972428</v>
      </c>
    </row>
    <row r="83" spans="1:17" x14ac:dyDescent="0.25">
      <c r="B83" s="409">
        <v>2025</v>
      </c>
      <c r="C83" s="410">
        <f>C82*(SUM(C53,C43,C32,C20,C7)/SUM(C$51,C$41,C$30,C$18,C$5))</f>
        <v>846818.05746381695</v>
      </c>
      <c r="D83" s="410">
        <f t="shared" si="23"/>
        <v>1240507.569338812</v>
      </c>
      <c r="E83" s="410">
        <f t="shared" si="23"/>
        <v>1983726.9404144478</v>
      </c>
      <c r="F83" s="410">
        <f>F82*(SUM(F53,F43,F32,F20,F7)/SUM(F$51,F$41,F$30,F$18,F$5))</f>
        <v>1625187.6457090497</v>
      </c>
      <c r="G83" s="410">
        <f>G82*(SUM(G53,G43,G32,G20,G7)/SUM(G$51,G$41,G$30,G$18,G$5))</f>
        <v>159412.36398935056</v>
      </c>
      <c r="K83" s="408">
        <f>SUM(C83:J83)</f>
        <v>5855652.5769154765</v>
      </c>
    </row>
    <row r="84" spans="1:17" x14ac:dyDescent="0.25">
      <c r="B84" s="406">
        <v>2026</v>
      </c>
      <c r="C84" s="410">
        <f>C83*(SUM(C54,C44,C33,C21,C8)/SUM(C$51,C$41,C$30,C$18,C$5))</f>
        <v>752788.39077482536</v>
      </c>
      <c r="D84" s="410">
        <f t="shared" si="23"/>
        <v>1193586.0437352327</v>
      </c>
      <c r="E84" s="410">
        <f t="shared" si="23"/>
        <v>1960378.9846655666</v>
      </c>
      <c r="F84" s="410">
        <f>F83*(SUM(F54,F44,F33,F21,F8)/SUM(F$51,F$41,F$30,F$18,F$5))</f>
        <v>1625447.4161557767</v>
      </c>
      <c r="G84" s="410">
        <f>G83*(SUM(G54,G44,G33,G21,G8)/SUM(G$51,G$41,G$30,G$18,G$5))</f>
        <v>159176.29266403732</v>
      </c>
      <c r="K84" s="408">
        <f>SUM(C84:J84)</f>
        <v>5691377.1279954389</v>
      </c>
    </row>
    <row r="85" spans="1:17" x14ac:dyDescent="0.25">
      <c r="C85" s="410"/>
      <c r="D85" s="410"/>
      <c r="E85" s="410"/>
      <c r="F85" s="410"/>
      <c r="G85" s="410"/>
    </row>
    <row r="86" spans="1:17" x14ac:dyDescent="0.25">
      <c r="A86" s="405">
        <v>2024</v>
      </c>
      <c r="B86" s="406">
        <v>2024</v>
      </c>
      <c r="C86" s="410">
        <f>'CDM Framework'!S37</f>
        <v>2120750.7683455423</v>
      </c>
      <c r="D86" s="410">
        <f>'CDM Framework'!S38</f>
        <v>2238480.7410451733</v>
      </c>
      <c r="E86" s="410">
        <f>'CDM Framework'!S39</f>
        <v>3104496.8758794689</v>
      </c>
      <c r="F86" s="410">
        <f>'CDM Framework'!S40</f>
        <v>2114648.3426081985</v>
      </c>
      <c r="G86" s="410">
        <f>'CDM Framework'!S41</f>
        <v>224256.53727806071</v>
      </c>
      <c r="K86" s="408">
        <f>SUM(C86:J86)</f>
        <v>9802633.2651564423</v>
      </c>
    </row>
    <row r="87" spans="1:17" x14ac:dyDescent="0.25">
      <c r="B87" s="409">
        <v>2025</v>
      </c>
      <c r="C87" s="410">
        <f t="shared" ref="C87:F88" si="24">C86*(SUM(C52,C42,C31,C19,C6)/SUM(C$51,C$41,C$30,C$18,C$5))</f>
        <v>1885592.8627762794</v>
      </c>
      <c r="D87" s="410">
        <f t="shared" si="24"/>
        <v>2208904.4512642752</v>
      </c>
      <c r="E87" s="410">
        <f t="shared" si="24"/>
        <v>3091243.0701770848</v>
      </c>
      <c r="F87" s="410">
        <f t="shared" si="24"/>
        <v>2114645.2131873355</v>
      </c>
      <c r="G87" s="410">
        <f>G86</f>
        <v>224256.53727806071</v>
      </c>
      <c r="K87" s="408">
        <f>SUM(C87:J87)</f>
        <v>9524642.1346830353</v>
      </c>
    </row>
    <row r="88" spans="1:17" x14ac:dyDescent="0.25">
      <c r="B88" s="406">
        <v>2026</v>
      </c>
      <c r="C88" s="410">
        <f t="shared" si="24"/>
        <v>1676354.113754903</v>
      </c>
      <c r="D88" s="410">
        <f t="shared" si="24"/>
        <v>2175910.8597736219</v>
      </c>
      <c r="E88" s="410">
        <f t="shared" si="24"/>
        <v>3077485.4176743152</v>
      </c>
      <c r="F88" s="410">
        <f t="shared" si="24"/>
        <v>2115235.0065532504</v>
      </c>
      <c r="G88" s="410">
        <f>G87*(SUM(G53,G43,G32,G20,G7)/SUM(G$51,G$41,G$30,G$18,G$5))</f>
        <v>224101.24993728555</v>
      </c>
      <c r="K88" s="408">
        <f>SUM(C88:J88)</f>
        <v>9269086.6476933751</v>
      </c>
      <c r="L88" s="416"/>
      <c r="M88" s="416"/>
    </row>
    <row r="89" spans="1:17" x14ac:dyDescent="0.25">
      <c r="C89" s="410"/>
      <c r="D89" s="410"/>
      <c r="E89" s="410"/>
      <c r="F89" s="410"/>
      <c r="G89" s="410"/>
      <c r="N89" s="408"/>
      <c r="O89" s="417"/>
      <c r="P89" s="417"/>
      <c r="Q89" s="417"/>
    </row>
    <row r="90" spans="1:17" x14ac:dyDescent="0.25">
      <c r="A90" s="405">
        <v>2025</v>
      </c>
      <c r="B90" s="409">
        <v>2025</v>
      </c>
      <c r="C90" s="410">
        <f>'CDM Framework'!T37</f>
        <v>2120750.7683455423</v>
      </c>
      <c r="D90" s="410">
        <f>'CDM Framework'!T38</f>
        <v>2238480.7410451733</v>
      </c>
      <c r="E90" s="410">
        <f>'CDM Framework'!T39</f>
        <v>3104496.8758794689</v>
      </c>
      <c r="F90" s="410">
        <f>'CDM Framework'!T40</f>
        <v>2114648.3426081985</v>
      </c>
      <c r="G90" s="410">
        <f>'CDM Framework'!T41</f>
        <v>224256.53727806071</v>
      </c>
      <c r="K90" s="408">
        <f>SUM(C90:J90)</f>
        <v>9802633.2651564423</v>
      </c>
      <c r="L90" s="408"/>
      <c r="M90" s="407"/>
    </row>
    <row r="91" spans="1:17" x14ac:dyDescent="0.25">
      <c r="B91" s="406">
        <v>2026</v>
      </c>
      <c r="C91" s="410">
        <f>C90*(SUM(C52,C42,C31,C19,C6)/SUM(C$51,C$41,C$30,C$18,C$5))</f>
        <v>1885592.8627762794</v>
      </c>
      <c r="D91" s="410">
        <f>D90*(SUM(D52,D42,D31,D19,D6)/SUM(D$51,D$41,D$30,D$18,D$5))</f>
        <v>2208904.4512642752</v>
      </c>
      <c r="E91" s="410">
        <f>E90*(SUM(E52,E42,E31,E19,E6)/SUM(E$51,E$41,E$30,E$18,E$5))</f>
        <v>3091243.0701770848</v>
      </c>
      <c r="F91" s="410">
        <f>F90*(SUM(F52,F42,F31,F19,F6)/SUM(F$51,F$41,F$30,F$18,F$5))</f>
        <v>2114645.2131873355</v>
      </c>
      <c r="G91" s="410">
        <f>G90</f>
        <v>224256.53727806071</v>
      </c>
      <c r="K91" s="408">
        <f>SUM(C91:J91)</f>
        <v>9524642.1346830353</v>
      </c>
      <c r="L91" s="417"/>
      <c r="M91" s="407"/>
    </row>
    <row r="92" spans="1:17" x14ac:dyDescent="0.25">
      <c r="C92" s="410"/>
      <c r="D92" s="410"/>
      <c r="E92" s="410"/>
      <c r="F92" s="410"/>
      <c r="G92" s="410"/>
    </row>
    <row r="93" spans="1:17" x14ac:dyDescent="0.25">
      <c r="A93" s="405">
        <v>2026</v>
      </c>
      <c r="B93" s="406">
        <v>2026</v>
      </c>
      <c r="C93" s="407">
        <f>'CDM Framework'!U37</f>
        <v>2120750.7683455423</v>
      </c>
      <c r="D93" s="407">
        <f>'CDM Framework'!U38</f>
        <v>2238480.7410451733</v>
      </c>
      <c r="E93" s="407">
        <f>'CDM Framework'!U39</f>
        <v>3104496.8758794689</v>
      </c>
      <c r="F93" s="407">
        <f>'CDM Framework'!U40</f>
        <v>2114648.3426081985</v>
      </c>
      <c r="G93" s="407">
        <f>'CDM Framework'!U41</f>
        <v>224256.53727806071</v>
      </c>
      <c r="K93" s="408">
        <f>SUM(C93:J93)</f>
        <v>9802633.2651564423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Y140"/>
  <sheetViews>
    <sheetView topLeftCell="A25" zoomScaleNormal="100" workbookViewId="0">
      <selection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8" width="9.6640625" style="1" customWidth="1"/>
    <col min="9" max="9" width="9.33203125" style="1"/>
    <col min="10" max="10" width="14.6640625" style="1" bestFit="1" customWidth="1"/>
    <col min="11" max="11" width="12.77734375" style="1" bestFit="1" customWidth="1"/>
    <col min="12" max="12" width="13.77734375" style="1" bestFit="1" customWidth="1"/>
    <col min="13" max="14" width="12.44140625" style="1" customWidth="1"/>
    <col min="15" max="15" width="14.33203125" style="1" bestFit="1" customWidth="1"/>
    <col min="16" max="16" width="14.6640625" style="1" bestFit="1" customWidth="1"/>
    <col min="17" max="17" width="9.33203125" style="1"/>
    <col min="18" max="18" width="15.109375" style="1" bestFit="1" customWidth="1"/>
    <col min="19" max="19" width="15.33203125" style="1" customWidth="1"/>
    <col min="20" max="20" width="17.6640625" style="1" customWidth="1"/>
    <col min="21" max="21" width="14.109375" style="1" customWidth="1"/>
    <col min="22" max="22" width="12.109375" style="1" customWidth="1"/>
    <col min="23" max="23" width="12.44140625" style="1" bestFit="1" customWidth="1"/>
    <col min="24" max="24" width="15.6640625" style="1" customWidth="1"/>
    <col min="25" max="25" width="13.33203125" style="1" bestFit="1" customWidth="1"/>
    <col min="26" max="16384" width="9.33203125" style="1"/>
  </cols>
  <sheetData>
    <row r="1" spans="1:23"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196</v>
      </c>
      <c r="P1" s="274" t="s">
        <v>197</v>
      </c>
    </row>
    <row r="2" spans="1:23" x14ac:dyDescent="0.25">
      <c r="A2" s="3">
        <f>'Monthly Data'!A2</f>
        <v>42005</v>
      </c>
      <c r="B2" s="1">
        <f t="shared" ref="B2:B56" si="0">YEAR(A2)</f>
        <v>2015</v>
      </c>
      <c r="C2" s="1">
        <f t="shared" ref="C2:C56" si="1">MONTH(A2)</f>
        <v>1</v>
      </c>
      <c r="D2" s="24">
        <f>'Monthly Data'!F2</f>
        <v>49452804.208921209</v>
      </c>
      <c r="E2" s="278">
        <f>'Monthly Data'!BF2</f>
        <v>673.89184782608697</v>
      </c>
      <c r="F2" s="278">
        <f>'Monthly Data'!BK2</f>
        <v>0</v>
      </c>
      <c r="G2" s="18">
        <f>'Monthly Data'!DG2</f>
        <v>0</v>
      </c>
      <c r="H2" s="1">
        <f>'Monthly Data'!CC2</f>
        <v>1</v>
      </c>
      <c r="J2" s="18">
        <f>'Res Predicted Monthly'!$T$9</f>
        <v>24255450.877923299</v>
      </c>
      <c r="K2" s="18">
        <f>E2*'Res Predicted Monthly'!$T$10</f>
        <v>24136407.575881723</v>
      </c>
      <c r="L2" s="18">
        <f>F2*'Res Predicted Monthly'!$T$11</f>
        <v>0</v>
      </c>
      <c r="M2" s="18">
        <f>G2*'Res Predicted Monthly'!$T$12</f>
        <v>0</v>
      </c>
      <c r="N2" s="18">
        <f>H2*'Res Predicted Monthly'!$T$13</f>
        <v>63843.490548170899</v>
      </c>
      <c r="O2" s="18">
        <f t="shared" ref="O2:O33" si="2">SUM(J2:N2)</f>
        <v>48455701.944353193</v>
      </c>
      <c r="P2" s="18">
        <f t="shared" ref="P2:P33" si="3">O2-D2</f>
        <v>-997102.26456801593</v>
      </c>
      <c r="Q2" s="279">
        <f t="shared" ref="Q2:Q33" si="4">ABS(P2/D2)</f>
        <v>2.0162704229179793E-2</v>
      </c>
    </row>
    <row r="3" spans="1:23" x14ac:dyDescent="0.25">
      <c r="A3" s="3">
        <f>'Monthly Data'!A3</f>
        <v>42036</v>
      </c>
      <c r="B3" s="1">
        <f t="shared" si="0"/>
        <v>2015</v>
      </c>
      <c r="C3" s="1">
        <f t="shared" si="1"/>
        <v>2</v>
      </c>
      <c r="D3" s="24">
        <f>'Monthly Data'!F3</f>
        <v>50302916.673507825</v>
      </c>
      <c r="E3" s="278">
        <f>'Monthly Data'!BF3</f>
        <v>753.85434782608695</v>
      </c>
      <c r="F3" s="278">
        <f>'Monthly Data'!BK3</f>
        <v>0</v>
      </c>
      <c r="G3" s="18">
        <f>'Monthly Data'!DG3</f>
        <v>0</v>
      </c>
      <c r="H3" s="1">
        <f>'Monthly Data'!CC3</f>
        <v>2</v>
      </c>
      <c r="J3" s="18">
        <f>'Res Predicted Monthly'!$T$9</f>
        <v>24255450.877923299</v>
      </c>
      <c r="K3" s="18">
        <f>E3*'Res Predicted Monthly'!$T$10</f>
        <v>27000379.735527918</v>
      </c>
      <c r="L3" s="18">
        <f>F3*'Res Predicted Monthly'!$T$11</f>
        <v>0</v>
      </c>
      <c r="M3" s="18">
        <f>G3*'Res Predicted Monthly'!$T$12</f>
        <v>0</v>
      </c>
      <c r="N3" s="18">
        <f>H3*'Res Predicted Monthly'!$T$13</f>
        <v>127686.9810963418</v>
      </c>
      <c r="O3" s="18">
        <f t="shared" si="2"/>
        <v>51383517.594547555</v>
      </c>
      <c r="P3" s="18">
        <f t="shared" si="3"/>
        <v>1080600.9210397303</v>
      </c>
      <c r="Q3" s="279">
        <f t="shared" si="4"/>
        <v>2.1481874064150079E-2</v>
      </c>
    </row>
    <row r="4" spans="1:23" x14ac:dyDescent="0.25">
      <c r="A4" s="3">
        <f>'Monthly Data'!A4</f>
        <v>42064</v>
      </c>
      <c r="B4" s="1">
        <f t="shared" si="0"/>
        <v>2015</v>
      </c>
      <c r="C4" s="1">
        <f t="shared" si="1"/>
        <v>3</v>
      </c>
      <c r="D4" s="24">
        <f>'Monthly Data'!F4</f>
        <v>41870929.863253012</v>
      </c>
      <c r="E4" s="278">
        <f>'Monthly Data'!BF4</f>
        <v>513.79999999999995</v>
      </c>
      <c r="F4" s="278">
        <f>'Monthly Data'!BK4</f>
        <v>0</v>
      </c>
      <c r="G4" s="18">
        <f>'Monthly Data'!DG4</f>
        <v>0</v>
      </c>
      <c r="H4" s="1">
        <f>'Monthly Data'!CC4</f>
        <v>3</v>
      </c>
      <c r="J4" s="18">
        <f>'Res Predicted Monthly'!$T$9</f>
        <v>24255450.877923299</v>
      </c>
      <c r="K4" s="18">
        <f>E4*'Res Predicted Monthly'!$T$10</f>
        <v>18402487.361278277</v>
      </c>
      <c r="L4" s="18">
        <f>F4*'Res Predicted Monthly'!$T$11</f>
        <v>0</v>
      </c>
      <c r="M4" s="18">
        <f>G4*'Res Predicted Monthly'!$T$12</f>
        <v>0</v>
      </c>
      <c r="N4" s="18">
        <f>H4*'Res Predicted Monthly'!$T$13</f>
        <v>191530.4716445127</v>
      </c>
      <c r="O4" s="18">
        <f t="shared" si="2"/>
        <v>42849468.710846089</v>
      </c>
      <c r="P4" s="18">
        <f t="shared" si="3"/>
        <v>978538.84759307653</v>
      </c>
      <c r="Q4" s="279">
        <f t="shared" si="4"/>
        <v>2.3370363418937754E-2</v>
      </c>
      <c r="S4" s="1" t="s">
        <v>198</v>
      </c>
    </row>
    <row r="5" spans="1:23" x14ac:dyDescent="0.25">
      <c r="A5" s="3">
        <f>'Monthly Data'!A5</f>
        <v>42095</v>
      </c>
      <c r="B5" s="1">
        <f t="shared" si="0"/>
        <v>2015</v>
      </c>
      <c r="C5" s="1">
        <f t="shared" si="1"/>
        <v>4</v>
      </c>
      <c r="D5" s="24">
        <f>'Monthly Data'!F5</f>
        <v>37098204.799471788</v>
      </c>
      <c r="E5" s="278">
        <f>'Monthly Data'!BF5</f>
        <v>226.75037878787884</v>
      </c>
      <c r="F5" s="278">
        <f>'Monthly Data'!BK5</f>
        <v>9.8333333333333321</v>
      </c>
      <c r="G5" s="18">
        <f>'Monthly Data'!DG5</f>
        <v>0</v>
      </c>
      <c r="H5" s="1">
        <f>'Monthly Data'!CC5</f>
        <v>4</v>
      </c>
      <c r="J5" s="18">
        <f>'Res Predicted Monthly'!$T$9</f>
        <v>24255450.877923299</v>
      </c>
      <c r="K5" s="18">
        <f>E5*'Res Predicted Monthly'!$T$10</f>
        <v>8121391.5527617801</v>
      </c>
      <c r="L5" s="18">
        <f>F5*'Res Predicted Monthly'!$T$11</f>
        <v>576141.12682408979</v>
      </c>
      <c r="M5" s="18">
        <f>G5*'Res Predicted Monthly'!$T$12</f>
        <v>0</v>
      </c>
      <c r="N5" s="18">
        <f>H5*'Res Predicted Monthly'!$T$13</f>
        <v>255373.9621926836</v>
      </c>
      <c r="O5" s="18">
        <f t="shared" si="2"/>
        <v>33208357.519701853</v>
      </c>
      <c r="P5" s="18">
        <f t="shared" si="3"/>
        <v>-3889847.2797699347</v>
      </c>
      <c r="Q5" s="279">
        <f t="shared" si="4"/>
        <v>0.10485270920239567</v>
      </c>
      <c r="S5" s="1" t="s">
        <v>146</v>
      </c>
    </row>
    <row r="6" spans="1:23" x14ac:dyDescent="0.25">
      <c r="A6" s="3">
        <f>'Monthly Data'!A6</f>
        <v>42125</v>
      </c>
      <c r="B6" s="1">
        <f t="shared" si="0"/>
        <v>2015</v>
      </c>
      <c r="C6" s="1">
        <f t="shared" si="1"/>
        <v>5</v>
      </c>
      <c r="D6" s="24">
        <f>'Monthly Data'!F6</f>
        <v>31770390.553364351</v>
      </c>
      <c r="E6" s="278">
        <f>'Monthly Data'!BF6</f>
        <v>35.578442028985506</v>
      </c>
      <c r="F6" s="278">
        <f>'Monthly Data'!BK6</f>
        <v>155.69477225672881</v>
      </c>
      <c r="G6" s="18">
        <f>'Monthly Data'!DG6</f>
        <v>0</v>
      </c>
      <c r="H6" s="1">
        <f>'Monthly Data'!CC6</f>
        <v>5</v>
      </c>
      <c r="J6" s="18">
        <f>'Res Predicted Monthly'!$T$9</f>
        <v>24255450.877923299</v>
      </c>
      <c r="K6" s="18">
        <f>E6*'Res Predicted Monthly'!$T$10</f>
        <v>1274293.1681050558</v>
      </c>
      <c r="L6" s="18">
        <f>F6*'Res Predicted Monthly'!$T$11</f>
        <v>9122253.7147740796</v>
      </c>
      <c r="M6" s="18">
        <f>G6*'Res Predicted Monthly'!$T$12</f>
        <v>0</v>
      </c>
      <c r="N6" s="18">
        <f>H6*'Res Predicted Monthly'!$T$13</f>
        <v>319217.45274085447</v>
      </c>
      <c r="O6" s="18">
        <f t="shared" si="2"/>
        <v>34971215.213543288</v>
      </c>
      <c r="P6" s="18">
        <f t="shared" si="3"/>
        <v>3200824.660178937</v>
      </c>
      <c r="Q6" s="279">
        <f t="shared" si="4"/>
        <v>0.1007486720946206</v>
      </c>
      <c r="S6" s="1" t="s">
        <v>199</v>
      </c>
    </row>
    <row r="7" spans="1:23" x14ac:dyDescent="0.25">
      <c r="A7" s="3">
        <f>'Monthly Data'!A7</f>
        <v>42156</v>
      </c>
      <c r="B7" s="1">
        <f t="shared" si="0"/>
        <v>2015</v>
      </c>
      <c r="C7" s="1">
        <f t="shared" si="1"/>
        <v>6</v>
      </c>
      <c r="D7" s="24">
        <f>'Monthly Data'!F7</f>
        <v>34887825.889012918</v>
      </c>
      <c r="E7" s="278">
        <f>'Monthly Data'!BF7</f>
        <v>5.9875000000000078</v>
      </c>
      <c r="F7" s="278">
        <f>'Monthly Data'!BK7</f>
        <v>209.61250000000001</v>
      </c>
      <c r="G7" s="18">
        <f>'Monthly Data'!DG7</f>
        <v>0</v>
      </c>
      <c r="H7" s="1">
        <f>'Monthly Data'!CC7</f>
        <v>6</v>
      </c>
      <c r="J7" s="18">
        <f>'Res Predicted Monthly'!$T$9</f>
        <v>24255450.877923299</v>
      </c>
      <c r="K7" s="18">
        <f>E7*'Res Predicted Monthly'!$T$10</f>
        <v>214450.94020173966</v>
      </c>
      <c r="L7" s="18">
        <f>F7*'Res Predicted Monthly'!$T$11</f>
        <v>12281326.97760148</v>
      </c>
      <c r="M7" s="18">
        <f>G7*'Res Predicted Monthly'!$T$12</f>
        <v>0</v>
      </c>
      <c r="N7" s="18">
        <f>H7*'Res Predicted Monthly'!$T$13</f>
        <v>383060.9432890254</v>
      </c>
      <c r="O7" s="18">
        <f t="shared" si="2"/>
        <v>37134289.739015549</v>
      </c>
      <c r="P7" s="18">
        <f t="shared" si="3"/>
        <v>2246463.8500026315</v>
      </c>
      <c r="Q7" s="279">
        <f t="shared" si="4"/>
        <v>6.439105311833436E-2</v>
      </c>
    </row>
    <row r="8" spans="1:23" x14ac:dyDescent="0.25">
      <c r="A8" s="3">
        <f>'Monthly Data'!A8</f>
        <v>42186</v>
      </c>
      <c r="B8" s="1">
        <f t="shared" si="0"/>
        <v>2015</v>
      </c>
      <c r="C8" s="1">
        <f t="shared" si="1"/>
        <v>7</v>
      </c>
      <c r="D8" s="24">
        <f>'Monthly Data'!F8</f>
        <v>40842121.370275021</v>
      </c>
      <c r="E8" s="278">
        <f>'Monthly Data'!BF8</f>
        <v>0</v>
      </c>
      <c r="F8" s="278">
        <f>'Monthly Data'!BK8</f>
        <v>329.53750000000002</v>
      </c>
      <c r="G8" s="18">
        <f>'Monthly Data'!DG8</f>
        <v>0</v>
      </c>
      <c r="H8" s="1">
        <f>'Monthly Data'!CC8</f>
        <v>7</v>
      </c>
      <c r="J8" s="18">
        <f>'Res Predicted Monthly'!$T$9</f>
        <v>24255450.877923299</v>
      </c>
      <c r="K8" s="18">
        <f>E8*'Res Predicted Monthly'!$T$10</f>
        <v>0</v>
      </c>
      <c r="L8" s="18">
        <f>F8*'Res Predicted Monthly'!$T$11</f>
        <v>19307807.448894259</v>
      </c>
      <c r="M8" s="18">
        <f>G8*'Res Predicted Monthly'!$T$12</f>
        <v>0</v>
      </c>
      <c r="N8" s="18">
        <f>H8*'Res Predicted Monthly'!$T$13</f>
        <v>446904.43383719632</v>
      </c>
      <c r="O8" s="18">
        <f t="shared" si="2"/>
        <v>44010162.760654755</v>
      </c>
      <c r="P8" s="18">
        <f t="shared" si="3"/>
        <v>3168041.3903797343</v>
      </c>
      <c r="Q8" s="279">
        <f t="shared" si="4"/>
        <v>7.7567993142624594E-2</v>
      </c>
      <c r="T8" s="1" t="s">
        <v>148</v>
      </c>
      <c r="U8" s="1" t="s">
        <v>149</v>
      </c>
      <c r="V8" s="1" t="s">
        <v>150</v>
      </c>
      <c r="W8" s="1" t="s">
        <v>151</v>
      </c>
    </row>
    <row r="9" spans="1:23" x14ac:dyDescent="0.25">
      <c r="A9" s="3">
        <f>'Monthly Data'!A9</f>
        <v>42217</v>
      </c>
      <c r="B9" s="1">
        <f t="shared" si="0"/>
        <v>2015</v>
      </c>
      <c r="C9" s="1">
        <f t="shared" si="1"/>
        <v>8</v>
      </c>
      <c r="D9" s="24">
        <f>'Monthly Data'!F9</f>
        <v>45385708.477988221</v>
      </c>
      <c r="E9" s="278">
        <f>'Monthly Data'!BF9</f>
        <v>0</v>
      </c>
      <c r="F9" s="278">
        <f>'Monthly Data'!BK9</f>
        <v>291.94166666666666</v>
      </c>
      <c r="G9" s="18">
        <f>'Monthly Data'!DG9</f>
        <v>0</v>
      </c>
      <c r="H9" s="1">
        <f>'Monthly Data'!CC9</f>
        <v>8</v>
      </c>
      <c r="J9" s="18">
        <f>'Res Predicted Monthly'!$T$9</f>
        <v>24255450.877923299</v>
      </c>
      <c r="K9" s="18">
        <f>E9*'Res Predicted Monthly'!$T$10</f>
        <v>0</v>
      </c>
      <c r="L9" s="18">
        <f>F9*'Res Predicted Monthly'!$T$11</f>
        <v>17105044.14917656</v>
      </c>
      <c r="M9" s="18">
        <f>G9*'Res Predicted Monthly'!$T$12</f>
        <v>0</v>
      </c>
      <c r="N9" s="18">
        <f>H9*'Res Predicted Monthly'!$T$13</f>
        <v>510747.92438536719</v>
      </c>
      <c r="O9" s="18">
        <f t="shared" si="2"/>
        <v>41871242.951485232</v>
      </c>
      <c r="P9" s="18">
        <f t="shared" si="3"/>
        <v>-3514465.5265029892</v>
      </c>
      <c r="Q9" s="279">
        <f t="shared" si="4"/>
        <v>7.7435510965031706E-2</v>
      </c>
      <c r="S9" s="1" t="s">
        <v>152</v>
      </c>
      <c r="T9" s="18">
        <v>24255450.877923299</v>
      </c>
      <c r="U9" s="280">
        <v>880516.83053220494</v>
      </c>
      <c r="V9" s="2">
        <v>27.5468339012473</v>
      </c>
      <c r="W9" s="281">
        <v>1.8149272743785899E-52</v>
      </c>
    </row>
    <row r="10" spans="1:23" x14ac:dyDescent="0.25">
      <c r="A10" s="3">
        <f>'Monthly Data'!A10</f>
        <v>42248</v>
      </c>
      <c r="B10" s="1">
        <f t="shared" si="0"/>
        <v>2015</v>
      </c>
      <c r="C10" s="1">
        <f t="shared" si="1"/>
        <v>9</v>
      </c>
      <c r="D10" s="24">
        <f>'Monthly Data'!F10</f>
        <v>40632623.048269503</v>
      </c>
      <c r="E10" s="278">
        <f>'Monthly Data'!BF10</f>
        <v>6.0041666666666682</v>
      </c>
      <c r="F10" s="278">
        <f>'Monthly Data'!BK10</f>
        <v>248.92261904761907</v>
      </c>
      <c r="G10" s="18">
        <f>'Monthly Data'!DG10</f>
        <v>0</v>
      </c>
      <c r="H10" s="1">
        <f>'Monthly Data'!CC10</f>
        <v>9</v>
      </c>
      <c r="J10" s="18">
        <f>'Res Predicted Monthly'!$T$9</f>
        <v>24255450.877923299</v>
      </c>
      <c r="K10" s="18">
        <f>E10*'Res Predicted Monthly'!$T$10</f>
        <v>215047.88088427731</v>
      </c>
      <c r="L10" s="18">
        <f>F10*'Res Predicted Monthly'!$T$11</f>
        <v>14584531.345433787</v>
      </c>
      <c r="M10" s="18">
        <f>G10*'Res Predicted Monthly'!$T$12</f>
        <v>0</v>
      </c>
      <c r="N10" s="18">
        <f>H10*'Res Predicted Monthly'!$T$13</f>
        <v>574591.41493353806</v>
      </c>
      <c r="O10" s="18">
        <f t="shared" si="2"/>
        <v>39629621.519174904</v>
      </c>
      <c r="P10" s="18">
        <f t="shared" si="3"/>
        <v>-1003001.5290945992</v>
      </c>
      <c r="Q10" s="279">
        <f t="shared" si="4"/>
        <v>2.4684636478011376E-2</v>
      </c>
      <c r="S10" s="1" t="s">
        <v>57</v>
      </c>
      <c r="T10" s="18">
        <v>35816.440952273799</v>
      </c>
      <c r="U10" s="280">
        <v>1772.03419083737</v>
      </c>
      <c r="V10" s="2">
        <v>20.212048468065301</v>
      </c>
      <c r="W10" s="281">
        <v>1.1874093475176999E-39</v>
      </c>
    </row>
    <row r="11" spans="1:23" x14ac:dyDescent="0.25">
      <c r="A11" s="3">
        <f>'Monthly Data'!A11</f>
        <v>42278</v>
      </c>
      <c r="B11" s="1">
        <f t="shared" si="0"/>
        <v>2015</v>
      </c>
      <c r="C11" s="1">
        <f t="shared" si="1"/>
        <v>10</v>
      </c>
      <c r="D11" s="24">
        <f>'Monthly Data'!F11</f>
        <v>32633098.840061631</v>
      </c>
      <c r="E11" s="278">
        <f>'Monthly Data'!BF11</f>
        <v>157.34583333333333</v>
      </c>
      <c r="F11" s="278">
        <f>'Monthly Data'!BK11</f>
        <v>32.275000000000006</v>
      </c>
      <c r="G11" s="18">
        <f>'Monthly Data'!DG11</f>
        <v>0</v>
      </c>
      <c r="H11" s="1">
        <f>'Monthly Data'!CC11</f>
        <v>10</v>
      </c>
      <c r="J11" s="18">
        <f>'Res Predicted Monthly'!$T$9</f>
        <v>24255450.877923299</v>
      </c>
      <c r="K11" s="18">
        <f>E11*'Res Predicted Monthly'!$T$10</f>
        <v>5635567.7486696476</v>
      </c>
      <c r="L11" s="18">
        <f>F11*'Res Predicted Monthly'!$T$11</f>
        <v>1891012.3594827971</v>
      </c>
      <c r="M11" s="18">
        <f>G11*'Res Predicted Monthly'!$T$12</f>
        <v>0</v>
      </c>
      <c r="N11" s="18">
        <f>H11*'Res Predicted Monthly'!$T$13</f>
        <v>638434.90548170893</v>
      </c>
      <c r="O11" s="18">
        <f t="shared" si="2"/>
        <v>32420465.891557451</v>
      </c>
      <c r="P11" s="18">
        <f t="shared" si="3"/>
        <v>-212632.94850417972</v>
      </c>
      <c r="Q11" s="279">
        <f t="shared" si="4"/>
        <v>6.5158675106620099E-3</v>
      </c>
      <c r="S11" s="1" t="s">
        <v>62</v>
      </c>
      <c r="T11" s="18">
        <v>58590.623066856599</v>
      </c>
      <c r="U11" s="280">
        <v>3119.8999872210702</v>
      </c>
      <c r="V11" s="2">
        <v>18.779647843469501</v>
      </c>
      <c r="W11" s="281">
        <v>7.9260570464806893E-37</v>
      </c>
    </row>
    <row r="12" spans="1:23" x14ac:dyDescent="0.25">
      <c r="A12" s="3">
        <f>'Monthly Data'!A12</f>
        <v>42309</v>
      </c>
      <c r="B12" s="1">
        <f t="shared" si="0"/>
        <v>2015</v>
      </c>
      <c r="C12" s="1">
        <f t="shared" si="1"/>
        <v>11</v>
      </c>
      <c r="D12" s="24">
        <f>'Monthly Data'!F12</f>
        <v>36028748.529270537</v>
      </c>
      <c r="E12" s="278">
        <f>'Monthly Data'!BF12</f>
        <v>252.04166666666663</v>
      </c>
      <c r="F12" s="278">
        <f>'Monthly Data'!BK12</f>
        <v>11.908333333333333</v>
      </c>
      <c r="G12" s="18">
        <f>'Monthly Data'!DG12</f>
        <v>0</v>
      </c>
      <c r="H12" s="1">
        <f>'Monthly Data'!CC12</f>
        <v>11</v>
      </c>
      <c r="J12" s="18">
        <f>'Res Predicted Monthly'!$T$9</f>
        <v>24255450.877923299</v>
      </c>
      <c r="K12" s="18">
        <f>E12*'Res Predicted Monthly'!$T$10</f>
        <v>9027235.471679341</v>
      </c>
      <c r="L12" s="18">
        <f>F12*'Res Predicted Monthly'!$T$11</f>
        <v>697716.66968781734</v>
      </c>
      <c r="M12" s="18">
        <f>G12*'Res Predicted Monthly'!$T$12</f>
        <v>0</v>
      </c>
      <c r="N12" s="18">
        <f>H12*'Res Predicted Monthly'!$T$13</f>
        <v>702278.39602987992</v>
      </c>
      <c r="O12" s="18">
        <f t="shared" si="2"/>
        <v>34682681.415320337</v>
      </c>
      <c r="P12" s="18">
        <f t="shared" si="3"/>
        <v>-1346067.1139502004</v>
      </c>
      <c r="Q12" s="279">
        <f t="shared" si="4"/>
        <v>3.7360917847496872E-2</v>
      </c>
      <c r="S12" s="1" t="s">
        <v>110</v>
      </c>
      <c r="T12" s="18">
        <v>15158.8638796225</v>
      </c>
      <c r="U12" s="280">
        <v>4592.9661496489398</v>
      </c>
      <c r="V12" s="2">
        <v>3.3004519053076802</v>
      </c>
      <c r="W12" s="281">
        <v>1.2858710164710401E-3</v>
      </c>
    </row>
    <row r="13" spans="1:23" x14ac:dyDescent="0.25">
      <c r="A13" s="3">
        <f>'Monthly Data'!A13</f>
        <v>42339</v>
      </c>
      <c r="B13" s="1">
        <f t="shared" si="0"/>
        <v>2015</v>
      </c>
      <c r="C13" s="1">
        <f t="shared" si="1"/>
        <v>12</v>
      </c>
      <c r="D13" s="24">
        <f>'Monthly Data'!F13</f>
        <v>40106687.746603891</v>
      </c>
      <c r="E13" s="278">
        <f>'Monthly Data'!BF13</f>
        <v>313.62590579710144</v>
      </c>
      <c r="F13" s="278">
        <f>'Monthly Data'!BK13</f>
        <v>0.86666666666666714</v>
      </c>
      <c r="G13" s="18">
        <f>'Monthly Data'!DG13</f>
        <v>0</v>
      </c>
      <c r="H13" s="1">
        <f>'Monthly Data'!CC13</f>
        <v>12</v>
      </c>
      <c r="J13" s="18">
        <f>'Res Predicted Monthly'!$T$9</f>
        <v>24255450.877923299</v>
      </c>
      <c r="K13" s="18">
        <f>E13*'Res Predicted Monthly'!$T$10</f>
        <v>11232963.736085268</v>
      </c>
      <c r="L13" s="18">
        <f>F13*'Res Predicted Monthly'!$T$11</f>
        <v>50778.539991275749</v>
      </c>
      <c r="M13" s="18">
        <f>G13*'Res Predicted Monthly'!$T$12</f>
        <v>0</v>
      </c>
      <c r="N13" s="18">
        <f>H13*'Res Predicted Monthly'!$T$13</f>
        <v>766121.88657805079</v>
      </c>
      <c r="O13" s="18">
        <f t="shared" si="2"/>
        <v>36305315.040577896</v>
      </c>
      <c r="P13" s="18">
        <f t="shared" si="3"/>
        <v>-3801372.7060259953</v>
      </c>
      <c r="Q13" s="279">
        <f t="shared" si="4"/>
        <v>9.4781516988968598E-2</v>
      </c>
      <c r="S13" s="1" t="s">
        <v>80</v>
      </c>
      <c r="T13" s="18">
        <v>63843.490548170899</v>
      </c>
      <c r="U13" s="280">
        <v>6854.0467854225999</v>
      </c>
      <c r="V13" s="2">
        <v>9.3147147293997605</v>
      </c>
      <c r="W13" s="281">
        <v>1.02502472631562E-15</v>
      </c>
    </row>
    <row r="14" spans="1:23" x14ac:dyDescent="0.25">
      <c r="A14" s="3">
        <f>'Monthly Data'!A14</f>
        <v>42370</v>
      </c>
      <c r="B14" s="1">
        <f t="shared" si="0"/>
        <v>2016</v>
      </c>
      <c r="C14" s="1">
        <f t="shared" si="1"/>
        <v>1</v>
      </c>
      <c r="D14" s="24">
        <f>'Monthly Data'!F14</f>
        <v>44838756.596333042</v>
      </c>
      <c r="E14" s="278">
        <f>'Monthly Data'!BF14</f>
        <v>551.87916666666672</v>
      </c>
      <c r="F14" s="278">
        <f>'Monthly Data'!BK14</f>
        <v>0</v>
      </c>
      <c r="G14" s="18">
        <f>'Monthly Data'!DG14</f>
        <v>0</v>
      </c>
      <c r="H14" s="1">
        <f>'Monthly Data'!CC14</f>
        <v>13</v>
      </c>
      <c r="J14" s="18">
        <f>'Res Predicted Monthly'!$T$9</f>
        <v>24255450.877923299</v>
      </c>
      <c r="K14" s="18">
        <f>E14*'Res Predicted Monthly'!$T$10</f>
        <v>19766347.585706741</v>
      </c>
      <c r="L14" s="18">
        <f>F14*'Res Predicted Monthly'!$T$11</f>
        <v>0</v>
      </c>
      <c r="M14" s="18">
        <f>G14*'Res Predicted Monthly'!$T$12</f>
        <v>0</v>
      </c>
      <c r="N14" s="18">
        <f>H14*'Res Predicted Monthly'!$T$13</f>
        <v>829965.37712622166</v>
      </c>
      <c r="O14" s="18">
        <f t="shared" si="2"/>
        <v>44851763.84075626</v>
      </c>
      <c r="P14" s="18">
        <f t="shared" si="3"/>
        <v>13007.244423218071</v>
      </c>
      <c r="Q14" s="279">
        <f t="shared" si="4"/>
        <v>2.9008932027972016E-4</v>
      </c>
      <c r="T14" s="18"/>
      <c r="U14" s="280"/>
      <c r="V14" s="2"/>
      <c r="W14" s="281"/>
    </row>
    <row r="15" spans="1:23" x14ac:dyDescent="0.25">
      <c r="A15" s="3">
        <f>'Monthly Data'!A15</f>
        <v>42401</v>
      </c>
      <c r="B15" s="1">
        <f t="shared" si="0"/>
        <v>2016</v>
      </c>
      <c r="C15" s="1">
        <f t="shared" si="1"/>
        <v>2</v>
      </c>
      <c r="D15" s="24">
        <f>'Monthly Data'!F15</f>
        <v>44227635.344579577</v>
      </c>
      <c r="E15" s="278">
        <f>'Monthly Data'!BF15</f>
        <v>487.70833333333337</v>
      </c>
      <c r="F15" s="278">
        <f>'Monthly Data'!BK15</f>
        <v>0</v>
      </c>
      <c r="G15" s="18">
        <f>'Monthly Data'!DG15</f>
        <v>0</v>
      </c>
      <c r="H15" s="1">
        <f>'Monthly Data'!CC15</f>
        <v>14</v>
      </c>
      <c r="J15" s="18">
        <f>'Res Predicted Monthly'!$T$9</f>
        <v>24255450.877923299</v>
      </c>
      <c r="K15" s="18">
        <f>E15*'Res Predicted Monthly'!$T$10</f>
        <v>17467976.722765204</v>
      </c>
      <c r="L15" s="18">
        <f>F15*'Res Predicted Monthly'!$T$11</f>
        <v>0</v>
      </c>
      <c r="M15" s="18">
        <f>G15*'Res Predicted Monthly'!$T$12</f>
        <v>0</v>
      </c>
      <c r="N15" s="18">
        <f>H15*'Res Predicted Monthly'!$T$13</f>
        <v>893808.86767439265</v>
      </c>
      <c r="O15" s="18">
        <f t="shared" si="2"/>
        <v>42617236.468362898</v>
      </c>
      <c r="P15" s="18">
        <f t="shared" si="3"/>
        <v>-1610398.8762166798</v>
      </c>
      <c r="Q15" s="279">
        <f t="shared" si="4"/>
        <v>3.6411597944814071E-2</v>
      </c>
      <c r="S15" s="1" t="s">
        <v>153</v>
      </c>
      <c r="T15" s="18"/>
      <c r="U15" s="18"/>
      <c r="V15" s="282"/>
      <c r="W15" s="283"/>
    </row>
    <row r="16" spans="1:23" x14ac:dyDescent="0.25">
      <c r="A16" s="3">
        <f>'Monthly Data'!A16</f>
        <v>42430</v>
      </c>
      <c r="B16" s="1">
        <f t="shared" si="0"/>
        <v>2016</v>
      </c>
      <c r="C16" s="1">
        <f t="shared" si="1"/>
        <v>3</v>
      </c>
      <c r="D16" s="24">
        <f>'Monthly Data'!F16</f>
        <v>38332383.641313039</v>
      </c>
      <c r="E16" s="278">
        <f>'Monthly Data'!BF16</f>
        <v>391.07934782608697</v>
      </c>
      <c r="F16" s="278">
        <f>'Monthly Data'!BK16</f>
        <v>0</v>
      </c>
      <c r="G16" s="18">
        <f>'Monthly Data'!DG16</f>
        <v>0</v>
      </c>
      <c r="H16" s="1">
        <f>'Monthly Data'!CC16</f>
        <v>15</v>
      </c>
      <c r="J16" s="18">
        <f>'Res Predicted Monthly'!$T$9</f>
        <v>24255450.877923299</v>
      </c>
      <c r="K16" s="18">
        <f>E16*'Res Predicted Monthly'!$T$10</f>
        <v>14007070.369066792</v>
      </c>
      <c r="L16" s="18">
        <f>F16*'Res Predicted Monthly'!$T$11</f>
        <v>0</v>
      </c>
      <c r="M16" s="18">
        <f>G16*'Res Predicted Monthly'!$T$12</f>
        <v>0</v>
      </c>
      <c r="N16" s="18">
        <f>H16*'Res Predicted Monthly'!$T$13</f>
        <v>957652.35822256352</v>
      </c>
      <c r="O16" s="18">
        <f t="shared" si="2"/>
        <v>39220173.605212659</v>
      </c>
      <c r="P16" s="18">
        <f t="shared" si="3"/>
        <v>887789.96389961988</v>
      </c>
      <c r="Q16" s="279">
        <f t="shared" si="4"/>
        <v>2.3160311975558887E-2</v>
      </c>
      <c r="S16" s="1" t="s">
        <v>154</v>
      </c>
      <c r="T16" s="1">
        <v>622046340989216</v>
      </c>
      <c r="U16" s="1" t="s">
        <v>155</v>
      </c>
      <c r="V16" s="18">
        <v>2325746.8945045401</v>
      </c>
    </row>
    <row r="17" spans="1:22" x14ac:dyDescent="0.25">
      <c r="A17" s="3">
        <f>'Monthly Data'!A17</f>
        <v>42461</v>
      </c>
      <c r="B17" s="1">
        <f t="shared" si="0"/>
        <v>2016</v>
      </c>
      <c r="C17" s="1">
        <f t="shared" si="1"/>
        <v>4</v>
      </c>
      <c r="D17" s="24">
        <f>'Monthly Data'!F17</f>
        <v>36524120.843347013</v>
      </c>
      <c r="E17" s="278">
        <f>'Monthly Data'!BF17</f>
        <v>286.81666666666661</v>
      </c>
      <c r="F17" s="278">
        <f>'Monthly Data'!BK17</f>
        <v>9.3541666666666732</v>
      </c>
      <c r="G17" s="18">
        <f>'Monthly Data'!DG17</f>
        <v>0</v>
      </c>
      <c r="H17" s="1">
        <f>'Monthly Data'!CC17</f>
        <v>16</v>
      </c>
      <c r="J17" s="18">
        <f>'Res Predicted Monthly'!$T$9</f>
        <v>24255450.877923299</v>
      </c>
      <c r="K17" s="18">
        <f>E17*'Res Predicted Monthly'!$T$10</f>
        <v>10272752.20579466</v>
      </c>
      <c r="L17" s="18">
        <f>F17*'Res Predicted Monthly'!$T$11</f>
        <v>548066.45327122149</v>
      </c>
      <c r="M17" s="18">
        <f>G17*'Res Predicted Monthly'!$T$12</f>
        <v>0</v>
      </c>
      <c r="N17" s="18">
        <f>H17*'Res Predicted Monthly'!$T$13</f>
        <v>1021495.8487707344</v>
      </c>
      <c r="O17" s="18">
        <f t="shared" si="2"/>
        <v>36097765.38575992</v>
      </c>
      <c r="P17" s="18">
        <f t="shared" si="3"/>
        <v>-426355.45758709311</v>
      </c>
      <c r="Q17" s="279">
        <f t="shared" si="4"/>
        <v>1.1673257226799346E-2</v>
      </c>
      <c r="S17" s="1" t="s">
        <v>156</v>
      </c>
      <c r="T17" s="284">
        <v>0.85314982684743401</v>
      </c>
      <c r="U17" s="1" t="s">
        <v>157</v>
      </c>
      <c r="V17" s="284">
        <v>0.84804199473777997</v>
      </c>
    </row>
    <row r="18" spans="1:22" x14ac:dyDescent="0.25">
      <c r="A18" s="3">
        <f>'Monthly Data'!A18</f>
        <v>42491</v>
      </c>
      <c r="B18" s="1">
        <f t="shared" si="0"/>
        <v>2016</v>
      </c>
      <c r="C18" s="1">
        <f t="shared" si="1"/>
        <v>5</v>
      </c>
      <c r="D18" s="24">
        <f>'Monthly Data'!F18</f>
        <v>31953380.148771688</v>
      </c>
      <c r="E18" s="278">
        <f>'Monthly Data'!BF18</f>
        <v>75.344444444444463</v>
      </c>
      <c r="F18" s="278">
        <f>'Monthly Data'!BK18</f>
        <v>134.0888888888889</v>
      </c>
      <c r="G18" s="18">
        <f>'Monthly Data'!DG18</f>
        <v>0</v>
      </c>
      <c r="H18" s="1">
        <f>'Monthly Data'!CC18</f>
        <v>17</v>
      </c>
      <c r="J18" s="18">
        <f>'Res Predicted Monthly'!$T$9</f>
        <v>24255450.877923299</v>
      </c>
      <c r="K18" s="18">
        <f>E18*'Res Predicted Monthly'!$T$10</f>
        <v>2698569.8455263185</v>
      </c>
      <c r="L18" s="18">
        <f>F18*'Res Predicted Monthly'!$T$11</f>
        <v>7856351.5463425061</v>
      </c>
      <c r="M18" s="18">
        <f>G18*'Res Predicted Monthly'!$T$12</f>
        <v>0</v>
      </c>
      <c r="N18" s="18">
        <f>H18*'Res Predicted Monthly'!$T$13</f>
        <v>1085339.3393189053</v>
      </c>
      <c r="O18" s="18">
        <f t="shared" si="2"/>
        <v>35895711.609111033</v>
      </c>
      <c r="P18" s="18">
        <f t="shared" si="3"/>
        <v>3942331.460339345</v>
      </c>
      <c r="Q18" s="279">
        <f t="shared" si="4"/>
        <v>0.12337760330782692</v>
      </c>
      <c r="S18" s="1" t="s">
        <v>200</v>
      </c>
      <c r="T18" s="281">
        <v>157.480832788437</v>
      </c>
      <c r="U18" s="1" t="s">
        <v>159</v>
      </c>
      <c r="V18" s="281">
        <v>1.09495266293086E-45</v>
      </c>
    </row>
    <row r="19" spans="1:22" x14ac:dyDescent="0.25">
      <c r="A19" s="3">
        <f>'Monthly Data'!A19</f>
        <v>42522</v>
      </c>
      <c r="B19" s="1">
        <f t="shared" si="0"/>
        <v>2016</v>
      </c>
      <c r="C19" s="1">
        <f t="shared" si="1"/>
        <v>6</v>
      </c>
      <c r="D19" s="24">
        <f>'Monthly Data'!F19</f>
        <v>38776341.079345882</v>
      </c>
      <c r="E19" s="278">
        <f>'Monthly Data'!BF19</f>
        <v>3.9749999999999996</v>
      </c>
      <c r="F19" s="278">
        <f>'Monthly Data'!BK19</f>
        <v>263.20416666666671</v>
      </c>
      <c r="G19" s="18">
        <f>'Monthly Data'!DG19</f>
        <v>0</v>
      </c>
      <c r="H19" s="1">
        <f>'Monthly Data'!CC19</f>
        <v>18</v>
      </c>
      <c r="J19" s="18">
        <f>'Res Predicted Monthly'!$T$9</f>
        <v>24255450.877923299</v>
      </c>
      <c r="K19" s="18">
        <f>E19*'Res Predicted Monthly'!$T$10</f>
        <v>142370.35278528833</v>
      </c>
      <c r="L19" s="18">
        <f>F19*'Res Predicted Monthly'!$T$11</f>
        <v>15421296.11879277</v>
      </c>
      <c r="M19" s="18">
        <f>G19*'Res Predicted Monthly'!$T$12</f>
        <v>0</v>
      </c>
      <c r="N19" s="18">
        <f>H19*'Res Predicted Monthly'!$T$13</f>
        <v>1149182.8298670761</v>
      </c>
      <c r="O19" s="18">
        <f t="shared" si="2"/>
        <v>40968300.179368436</v>
      </c>
      <c r="P19" s="18">
        <f t="shared" si="3"/>
        <v>2191959.1000225544</v>
      </c>
      <c r="Q19" s="279">
        <f t="shared" si="4"/>
        <v>5.6528260248620926E-2</v>
      </c>
      <c r="S19" s="1" t="s">
        <v>160</v>
      </c>
      <c r="T19" s="2">
        <v>1.8587739215922501E-2</v>
      </c>
      <c r="U19" s="1" t="s">
        <v>161</v>
      </c>
      <c r="V19" s="281">
        <v>1.96003165654778</v>
      </c>
    </row>
    <row r="20" spans="1:22" x14ac:dyDescent="0.25">
      <c r="A20" s="3">
        <f>'Monthly Data'!A20</f>
        <v>42552</v>
      </c>
      <c r="B20" s="1">
        <f t="shared" si="0"/>
        <v>2016</v>
      </c>
      <c r="C20" s="1">
        <f t="shared" si="1"/>
        <v>7</v>
      </c>
      <c r="D20" s="24">
        <f>'Monthly Data'!F20</f>
        <v>47218565.56540361</v>
      </c>
      <c r="E20" s="278">
        <f>'Monthly Data'!BF20</f>
        <v>0</v>
      </c>
      <c r="F20" s="278">
        <f>'Monthly Data'!BK20</f>
        <v>375.22916666666669</v>
      </c>
      <c r="G20" s="18">
        <f>'Monthly Data'!DG20</f>
        <v>0</v>
      </c>
      <c r="H20" s="1">
        <f>'Monthly Data'!CC20</f>
        <v>19</v>
      </c>
      <c r="J20" s="18">
        <f>'Res Predicted Monthly'!$T$9</f>
        <v>24255450.877923299</v>
      </c>
      <c r="K20" s="18">
        <f>E20*'Res Predicted Monthly'!$T$10</f>
        <v>0</v>
      </c>
      <c r="L20" s="18">
        <f>F20*'Res Predicted Monthly'!$T$11</f>
        <v>21984910.667857379</v>
      </c>
      <c r="M20" s="18">
        <f>G20*'Res Predicted Monthly'!$T$12</f>
        <v>0</v>
      </c>
      <c r="N20" s="18">
        <f>H20*'Res Predicted Monthly'!$T$13</f>
        <v>1213026.320415247</v>
      </c>
      <c r="O20" s="18">
        <f t="shared" si="2"/>
        <v>47453387.866195917</v>
      </c>
      <c r="P20" s="18">
        <f t="shared" si="3"/>
        <v>234822.30079230666</v>
      </c>
      <c r="Q20" s="279">
        <f t="shared" si="4"/>
        <v>4.9730926380440006E-3</v>
      </c>
      <c r="T20" s="281"/>
      <c r="V20" s="281"/>
    </row>
    <row r="21" spans="1:22" x14ac:dyDescent="0.25">
      <c r="A21" s="3">
        <f>'Monthly Data'!A21</f>
        <v>42583</v>
      </c>
      <c r="B21" s="1">
        <f t="shared" si="0"/>
        <v>2016</v>
      </c>
      <c r="C21" s="1">
        <f t="shared" si="1"/>
        <v>8</v>
      </c>
      <c r="D21" s="24">
        <f>'Monthly Data'!F21</f>
        <v>52195914.613973007</v>
      </c>
      <c r="E21" s="278">
        <f>'Monthly Data'!BF21</f>
        <v>0</v>
      </c>
      <c r="F21" s="278">
        <f>'Monthly Data'!BK21</f>
        <v>390.02499999999998</v>
      </c>
      <c r="G21" s="18">
        <f>'Monthly Data'!DG21</f>
        <v>0</v>
      </c>
      <c r="H21" s="1">
        <f>'Monthly Data'!CC21</f>
        <v>20</v>
      </c>
      <c r="J21" s="18">
        <f>'Res Predicted Monthly'!$T$9</f>
        <v>24255450.877923299</v>
      </c>
      <c r="K21" s="18">
        <f>E21*'Res Predicted Monthly'!$T$10</f>
        <v>0</v>
      </c>
      <c r="L21" s="18">
        <f>F21*'Res Predicted Monthly'!$T$11</f>
        <v>22851807.761650745</v>
      </c>
      <c r="M21" s="18">
        <f>G21*'Res Predicted Monthly'!$T$12</f>
        <v>0</v>
      </c>
      <c r="N21" s="18">
        <f>H21*'Res Predicted Monthly'!$T$13</f>
        <v>1276869.8109634179</v>
      </c>
      <c r="O21" s="18">
        <f t="shared" si="2"/>
        <v>48384128.450537458</v>
      </c>
      <c r="P21" s="18">
        <f t="shared" si="3"/>
        <v>-3811786.1634355485</v>
      </c>
      <c r="Q21" s="279">
        <f t="shared" si="4"/>
        <v>7.3028438942520646E-2</v>
      </c>
      <c r="S21" s="1" t="s">
        <v>162</v>
      </c>
    </row>
    <row r="22" spans="1:22" x14ac:dyDescent="0.25">
      <c r="A22" s="3">
        <f>'Monthly Data'!A22</f>
        <v>42614</v>
      </c>
      <c r="B22" s="1">
        <f t="shared" si="0"/>
        <v>2016</v>
      </c>
      <c r="C22" s="1">
        <f t="shared" si="1"/>
        <v>9</v>
      </c>
      <c r="D22" s="24">
        <f>'Monthly Data'!F22</f>
        <v>42103147.773135491</v>
      </c>
      <c r="E22" s="278">
        <f>'Monthly Data'!BF22</f>
        <v>4.9124999999999979</v>
      </c>
      <c r="F22" s="278">
        <f>'Monthly Data'!BK22</f>
        <v>235.7416666666667</v>
      </c>
      <c r="G22" s="18">
        <f>'Monthly Data'!DG22</f>
        <v>0</v>
      </c>
      <c r="H22" s="1">
        <f>'Monthly Data'!CC22</f>
        <v>21</v>
      </c>
      <c r="J22" s="18">
        <f>'Res Predicted Monthly'!$T$9</f>
        <v>24255450.877923299</v>
      </c>
      <c r="K22" s="18">
        <f>E22*'Res Predicted Monthly'!$T$10</f>
        <v>175948.26617804496</v>
      </c>
      <c r="L22" s="18">
        <f>F22*'Res Predicted Monthly'!$T$11</f>
        <v>13812251.132819222</v>
      </c>
      <c r="M22" s="18">
        <f>G22*'Res Predicted Monthly'!$T$12</f>
        <v>0</v>
      </c>
      <c r="N22" s="18">
        <f>H22*'Res Predicted Monthly'!$T$13</f>
        <v>1340713.301511589</v>
      </c>
      <c r="O22" s="18">
        <f t="shared" si="2"/>
        <v>39584363.57843215</v>
      </c>
      <c r="P22" s="18">
        <f t="shared" si="3"/>
        <v>-2518784.1947033405</v>
      </c>
      <c r="Q22" s="279">
        <f t="shared" si="4"/>
        <v>5.982413021171986E-2</v>
      </c>
      <c r="S22" s="1" t="s">
        <v>163</v>
      </c>
      <c r="T22" s="18">
        <v>43311547.980765902</v>
      </c>
      <c r="U22" s="1" t="s">
        <v>164</v>
      </c>
      <c r="V22" s="18">
        <v>5964297.0155470399</v>
      </c>
    </row>
    <row r="23" spans="1:22" x14ac:dyDescent="0.25">
      <c r="A23" s="3">
        <f>'Monthly Data'!A23</f>
        <v>42644</v>
      </c>
      <c r="B23" s="1">
        <f t="shared" si="0"/>
        <v>2016</v>
      </c>
      <c r="C23" s="1">
        <f t="shared" si="1"/>
        <v>10</v>
      </c>
      <c r="D23" s="24">
        <f>'Monthly Data'!F23</f>
        <v>31899084.21183715</v>
      </c>
      <c r="E23" s="278">
        <f>'Monthly Data'!BF23</f>
        <v>121.96666666666667</v>
      </c>
      <c r="F23" s="278">
        <f>'Monthly Data'!BK23</f>
        <v>85.800000000000011</v>
      </c>
      <c r="G23" s="18">
        <f>'Monthly Data'!DG23</f>
        <v>0</v>
      </c>
      <c r="H23" s="1">
        <f>'Monthly Data'!CC23</f>
        <v>22</v>
      </c>
      <c r="J23" s="18">
        <f>'Res Predicted Monthly'!$T$9</f>
        <v>24255450.877923299</v>
      </c>
      <c r="K23" s="18">
        <f>E23*'Res Predicted Monthly'!$T$10</f>
        <v>4368411.9148123274</v>
      </c>
      <c r="L23" s="18">
        <f>F23*'Res Predicted Monthly'!$T$11</f>
        <v>5027075.459136297</v>
      </c>
      <c r="M23" s="18">
        <f>G23*'Res Predicted Monthly'!$T$12</f>
        <v>0</v>
      </c>
      <c r="N23" s="18">
        <f>H23*'Res Predicted Monthly'!$T$13</f>
        <v>1404556.7920597598</v>
      </c>
      <c r="O23" s="18">
        <f t="shared" si="2"/>
        <v>35055495.043931678</v>
      </c>
      <c r="P23" s="18">
        <f t="shared" si="3"/>
        <v>3156410.8320945278</v>
      </c>
      <c r="Q23" s="279">
        <f t="shared" si="4"/>
        <v>9.8949888690636548E-2</v>
      </c>
      <c r="T23" s="18"/>
      <c r="V23" s="18"/>
    </row>
    <row r="24" spans="1:22" x14ac:dyDescent="0.25">
      <c r="A24" s="3">
        <f>'Monthly Data'!A24</f>
        <v>42675</v>
      </c>
      <c r="B24" s="1">
        <f t="shared" si="0"/>
        <v>2016</v>
      </c>
      <c r="C24" s="1">
        <f t="shared" si="1"/>
        <v>11</v>
      </c>
      <c r="D24" s="24">
        <f>'Monthly Data'!F24</f>
        <v>35135197.641628094</v>
      </c>
      <c r="E24" s="278">
        <f>'Monthly Data'!BF24</f>
        <v>257.33511904761906</v>
      </c>
      <c r="F24" s="278">
        <f>'Monthly Data'!BK24</f>
        <v>3.6666666666666679</v>
      </c>
      <c r="G24" s="18">
        <f>'Monthly Data'!DG24</f>
        <v>0</v>
      </c>
      <c r="H24" s="1">
        <f>'Monthly Data'!CC24</f>
        <v>23</v>
      </c>
      <c r="J24" s="18">
        <f>'Res Predicted Monthly'!$T$9</f>
        <v>24255450.877923299</v>
      </c>
      <c r="K24" s="18">
        <f>E24*'Res Predicted Monthly'!$T$10</f>
        <v>9216828.0963153969</v>
      </c>
      <c r="L24" s="18">
        <f>F24*'Res Predicted Monthly'!$T$11</f>
        <v>214832.28457847427</v>
      </c>
      <c r="M24" s="18">
        <f>G24*'Res Predicted Monthly'!$T$12</f>
        <v>0</v>
      </c>
      <c r="N24" s="18">
        <f>H24*'Res Predicted Monthly'!$T$13</f>
        <v>1468400.2826079307</v>
      </c>
      <c r="O24" s="18">
        <f t="shared" si="2"/>
        <v>35155511.541425094</v>
      </c>
      <c r="P24" s="18">
        <f t="shared" si="3"/>
        <v>20313.899796999991</v>
      </c>
      <c r="Q24" s="279">
        <f t="shared" si="4"/>
        <v>5.7816381180483627E-4</v>
      </c>
    </row>
    <row r="25" spans="1:22" x14ac:dyDescent="0.25">
      <c r="A25" s="3">
        <f>'Monthly Data'!A25</f>
        <v>42705</v>
      </c>
      <c r="B25" s="1">
        <f t="shared" si="0"/>
        <v>2016</v>
      </c>
      <c r="C25" s="1">
        <f t="shared" si="1"/>
        <v>12</v>
      </c>
      <c r="D25" s="24">
        <f>'Monthly Data'!F25</f>
        <v>42452801.040332444</v>
      </c>
      <c r="E25" s="278">
        <f>'Monthly Data'!BF25</f>
        <v>492.67083333333335</v>
      </c>
      <c r="F25" s="278">
        <f>'Monthly Data'!BK25</f>
        <v>0</v>
      </c>
      <c r="G25" s="18">
        <f>'Monthly Data'!DG25</f>
        <v>0</v>
      </c>
      <c r="H25" s="1">
        <f>'Monthly Data'!CC25</f>
        <v>24</v>
      </c>
      <c r="J25" s="18">
        <f>'Res Predicted Monthly'!$T$9</f>
        <v>24255450.877923299</v>
      </c>
      <c r="K25" s="18">
        <f>E25*'Res Predicted Monthly'!$T$10</f>
        <v>17645715.810990859</v>
      </c>
      <c r="L25" s="18">
        <f>F25*'Res Predicted Monthly'!$T$11</f>
        <v>0</v>
      </c>
      <c r="M25" s="18">
        <f>G25*'Res Predicted Monthly'!$T$12</f>
        <v>0</v>
      </c>
      <c r="N25" s="18">
        <f>H25*'Res Predicted Monthly'!$T$13</f>
        <v>1532243.7731561016</v>
      </c>
      <c r="O25" s="18">
        <f t="shared" si="2"/>
        <v>43433410.462070256</v>
      </c>
      <c r="P25" s="18">
        <f t="shared" si="3"/>
        <v>980609.42173781246</v>
      </c>
      <c r="Q25" s="279">
        <f t="shared" si="4"/>
        <v>2.3098815571820121E-2</v>
      </c>
    </row>
    <row r="26" spans="1:22" x14ac:dyDescent="0.25">
      <c r="A26" s="3">
        <f>'Monthly Data'!A26</f>
        <v>42736</v>
      </c>
      <c r="B26" s="1">
        <f t="shared" si="0"/>
        <v>2017</v>
      </c>
      <c r="C26" s="1">
        <f t="shared" si="1"/>
        <v>1</v>
      </c>
      <c r="D26" s="24">
        <f>'Monthly Data'!F26</f>
        <v>46444289.199650407</v>
      </c>
      <c r="E26" s="278">
        <f>'Monthly Data'!BF26</f>
        <v>496.21666666666664</v>
      </c>
      <c r="F26" s="278">
        <f>'Monthly Data'!BK26</f>
        <v>0</v>
      </c>
      <c r="G26" s="18">
        <f>'Monthly Data'!DG26</f>
        <v>0</v>
      </c>
      <c r="H26" s="1">
        <f>'Monthly Data'!CC26</f>
        <v>25</v>
      </c>
      <c r="J26" s="18">
        <f>'Res Predicted Monthly'!$T$9</f>
        <v>24255450.877923299</v>
      </c>
      <c r="K26" s="18">
        <f>E26*'Res Predicted Monthly'!$T$10</f>
        <v>17772714.941200797</v>
      </c>
      <c r="L26" s="18">
        <f>F26*'Res Predicted Monthly'!$T$11</f>
        <v>0</v>
      </c>
      <c r="M26" s="18">
        <f>G26*'Res Predicted Monthly'!$T$12</f>
        <v>0</v>
      </c>
      <c r="N26" s="18">
        <f>H26*'Res Predicted Monthly'!$T$13</f>
        <v>1596087.2637042725</v>
      </c>
      <c r="O26" s="18">
        <f t="shared" si="2"/>
        <v>43624253.082828365</v>
      </c>
      <c r="P26" s="18">
        <f t="shared" si="3"/>
        <v>-2820036.1168220416</v>
      </c>
      <c r="Q26" s="279">
        <f t="shared" si="4"/>
        <v>6.0718683941948848E-2</v>
      </c>
    </row>
    <row r="27" spans="1:22" x14ac:dyDescent="0.25">
      <c r="A27" s="3">
        <f>'Monthly Data'!A27</f>
        <v>42767</v>
      </c>
      <c r="B27" s="1">
        <f t="shared" si="0"/>
        <v>2017</v>
      </c>
      <c r="C27" s="1">
        <f t="shared" si="1"/>
        <v>2</v>
      </c>
      <c r="D27" s="24">
        <f>'Monthly Data'!F27</f>
        <v>42786099.90316622</v>
      </c>
      <c r="E27" s="278">
        <f>'Monthly Data'!BF27</f>
        <v>418.08333333333331</v>
      </c>
      <c r="F27" s="278">
        <f>'Monthly Data'!BK27</f>
        <v>0</v>
      </c>
      <c r="G27" s="18">
        <f>'Monthly Data'!DG27</f>
        <v>0</v>
      </c>
      <c r="H27" s="1">
        <f>'Monthly Data'!CC27</f>
        <v>26</v>
      </c>
      <c r="J27" s="18">
        <f>'Res Predicted Monthly'!$T$9</f>
        <v>24255450.877923299</v>
      </c>
      <c r="K27" s="18">
        <f>E27*'Res Predicted Monthly'!$T$10</f>
        <v>14974257.021463137</v>
      </c>
      <c r="L27" s="18">
        <f>F27*'Res Predicted Monthly'!$T$11</f>
        <v>0</v>
      </c>
      <c r="M27" s="18">
        <f>G27*'Res Predicted Monthly'!$T$12</f>
        <v>0</v>
      </c>
      <c r="N27" s="18">
        <f>H27*'Res Predicted Monthly'!$T$13</f>
        <v>1659930.7542524433</v>
      </c>
      <c r="O27" s="18">
        <f t="shared" si="2"/>
        <v>40889638.653638877</v>
      </c>
      <c r="P27" s="18">
        <f t="shared" si="3"/>
        <v>-1896461.2495273426</v>
      </c>
      <c r="Q27" s="279">
        <f t="shared" si="4"/>
        <v>4.4324237399983313E-2</v>
      </c>
    </row>
    <row r="28" spans="1:22" x14ac:dyDescent="0.25">
      <c r="A28" s="3">
        <f>'Monthly Data'!A28</f>
        <v>42795</v>
      </c>
      <c r="B28" s="1">
        <f t="shared" si="0"/>
        <v>2017</v>
      </c>
      <c r="C28" s="1">
        <f t="shared" si="1"/>
        <v>3</v>
      </c>
      <c r="D28" s="24">
        <f>'Monthly Data'!F28</f>
        <v>40837973.445211791</v>
      </c>
      <c r="E28" s="278">
        <f>'Monthly Data'!BF28</f>
        <v>475.67916666666662</v>
      </c>
      <c r="F28" s="278">
        <f>'Monthly Data'!BK28</f>
        <v>0</v>
      </c>
      <c r="G28" s="18">
        <f>'Monthly Data'!DG28</f>
        <v>0</v>
      </c>
      <c r="H28" s="1">
        <f>'Monthly Data'!CC28</f>
        <v>27</v>
      </c>
      <c r="J28" s="18">
        <f>'Res Predicted Monthly'!$T$9</f>
        <v>24255450.877923299</v>
      </c>
      <c r="K28" s="18">
        <f>E28*'Res Predicted Monthly'!$T$10</f>
        <v>17037134.785143472</v>
      </c>
      <c r="L28" s="18">
        <f>F28*'Res Predicted Monthly'!$T$11</f>
        <v>0</v>
      </c>
      <c r="M28" s="18">
        <f>G28*'Res Predicted Monthly'!$T$12</f>
        <v>0</v>
      </c>
      <c r="N28" s="18">
        <f>H28*'Res Predicted Monthly'!$T$13</f>
        <v>1723774.2448006142</v>
      </c>
      <c r="O28" s="18">
        <f t="shared" si="2"/>
        <v>43016359.907867387</v>
      </c>
      <c r="P28" s="18">
        <f t="shared" si="3"/>
        <v>2178386.4626555964</v>
      </c>
      <c r="Q28" s="279">
        <f t="shared" si="4"/>
        <v>5.3342178342373404E-2</v>
      </c>
    </row>
    <row r="29" spans="1:22" x14ac:dyDescent="0.25">
      <c r="A29" s="3">
        <f>'Monthly Data'!A29</f>
        <v>42826</v>
      </c>
      <c r="B29" s="1">
        <f t="shared" si="0"/>
        <v>2017</v>
      </c>
      <c r="C29" s="1">
        <f t="shared" si="1"/>
        <v>4</v>
      </c>
      <c r="D29" s="24">
        <f>'Monthly Data'!F29</f>
        <v>36940740.360373333</v>
      </c>
      <c r="E29" s="278">
        <f>'Monthly Data'!BF29</f>
        <v>174.03750000000005</v>
      </c>
      <c r="F29" s="278">
        <f>'Monthly Data'!BK29</f>
        <v>24.758333333333333</v>
      </c>
      <c r="G29" s="18">
        <f>'Monthly Data'!DG29</f>
        <v>0</v>
      </c>
      <c r="H29" s="1">
        <f>'Monthly Data'!CC29</f>
        <v>28</v>
      </c>
      <c r="J29" s="18">
        <f>'Res Predicted Monthly'!$T$9</f>
        <v>24255450.877923299</v>
      </c>
      <c r="K29" s="18">
        <f>E29*'Res Predicted Monthly'!$T$10</f>
        <v>6233403.8422313528</v>
      </c>
      <c r="L29" s="18">
        <f>F29*'Res Predicted Monthly'!$T$11</f>
        <v>1450606.1760969246</v>
      </c>
      <c r="M29" s="18">
        <f>G29*'Res Predicted Monthly'!$T$12</f>
        <v>0</v>
      </c>
      <c r="N29" s="18">
        <f>H29*'Res Predicted Monthly'!$T$13</f>
        <v>1787617.7353487853</v>
      </c>
      <c r="O29" s="18">
        <f t="shared" si="2"/>
        <v>33727078.631600358</v>
      </c>
      <c r="P29" s="18">
        <f t="shared" si="3"/>
        <v>-3213661.7287729755</v>
      </c>
      <c r="Q29" s="279">
        <f t="shared" si="4"/>
        <v>8.6995054712555239E-2</v>
      </c>
    </row>
    <row r="30" spans="1:22" x14ac:dyDescent="0.25">
      <c r="A30" s="3">
        <f>'Monthly Data'!A30</f>
        <v>42856</v>
      </c>
      <c r="B30" s="1">
        <f t="shared" si="0"/>
        <v>2017</v>
      </c>
      <c r="C30" s="1">
        <f t="shared" si="1"/>
        <v>5</v>
      </c>
      <c r="D30" s="24">
        <f>'Monthly Data'!F30</f>
        <v>33272849.356663078</v>
      </c>
      <c r="E30" s="278">
        <f>'Monthly Data'!BF30</f>
        <v>88.129166666666677</v>
      </c>
      <c r="F30" s="278">
        <f>'Monthly Data'!BK30</f>
        <v>90.983333333333348</v>
      </c>
      <c r="G30" s="18">
        <f>'Monthly Data'!DG30</f>
        <v>0</v>
      </c>
      <c r="H30" s="1">
        <f>'Monthly Data'!CC30</f>
        <v>29</v>
      </c>
      <c r="J30" s="18">
        <f>'Res Predicted Monthly'!$T$9</f>
        <v>24255450.877923299</v>
      </c>
      <c r="K30" s="18">
        <f>E30*'Res Predicted Monthly'!$T$10</f>
        <v>3156473.0940897632</v>
      </c>
      <c r="L30" s="18">
        <f>F30*'Res Predicted Monthly'!$T$11</f>
        <v>5330770.1886995034</v>
      </c>
      <c r="M30" s="18">
        <f>G30*'Res Predicted Monthly'!$T$12</f>
        <v>0</v>
      </c>
      <c r="N30" s="18">
        <f>H30*'Res Predicted Monthly'!$T$13</f>
        <v>1851461.2258969562</v>
      </c>
      <c r="O30" s="18">
        <f t="shared" si="2"/>
        <v>34594155.386609524</v>
      </c>
      <c r="P30" s="18">
        <f t="shared" si="3"/>
        <v>1321306.0299464464</v>
      </c>
      <c r="Q30" s="279">
        <f t="shared" si="4"/>
        <v>3.9711237705641445E-2</v>
      </c>
    </row>
    <row r="31" spans="1:22" x14ac:dyDescent="0.25">
      <c r="A31" s="3">
        <f>'Monthly Data'!A31</f>
        <v>42887</v>
      </c>
      <c r="B31" s="1">
        <f t="shared" si="0"/>
        <v>2017</v>
      </c>
      <c r="C31" s="1">
        <f t="shared" si="1"/>
        <v>6</v>
      </c>
      <c r="D31" s="24">
        <f>'Monthly Data'!F31</f>
        <v>37271121.64391619</v>
      </c>
      <c r="E31" s="278">
        <f>'Monthly Data'!BF31</f>
        <v>4.091666666666665</v>
      </c>
      <c r="F31" s="278">
        <f>'Monthly Data'!BK31</f>
        <v>228.62166666666667</v>
      </c>
      <c r="G31" s="18">
        <f>'Monthly Data'!DG31</f>
        <v>0</v>
      </c>
      <c r="H31" s="1">
        <f>'Monthly Data'!CC31</f>
        <v>30</v>
      </c>
      <c r="J31" s="18">
        <f>'Res Predicted Monthly'!$T$9</f>
        <v>24255450.877923299</v>
      </c>
      <c r="K31" s="18">
        <f>E31*'Res Predicted Monthly'!$T$10</f>
        <v>146548.93756305357</v>
      </c>
      <c r="L31" s="18">
        <f>F31*'Res Predicted Monthly'!$T$11</f>
        <v>13395085.896583201</v>
      </c>
      <c r="M31" s="18">
        <f>G31*'Res Predicted Monthly'!$T$12</f>
        <v>0</v>
      </c>
      <c r="N31" s="18">
        <f>H31*'Res Predicted Monthly'!$T$13</f>
        <v>1915304.716445127</v>
      </c>
      <c r="O31" s="18">
        <f t="shared" si="2"/>
        <v>39712390.428514682</v>
      </c>
      <c r="P31" s="18">
        <f t="shared" si="3"/>
        <v>2441268.7845984921</v>
      </c>
      <c r="Q31" s="279">
        <f t="shared" si="4"/>
        <v>6.5500276807392066E-2</v>
      </c>
    </row>
    <row r="32" spans="1:22" x14ac:dyDescent="0.25">
      <c r="A32" s="3">
        <f>'Monthly Data'!A32</f>
        <v>42917</v>
      </c>
      <c r="B32" s="1">
        <f t="shared" si="0"/>
        <v>2017</v>
      </c>
      <c r="C32" s="1">
        <f t="shared" si="1"/>
        <v>7</v>
      </c>
      <c r="D32" s="24">
        <f>'Monthly Data'!F32</f>
        <v>43007005.802366681</v>
      </c>
      <c r="E32" s="278">
        <f>'Monthly Data'!BF32</f>
        <v>0</v>
      </c>
      <c r="F32" s="278">
        <f>'Monthly Data'!BK32</f>
        <v>322.16666666666657</v>
      </c>
      <c r="G32" s="18">
        <f>'Monthly Data'!DG32</f>
        <v>0</v>
      </c>
      <c r="H32" s="1">
        <f>'Monthly Data'!CC32</f>
        <v>31</v>
      </c>
      <c r="J32" s="18">
        <f>'Res Predicted Monthly'!$T$9</f>
        <v>24255450.877923299</v>
      </c>
      <c r="K32" s="18">
        <f>E32*'Res Predicted Monthly'!$T$10</f>
        <v>0</v>
      </c>
      <c r="L32" s="18">
        <f>F32*'Res Predicted Monthly'!$T$11</f>
        <v>18875945.731372297</v>
      </c>
      <c r="M32" s="18">
        <f>G32*'Res Predicted Monthly'!$T$12</f>
        <v>0</v>
      </c>
      <c r="N32" s="18">
        <f>H32*'Res Predicted Monthly'!$T$13</f>
        <v>1979148.2069932979</v>
      </c>
      <c r="O32" s="18">
        <f t="shared" si="2"/>
        <v>45110544.816288888</v>
      </c>
      <c r="P32" s="18">
        <f t="shared" si="3"/>
        <v>2103539.0139222071</v>
      </c>
      <c r="Q32" s="279">
        <f t="shared" si="4"/>
        <v>4.8911543007405758E-2</v>
      </c>
    </row>
    <row r="33" spans="1:17" x14ac:dyDescent="0.25">
      <c r="A33" s="3">
        <f>'Monthly Data'!A33</f>
        <v>42948</v>
      </c>
      <c r="B33" s="1">
        <f t="shared" si="0"/>
        <v>2017</v>
      </c>
      <c r="C33" s="1">
        <f t="shared" si="1"/>
        <v>8</v>
      </c>
      <c r="D33" s="24">
        <f>'Monthly Data'!F33</f>
        <v>43246511.74715858</v>
      </c>
      <c r="E33" s="278">
        <f>'Monthly Data'!BF33</f>
        <v>0</v>
      </c>
      <c r="F33" s="278">
        <f>'Monthly Data'!BK33</f>
        <v>279.42409420289852</v>
      </c>
      <c r="G33" s="18">
        <f>'Monthly Data'!DG33</f>
        <v>0</v>
      </c>
      <c r="H33" s="1">
        <f>'Monthly Data'!CC33</f>
        <v>32</v>
      </c>
      <c r="J33" s="18">
        <f>'Res Predicted Monthly'!$T$9</f>
        <v>24255450.877923299</v>
      </c>
      <c r="K33" s="18">
        <f>E33*'Res Predicted Monthly'!$T$10</f>
        <v>0</v>
      </c>
      <c r="L33" s="18">
        <f>F33*'Res Predicted Monthly'!$T$11</f>
        <v>16371631.779239858</v>
      </c>
      <c r="M33" s="18">
        <f>G33*'Res Predicted Monthly'!$T$12</f>
        <v>0</v>
      </c>
      <c r="N33" s="18">
        <f>H33*'Res Predicted Monthly'!$T$13</f>
        <v>2042991.6975414688</v>
      </c>
      <c r="O33" s="18">
        <f t="shared" si="2"/>
        <v>42670074.354704626</v>
      </c>
      <c r="P33" s="18">
        <f t="shared" si="3"/>
        <v>-576437.39245395362</v>
      </c>
      <c r="Q33" s="279">
        <f t="shared" si="4"/>
        <v>1.3329107231216797E-2</v>
      </c>
    </row>
    <row r="34" spans="1:17" x14ac:dyDescent="0.25">
      <c r="A34" s="3">
        <f>'Monthly Data'!A34</f>
        <v>42979</v>
      </c>
      <c r="B34" s="1">
        <f t="shared" si="0"/>
        <v>2017</v>
      </c>
      <c r="C34" s="1">
        <f t="shared" si="1"/>
        <v>9</v>
      </c>
      <c r="D34" s="24">
        <f>'Monthly Data'!F34</f>
        <v>40173512.443843894</v>
      </c>
      <c r="E34" s="278">
        <f>'Monthly Data'!BF34</f>
        <v>16.833333333333329</v>
      </c>
      <c r="F34" s="278">
        <f>'Monthly Data'!BK34</f>
        <v>217.22916666666663</v>
      </c>
      <c r="G34" s="18">
        <f>'Monthly Data'!DG34</f>
        <v>0</v>
      </c>
      <c r="H34" s="1">
        <f>'Monthly Data'!CC34</f>
        <v>33</v>
      </c>
      <c r="J34" s="18">
        <f>'Res Predicted Monthly'!$T$9</f>
        <v>24255450.877923299</v>
      </c>
      <c r="K34" s="18">
        <f>E34*'Res Predicted Monthly'!$T$10</f>
        <v>602910.08936327545</v>
      </c>
      <c r="L34" s="18">
        <f>F34*'Res Predicted Monthly'!$T$11</f>
        <v>12727592.223294035</v>
      </c>
      <c r="M34" s="18">
        <f>G34*'Res Predicted Monthly'!$T$12</f>
        <v>0</v>
      </c>
      <c r="N34" s="18">
        <f>H34*'Res Predicted Monthly'!$T$13</f>
        <v>2106835.1880896399</v>
      </c>
      <c r="O34" s="18">
        <f t="shared" ref="O34:O65" si="5">SUM(J34:N34)</f>
        <v>39692788.378670245</v>
      </c>
      <c r="P34" s="18">
        <f t="shared" ref="P34:P65" si="6">O34-D34</f>
        <v>-480724.0651736483</v>
      </c>
      <c r="Q34" s="279">
        <f t="shared" ref="Q34:Q65" si="7">ABS(P34/D34)</f>
        <v>1.1966194537896661E-2</v>
      </c>
    </row>
    <row r="35" spans="1:17" x14ac:dyDescent="0.25">
      <c r="A35" s="3">
        <f>'Monthly Data'!A35</f>
        <v>43009</v>
      </c>
      <c r="B35" s="1">
        <f t="shared" si="0"/>
        <v>2017</v>
      </c>
      <c r="C35" s="1">
        <f t="shared" si="1"/>
        <v>10</v>
      </c>
      <c r="D35" s="24">
        <f>'Monthly Data'!F35</f>
        <v>36831928.279389635</v>
      </c>
      <c r="E35" s="278">
        <f>'Monthly Data'!BF35</f>
        <v>82.137500000000017</v>
      </c>
      <c r="F35" s="278">
        <f>'Monthly Data'!BK35</f>
        <v>98.274999999999977</v>
      </c>
      <c r="G35" s="18">
        <f>'Monthly Data'!DG35</f>
        <v>0</v>
      </c>
      <c r="H35" s="1">
        <f>'Monthly Data'!CC35</f>
        <v>34</v>
      </c>
      <c r="J35" s="18">
        <f>'Res Predicted Monthly'!$T$9</f>
        <v>24255450.877923299</v>
      </c>
      <c r="K35" s="18">
        <f>E35*'Res Predicted Monthly'!$T$10</f>
        <v>2941872.9187173899</v>
      </c>
      <c r="L35" s="18">
        <f>F35*'Res Predicted Monthly'!$T$11</f>
        <v>5757993.4818953313</v>
      </c>
      <c r="M35" s="18">
        <f>G35*'Res Predicted Monthly'!$T$12</f>
        <v>0</v>
      </c>
      <c r="N35" s="18">
        <f>H35*'Res Predicted Monthly'!$T$13</f>
        <v>2170678.6786378105</v>
      </c>
      <c r="O35" s="18">
        <f t="shared" si="5"/>
        <v>35125995.957173832</v>
      </c>
      <c r="P35" s="18">
        <f t="shared" si="6"/>
        <v>-1705932.322215803</v>
      </c>
      <c r="Q35" s="279">
        <f t="shared" si="7"/>
        <v>4.6316671483377279E-2</v>
      </c>
    </row>
    <row r="36" spans="1:17" x14ac:dyDescent="0.25">
      <c r="A36" s="3">
        <f>'Monthly Data'!A36</f>
        <v>43040</v>
      </c>
      <c r="B36" s="1">
        <f t="shared" si="0"/>
        <v>2017</v>
      </c>
      <c r="C36" s="1">
        <f t="shared" si="1"/>
        <v>11</v>
      </c>
      <c r="D36" s="24">
        <f>'Monthly Data'!F36</f>
        <v>39177413.497449182</v>
      </c>
      <c r="E36" s="278">
        <f>'Monthly Data'!BF36</f>
        <v>322.61174242424249</v>
      </c>
      <c r="F36" s="278">
        <f>'Monthly Data'!BK36</f>
        <v>1.2958333333333325</v>
      </c>
      <c r="G36" s="18">
        <f>'Monthly Data'!DG36</f>
        <v>0</v>
      </c>
      <c r="H36" s="1">
        <f>'Monthly Data'!CC36</f>
        <v>35</v>
      </c>
      <c r="J36" s="18">
        <f>'Res Predicted Monthly'!$T$9</f>
        <v>24255450.877923299</v>
      </c>
      <c r="K36" s="18">
        <f>E36*'Res Predicted Monthly'!$T$10</f>
        <v>11554804.423048045</v>
      </c>
      <c r="L36" s="18">
        <f>F36*'Res Predicted Monthly'!$T$11</f>
        <v>75923.682390801623</v>
      </c>
      <c r="M36" s="18">
        <f>G36*'Res Predicted Monthly'!$T$12</f>
        <v>0</v>
      </c>
      <c r="N36" s="18">
        <f>H36*'Res Predicted Monthly'!$T$13</f>
        <v>2234522.1691859816</v>
      </c>
      <c r="O36" s="18">
        <f t="shared" si="5"/>
        <v>38120701.152548127</v>
      </c>
      <c r="P36" s="18">
        <f t="shared" si="6"/>
        <v>-1056712.3449010551</v>
      </c>
      <c r="Q36" s="279">
        <f t="shared" si="7"/>
        <v>2.6972488752220893E-2</v>
      </c>
    </row>
    <row r="37" spans="1:17" x14ac:dyDescent="0.25">
      <c r="A37" s="3">
        <f>'Monthly Data'!A37</f>
        <v>43070</v>
      </c>
      <c r="B37" s="1">
        <f t="shared" si="0"/>
        <v>2017</v>
      </c>
      <c r="C37" s="1">
        <f t="shared" si="1"/>
        <v>12</v>
      </c>
      <c r="D37" s="24">
        <f>'Monthly Data'!F37</f>
        <v>45743096.906611487</v>
      </c>
      <c r="E37" s="278">
        <f>'Monthly Data'!BF37</f>
        <v>612.31250000000011</v>
      </c>
      <c r="F37" s="278">
        <f>'Monthly Data'!BK37</f>
        <v>0</v>
      </c>
      <c r="G37" s="18">
        <f>'Monthly Data'!DG37</f>
        <v>0</v>
      </c>
      <c r="H37" s="1">
        <f>'Monthly Data'!CC37</f>
        <v>36</v>
      </c>
      <c r="J37" s="18">
        <f>'Res Predicted Monthly'!$T$9</f>
        <v>24255450.877923299</v>
      </c>
      <c r="K37" s="18">
        <f>E37*'Res Predicted Monthly'!$T$10</f>
        <v>21930854.500589155</v>
      </c>
      <c r="L37" s="18">
        <f>F37*'Res Predicted Monthly'!$T$11</f>
        <v>0</v>
      </c>
      <c r="M37" s="18">
        <f>G37*'Res Predicted Monthly'!$T$12</f>
        <v>0</v>
      </c>
      <c r="N37" s="18">
        <f>H37*'Res Predicted Monthly'!$T$13</f>
        <v>2298365.6597341523</v>
      </c>
      <c r="O37" s="18">
        <f t="shared" si="5"/>
        <v>48484671.038246609</v>
      </c>
      <c r="P37" s="18">
        <f t="shared" si="6"/>
        <v>2741574.131635122</v>
      </c>
      <c r="Q37" s="279">
        <f t="shared" si="7"/>
        <v>5.9934160934321613E-2</v>
      </c>
    </row>
    <row r="38" spans="1:17" x14ac:dyDescent="0.25">
      <c r="A38" s="3">
        <f>'Monthly Data'!A38</f>
        <v>43101</v>
      </c>
      <c r="B38" s="1">
        <f t="shared" si="0"/>
        <v>2018</v>
      </c>
      <c r="C38" s="1">
        <f t="shared" si="1"/>
        <v>1</v>
      </c>
      <c r="D38" s="24">
        <f>'Monthly Data'!F38</f>
        <v>49182543.969667621</v>
      </c>
      <c r="E38" s="278">
        <f>'Monthly Data'!BF38</f>
        <v>626.53750000000002</v>
      </c>
      <c r="F38" s="278">
        <f>'Monthly Data'!BK38</f>
        <v>0</v>
      </c>
      <c r="G38" s="18">
        <f>'Monthly Data'!DG38</f>
        <v>0</v>
      </c>
      <c r="H38" s="1">
        <f>'Monthly Data'!CC38</f>
        <v>37</v>
      </c>
      <c r="J38" s="18">
        <f>'Res Predicted Monthly'!$T$9</f>
        <v>24255450.877923299</v>
      </c>
      <c r="K38" s="18">
        <f>E38*'Res Predicted Monthly'!$T$10</f>
        <v>22440343.373135246</v>
      </c>
      <c r="L38" s="18">
        <f>F38*'Res Predicted Monthly'!$T$11</f>
        <v>0</v>
      </c>
      <c r="M38" s="18">
        <f>G38*'Res Predicted Monthly'!$T$12</f>
        <v>0</v>
      </c>
      <c r="N38" s="18">
        <f>H38*'Res Predicted Monthly'!$T$13</f>
        <v>2362209.1502823234</v>
      </c>
      <c r="O38" s="18">
        <f t="shared" si="5"/>
        <v>49058003.401340872</v>
      </c>
      <c r="P38" s="18">
        <f t="shared" si="6"/>
        <v>-124540.56832674891</v>
      </c>
      <c r="Q38" s="279">
        <f t="shared" si="7"/>
        <v>2.5322107860780217E-3</v>
      </c>
    </row>
    <row r="39" spans="1:17" x14ac:dyDescent="0.25">
      <c r="A39" s="3">
        <f>'Monthly Data'!A39</f>
        <v>43132</v>
      </c>
      <c r="B39" s="1">
        <f t="shared" si="0"/>
        <v>2018</v>
      </c>
      <c r="C39" s="1">
        <f t="shared" si="1"/>
        <v>2</v>
      </c>
      <c r="D39" s="24">
        <f>'Monthly Data'!F39</f>
        <v>42254490.640547559</v>
      </c>
      <c r="E39" s="278">
        <f>'Monthly Data'!BF39</f>
        <v>464.49583333333334</v>
      </c>
      <c r="F39" s="278">
        <f>'Monthly Data'!BK39</f>
        <v>0</v>
      </c>
      <c r="G39" s="18">
        <f>'Monthly Data'!DG39</f>
        <v>0</v>
      </c>
      <c r="H39" s="1">
        <f>'Monthly Data'!CC39</f>
        <v>38</v>
      </c>
      <c r="J39" s="18">
        <f>'Res Predicted Monthly'!$T$9</f>
        <v>24255450.877923299</v>
      </c>
      <c r="K39" s="18">
        <f>E39*'Res Predicted Monthly'!$T$10</f>
        <v>16636587.587160544</v>
      </c>
      <c r="L39" s="18">
        <f>F39*'Res Predicted Monthly'!$T$11</f>
        <v>0</v>
      </c>
      <c r="M39" s="18">
        <f>G39*'Res Predicted Monthly'!$T$12</f>
        <v>0</v>
      </c>
      <c r="N39" s="18">
        <f>H39*'Res Predicted Monthly'!$T$13</f>
        <v>2426052.640830494</v>
      </c>
      <c r="O39" s="18">
        <f t="shared" si="5"/>
        <v>43318091.105914339</v>
      </c>
      <c r="P39" s="18">
        <f t="shared" si="6"/>
        <v>1063600.4653667808</v>
      </c>
      <c r="Q39" s="279">
        <f t="shared" si="7"/>
        <v>2.5171300120847888E-2</v>
      </c>
    </row>
    <row r="40" spans="1:17" x14ac:dyDescent="0.25">
      <c r="A40" s="3">
        <f>'Monthly Data'!A40</f>
        <v>43160</v>
      </c>
      <c r="B40" s="1">
        <f t="shared" si="0"/>
        <v>2018</v>
      </c>
      <c r="C40" s="1">
        <f t="shared" si="1"/>
        <v>3</v>
      </c>
      <c r="D40" s="24">
        <f>'Monthly Data'!F40</f>
        <v>43432566.137043901</v>
      </c>
      <c r="E40" s="278">
        <f>'Monthly Data'!BF40</f>
        <v>443.2791666666667</v>
      </c>
      <c r="F40" s="278">
        <f>'Monthly Data'!BK40</f>
        <v>0</v>
      </c>
      <c r="G40" s="18">
        <f>'Monthly Data'!DG40</f>
        <v>0</v>
      </c>
      <c r="H40" s="1">
        <f>'Monthly Data'!CC40</f>
        <v>39</v>
      </c>
      <c r="J40" s="18">
        <f>'Res Predicted Monthly'!$T$9</f>
        <v>24255450.877923299</v>
      </c>
      <c r="K40" s="18">
        <f>E40*'Res Predicted Monthly'!$T$10</f>
        <v>15876682.098289805</v>
      </c>
      <c r="L40" s="18">
        <f>F40*'Res Predicted Monthly'!$T$11</f>
        <v>0</v>
      </c>
      <c r="M40" s="18">
        <f>G40*'Res Predicted Monthly'!$T$12</f>
        <v>0</v>
      </c>
      <c r="N40" s="18">
        <f>H40*'Res Predicted Monthly'!$T$13</f>
        <v>2489896.1313786651</v>
      </c>
      <c r="O40" s="18">
        <f t="shared" si="5"/>
        <v>42622029.107591771</v>
      </c>
      <c r="P40" s="18">
        <f t="shared" si="6"/>
        <v>-810537.0294521302</v>
      </c>
      <c r="Q40" s="279">
        <f t="shared" si="7"/>
        <v>1.8661965007884217E-2</v>
      </c>
    </row>
    <row r="41" spans="1:17" x14ac:dyDescent="0.25">
      <c r="A41" s="3">
        <f>'Monthly Data'!A41</f>
        <v>43191</v>
      </c>
      <c r="B41" s="1">
        <f t="shared" si="0"/>
        <v>2018</v>
      </c>
      <c r="C41" s="1">
        <f t="shared" si="1"/>
        <v>4</v>
      </c>
      <c r="D41" s="24">
        <f>'Monthly Data'!F41</f>
        <v>40741485.304550432</v>
      </c>
      <c r="E41" s="278">
        <f>'Monthly Data'!BF41</f>
        <v>332.51666666666671</v>
      </c>
      <c r="F41" s="278">
        <f>'Monthly Data'!BK41</f>
        <v>6.2499999999998224E-2</v>
      </c>
      <c r="G41" s="18">
        <f>'Monthly Data'!DG41</f>
        <v>0</v>
      </c>
      <c r="H41" s="1">
        <f>'Monthly Data'!CC41</f>
        <v>40</v>
      </c>
      <c r="J41" s="18">
        <f>'Res Predicted Monthly'!$T$9</f>
        <v>24255450.877923299</v>
      </c>
      <c r="K41" s="18">
        <f>E41*'Res Predicted Monthly'!$T$10</f>
        <v>11909563.557313578</v>
      </c>
      <c r="L41" s="18">
        <f>F41*'Res Predicted Monthly'!$T$11</f>
        <v>3661.9139416784333</v>
      </c>
      <c r="M41" s="18">
        <f>G41*'Res Predicted Monthly'!$T$12</f>
        <v>0</v>
      </c>
      <c r="N41" s="18">
        <f>H41*'Res Predicted Monthly'!$T$13</f>
        <v>2553739.6219268357</v>
      </c>
      <c r="O41" s="18">
        <f t="shared" si="5"/>
        <v>38722415.971105397</v>
      </c>
      <c r="P41" s="18">
        <f t="shared" si="6"/>
        <v>-2019069.3334450349</v>
      </c>
      <c r="Q41" s="279">
        <f t="shared" si="7"/>
        <v>4.9558068841921293E-2</v>
      </c>
    </row>
    <row r="42" spans="1:17" x14ac:dyDescent="0.25">
      <c r="A42" s="3">
        <f>'Monthly Data'!A42</f>
        <v>43221</v>
      </c>
      <c r="B42" s="1">
        <f t="shared" si="0"/>
        <v>2018</v>
      </c>
      <c r="C42" s="1">
        <f t="shared" si="1"/>
        <v>5</v>
      </c>
      <c r="D42" s="24">
        <f>'Monthly Data'!F42</f>
        <v>32656333.018106893</v>
      </c>
      <c r="E42" s="278">
        <f>'Monthly Data'!BF42</f>
        <v>22.062500000000014</v>
      </c>
      <c r="F42" s="278">
        <f>'Monthly Data'!BK42</f>
        <v>185.32554112554109</v>
      </c>
      <c r="G42" s="18">
        <f>'Monthly Data'!DG42</f>
        <v>0</v>
      </c>
      <c r="H42" s="1">
        <f>'Monthly Data'!CC42</f>
        <v>41</v>
      </c>
      <c r="J42" s="18">
        <f>'Res Predicted Monthly'!$T$9</f>
        <v>24255450.877923299</v>
      </c>
      <c r="K42" s="18">
        <f>E42*'Res Predicted Monthly'!$T$10</f>
        <v>790200.22850954125</v>
      </c>
      <c r="L42" s="18">
        <f>F42*'Res Predicted Monthly'!$T$11</f>
        <v>10858338.92474781</v>
      </c>
      <c r="M42" s="18">
        <f>G42*'Res Predicted Monthly'!$T$12</f>
        <v>0</v>
      </c>
      <c r="N42" s="18">
        <f>H42*'Res Predicted Monthly'!$T$13</f>
        <v>2617583.1124750068</v>
      </c>
      <c r="O42" s="18">
        <f t="shared" si="5"/>
        <v>38521573.143655658</v>
      </c>
      <c r="P42" s="18">
        <f t="shared" si="6"/>
        <v>5865240.1255487651</v>
      </c>
      <c r="Q42" s="279">
        <f t="shared" si="7"/>
        <v>0.17960498266283226</v>
      </c>
    </row>
    <row r="43" spans="1:17" x14ac:dyDescent="0.25">
      <c r="A43" s="3">
        <f>'Monthly Data'!A43</f>
        <v>43252</v>
      </c>
      <c r="B43" s="1">
        <f t="shared" si="0"/>
        <v>2018</v>
      </c>
      <c r="C43" s="1">
        <f t="shared" si="1"/>
        <v>6</v>
      </c>
      <c r="D43" s="24">
        <f>'Monthly Data'!F43</f>
        <v>39427584.09957619</v>
      </c>
      <c r="E43" s="278">
        <f>'Monthly Data'!BF43</f>
        <v>3.3208333333333275</v>
      </c>
      <c r="F43" s="278">
        <f>'Monthly Data'!BK43</f>
        <v>258.19393939393944</v>
      </c>
      <c r="G43" s="18">
        <f>'Monthly Data'!DG43</f>
        <v>0</v>
      </c>
      <c r="H43" s="1">
        <f>'Monthly Data'!CC43</f>
        <v>42</v>
      </c>
      <c r="J43" s="18">
        <f>'Res Predicted Monthly'!$T$9</f>
        <v>24255450.877923299</v>
      </c>
      <c r="K43" s="18">
        <f>E43*'Res Predicted Monthly'!$T$10</f>
        <v>118940.43099567571</v>
      </c>
      <c r="L43" s="18">
        <f>F43*'Res Predicted Monthly'!$T$11</f>
        <v>15127743.781177122</v>
      </c>
      <c r="M43" s="18">
        <f>G43*'Res Predicted Monthly'!$T$12</f>
        <v>0</v>
      </c>
      <c r="N43" s="18">
        <f>H43*'Res Predicted Monthly'!$T$13</f>
        <v>2681426.6030231779</v>
      </c>
      <c r="O43" s="18">
        <f t="shared" si="5"/>
        <v>42183561.69311928</v>
      </c>
      <c r="P43" s="18">
        <f t="shared" si="6"/>
        <v>2755977.5935430899</v>
      </c>
      <c r="Q43" s="279">
        <f t="shared" si="7"/>
        <v>6.9899732800841691E-2</v>
      </c>
    </row>
    <row r="44" spans="1:17" x14ac:dyDescent="0.25">
      <c r="A44" s="3">
        <f>'Monthly Data'!A44</f>
        <v>43282</v>
      </c>
      <c r="B44" s="1">
        <f t="shared" si="0"/>
        <v>2018</v>
      </c>
      <c r="C44" s="1">
        <f t="shared" si="1"/>
        <v>7</v>
      </c>
      <c r="D44" s="24">
        <f>'Monthly Data'!F44</f>
        <v>48882916.889358468</v>
      </c>
      <c r="E44" s="278">
        <f>'Monthly Data'!BF44</f>
        <v>0</v>
      </c>
      <c r="F44" s="278">
        <f>'Monthly Data'!BK44</f>
        <v>380.39861424807083</v>
      </c>
      <c r="G44" s="18">
        <f>'Monthly Data'!DG44</f>
        <v>0</v>
      </c>
      <c r="H44" s="1">
        <f>'Monthly Data'!CC44</f>
        <v>43</v>
      </c>
      <c r="J44" s="18">
        <f>'Res Predicted Monthly'!$T$9</f>
        <v>24255450.877923299</v>
      </c>
      <c r="K44" s="18">
        <f>E44*'Res Predicted Monthly'!$T$10</f>
        <v>0</v>
      </c>
      <c r="L44" s="18">
        <f>F44*'Res Predicted Monthly'!$T$11</f>
        <v>22287791.822563305</v>
      </c>
      <c r="M44" s="18">
        <f>G44*'Res Predicted Monthly'!$T$12</f>
        <v>0</v>
      </c>
      <c r="N44" s="18">
        <f>H44*'Res Predicted Monthly'!$T$13</f>
        <v>2745270.0935713486</v>
      </c>
      <c r="O44" s="18">
        <f t="shared" si="5"/>
        <v>49288512.79405795</v>
      </c>
      <c r="P44" s="18">
        <f t="shared" si="6"/>
        <v>405595.90469948202</v>
      </c>
      <c r="Q44" s="279">
        <f t="shared" si="7"/>
        <v>8.2972934208796756E-3</v>
      </c>
    </row>
    <row r="45" spans="1:17" x14ac:dyDescent="0.25">
      <c r="A45" s="3">
        <f>'Monthly Data'!A45</f>
        <v>43313</v>
      </c>
      <c r="B45" s="1">
        <f t="shared" si="0"/>
        <v>2018</v>
      </c>
      <c r="C45" s="1">
        <f t="shared" si="1"/>
        <v>8</v>
      </c>
      <c r="D45" s="24">
        <f>'Monthly Data'!F45</f>
        <v>51351752.177842215</v>
      </c>
      <c r="E45" s="278">
        <f>'Monthly Data'!BF45</f>
        <v>0</v>
      </c>
      <c r="F45" s="278">
        <f>'Monthly Data'!BK45</f>
        <v>376.24583333333334</v>
      </c>
      <c r="G45" s="18">
        <f>'Monthly Data'!DG45</f>
        <v>0</v>
      </c>
      <c r="H45" s="1">
        <f>'Monthly Data'!CC45</f>
        <v>44</v>
      </c>
      <c r="J45" s="18">
        <f>'Res Predicted Monthly'!$T$9</f>
        <v>24255450.877923299</v>
      </c>
      <c r="K45" s="18">
        <f>E45*'Res Predicted Monthly'!$T$10</f>
        <v>0</v>
      </c>
      <c r="L45" s="18">
        <f>F45*'Res Predicted Monthly'!$T$11</f>
        <v>22044477.801308684</v>
      </c>
      <c r="M45" s="18">
        <f>G45*'Res Predicted Monthly'!$T$12</f>
        <v>0</v>
      </c>
      <c r="N45" s="18">
        <f>H45*'Res Predicted Monthly'!$T$13</f>
        <v>2809113.5841195197</v>
      </c>
      <c r="O45" s="18">
        <f t="shared" si="5"/>
        <v>49109042.263351507</v>
      </c>
      <c r="P45" s="18">
        <f t="shared" si="6"/>
        <v>-2242709.9144907072</v>
      </c>
      <c r="Q45" s="279">
        <f t="shared" si="7"/>
        <v>4.3673483754239156E-2</v>
      </c>
    </row>
    <row r="46" spans="1:17" x14ac:dyDescent="0.25">
      <c r="A46" s="3">
        <f>'Monthly Data'!A46</f>
        <v>43344</v>
      </c>
      <c r="B46" s="1">
        <f t="shared" si="0"/>
        <v>2018</v>
      </c>
      <c r="C46" s="1">
        <f t="shared" si="1"/>
        <v>9</v>
      </c>
      <c r="D46" s="24">
        <f>'Monthly Data'!F46</f>
        <v>45094790.035028785</v>
      </c>
      <c r="E46" s="278">
        <f>'Monthly Data'!BF46</f>
        <v>13.695833333333338</v>
      </c>
      <c r="F46" s="278">
        <f>'Monthly Data'!BK46</f>
        <v>241.36666666666665</v>
      </c>
      <c r="G46" s="18">
        <f>'Monthly Data'!DG46</f>
        <v>0</v>
      </c>
      <c r="H46" s="1">
        <f>'Monthly Data'!CC46</f>
        <v>45</v>
      </c>
      <c r="J46" s="18">
        <f>'Res Predicted Monthly'!$T$9</f>
        <v>24255450.877923299</v>
      </c>
      <c r="K46" s="18">
        <f>E46*'Res Predicted Monthly'!$T$10</f>
        <v>490536.00587551674</v>
      </c>
      <c r="L46" s="18">
        <f>F46*'Res Predicted Monthly'!$T$11</f>
        <v>14141823.387570286</v>
      </c>
      <c r="M46" s="18">
        <f>G46*'Res Predicted Monthly'!$T$12</f>
        <v>0</v>
      </c>
      <c r="N46" s="18">
        <f>H46*'Res Predicted Monthly'!$T$13</f>
        <v>2872957.0746676903</v>
      </c>
      <c r="O46" s="18">
        <f t="shared" si="5"/>
        <v>41760767.346036792</v>
      </c>
      <c r="P46" s="18">
        <f t="shared" si="6"/>
        <v>-3334022.6889919937</v>
      </c>
      <c r="Q46" s="279">
        <f t="shared" si="7"/>
        <v>7.3933655892447603E-2</v>
      </c>
    </row>
    <row r="47" spans="1:17" x14ac:dyDescent="0.25">
      <c r="A47" s="3">
        <f>'Monthly Data'!A47</f>
        <v>43374</v>
      </c>
      <c r="B47" s="1">
        <f t="shared" si="0"/>
        <v>2018</v>
      </c>
      <c r="C47" s="1">
        <f t="shared" si="1"/>
        <v>10</v>
      </c>
      <c r="D47" s="24">
        <f>'Monthly Data'!F47</f>
        <v>34872575.812981203</v>
      </c>
      <c r="E47" s="278">
        <f>'Monthly Data'!BF47</f>
        <v>194.17916666666662</v>
      </c>
      <c r="F47" s="278">
        <f>'Monthly Data'!BK47</f>
        <v>41.524999999999999</v>
      </c>
      <c r="G47" s="18">
        <f>'Monthly Data'!DG47</f>
        <v>0</v>
      </c>
      <c r="H47" s="1">
        <f>'Monthly Data'!CC47</f>
        <v>46</v>
      </c>
      <c r="J47" s="18">
        <f>'Res Predicted Monthly'!$T$9</f>
        <v>24255450.877923299</v>
      </c>
      <c r="K47" s="18">
        <f>E47*'Res Predicted Monthly'!$T$10</f>
        <v>6954806.6570783975</v>
      </c>
      <c r="L47" s="18">
        <f>F47*'Res Predicted Monthly'!$T$11</f>
        <v>2432975.62285122</v>
      </c>
      <c r="M47" s="18">
        <f>G47*'Res Predicted Monthly'!$T$12</f>
        <v>0</v>
      </c>
      <c r="N47" s="18">
        <f>H47*'Res Predicted Monthly'!$T$13</f>
        <v>2936800.5652158614</v>
      </c>
      <c r="O47" s="18">
        <f t="shared" si="5"/>
        <v>36580033.723068781</v>
      </c>
      <c r="P47" s="18">
        <f t="shared" si="6"/>
        <v>1707457.910087578</v>
      </c>
      <c r="Q47" s="279">
        <f t="shared" si="7"/>
        <v>4.8962770035816575E-2</v>
      </c>
    </row>
    <row r="48" spans="1:17" x14ac:dyDescent="0.25">
      <c r="A48" s="3">
        <f>'Monthly Data'!A48</f>
        <v>43405</v>
      </c>
      <c r="B48" s="1">
        <f t="shared" si="0"/>
        <v>2018</v>
      </c>
      <c r="C48" s="1">
        <f t="shared" si="1"/>
        <v>11</v>
      </c>
      <c r="D48" s="24">
        <f>'Monthly Data'!F48</f>
        <v>39696145.233856961</v>
      </c>
      <c r="E48" s="278">
        <f>'Monthly Data'!BF48</f>
        <v>383.52500000000003</v>
      </c>
      <c r="F48" s="278">
        <f>'Monthly Data'!BK48</f>
        <v>0.34166666666666856</v>
      </c>
      <c r="G48" s="18">
        <f>'Monthly Data'!DG48</f>
        <v>0</v>
      </c>
      <c r="H48" s="1">
        <f>'Monthly Data'!CC48</f>
        <v>47</v>
      </c>
      <c r="J48" s="18">
        <f>'Res Predicted Monthly'!$T$9</f>
        <v>24255450.877923299</v>
      </c>
      <c r="K48" s="18">
        <f>E48*'Res Predicted Monthly'!$T$10</f>
        <v>13736500.51622081</v>
      </c>
      <c r="L48" s="18">
        <f>F48*'Res Predicted Monthly'!$T$11</f>
        <v>20018.462881176114</v>
      </c>
      <c r="M48" s="18">
        <f>G48*'Res Predicted Monthly'!$T$12</f>
        <v>0</v>
      </c>
      <c r="N48" s="18">
        <f>H48*'Res Predicted Monthly'!$T$13</f>
        <v>3000644.0557640321</v>
      </c>
      <c r="O48" s="18">
        <f t="shared" si="5"/>
        <v>41012613.912789322</v>
      </c>
      <c r="P48" s="18">
        <f t="shared" si="6"/>
        <v>1316468.6789323613</v>
      </c>
      <c r="Q48" s="279">
        <f t="shared" si="7"/>
        <v>3.3163640226949322E-2</v>
      </c>
    </row>
    <row r="49" spans="1:21" x14ac:dyDescent="0.25">
      <c r="A49" s="3">
        <f>'Monthly Data'!A49</f>
        <v>43435</v>
      </c>
      <c r="B49" s="1">
        <f t="shared" si="0"/>
        <v>2018</v>
      </c>
      <c r="C49" s="1">
        <f t="shared" si="1"/>
        <v>12</v>
      </c>
      <c r="D49" s="24">
        <f>'Monthly Data'!F49</f>
        <v>43470353.451681152</v>
      </c>
      <c r="E49" s="278">
        <f>'Monthly Data'!BF49</f>
        <v>460.91666666666657</v>
      </c>
      <c r="F49" s="278">
        <f>'Monthly Data'!BK49</f>
        <v>0</v>
      </c>
      <c r="G49" s="18">
        <f>'Monthly Data'!DG49</f>
        <v>0</v>
      </c>
      <c r="H49" s="1">
        <f>'Monthly Data'!CC49</f>
        <v>48</v>
      </c>
      <c r="J49" s="18">
        <f>'Res Predicted Monthly'!$T$9</f>
        <v>24255450.877923299</v>
      </c>
      <c r="K49" s="18">
        <f>E49*'Res Predicted Monthly'!$T$10</f>
        <v>16508394.575585529</v>
      </c>
      <c r="L49" s="18">
        <f>F49*'Res Predicted Monthly'!$T$11</f>
        <v>0</v>
      </c>
      <c r="M49" s="18">
        <f>G49*'Res Predicted Monthly'!$T$12</f>
        <v>0</v>
      </c>
      <c r="N49" s="18">
        <f>H49*'Res Predicted Monthly'!$T$13</f>
        <v>3064487.5463122032</v>
      </c>
      <c r="O49" s="18">
        <f t="shared" si="5"/>
        <v>43828332.99982103</v>
      </c>
      <c r="P49" s="18">
        <f t="shared" si="6"/>
        <v>357979.54813987762</v>
      </c>
      <c r="Q49" s="279">
        <f t="shared" si="7"/>
        <v>8.2350273166696165E-3</v>
      </c>
    </row>
    <row r="50" spans="1:21" x14ac:dyDescent="0.25">
      <c r="A50" s="3">
        <f>'Monthly Data'!A50</f>
        <v>43466</v>
      </c>
      <c r="B50" s="1">
        <f t="shared" si="0"/>
        <v>2019</v>
      </c>
      <c r="C50" s="1">
        <f t="shared" si="1"/>
        <v>1</v>
      </c>
      <c r="D50" s="24">
        <f>'Monthly Data'!F50</f>
        <v>49786545.597074255</v>
      </c>
      <c r="E50" s="278">
        <f>'Monthly Data'!BF50</f>
        <v>655.93333333333339</v>
      </c>
      <c r="F50" s="278">
        <f>'Monthly Data'!BK50</f>
        <v>0</v>
      </c>
      <c r="G50" s="18">
        <f>'Monthly Data'!DG50</f>
        <v>0</v>
      </c>
      <c r="H50" s="1">
        <f>'Monthly Data'!CC50</f>
        <v>49</v>
      </c>
      <c r="J50" s="18">
        <f>'Res Predicted Monthly'!$T$9</f>
        <v>24255450.877923299</v>
      </c>
      <c r="K50" s="18">
        <f>E50*'Res Predicted Monthly'!$T$10</f>
        <v>23493197.501961462</v>
      </c>
      <c r="L50" s="18">
        <f>F50*'Res Predicted Monthly'!$T$11</f>
        <v>0</v>
      </c>
      <c r="M50" s="18">
        <f>G50*'Res Predicted Monthly'!$T$12</f>
        <v>0</v>
      </c>
      <c r="N50" s="18">
        <f>H50*'Res Predicted Monthly'!$T$13</f>
        <v>3128331.0368603743</v>
      </c>
      <c r="O50" s="18">
        <f t="shared" si="5"/>
        <v>50876979.416745141</v>
      </c>
      <c r="P50" s="18">
        <f t="shared" si="6"/>
        <v>1090433.8196708858</v>
      </c>
      <c r="Q50" s="279">
        <f t="shared" si="7"/>
        <v>2.190217872305979E-2</v>
      </c>
    </row>
    <row r="51" spans="1:21" x14ac:dyDescent="0.25">
      <c r="A51" s="3">
        <f>'Monthly Data'!A51</f>
        <v>43497</v>
      </c>
      <c r="B51" s="1">
        <f t="shared" si="0"/>
        <v>2019</v>
      </c>
      <c r="C51" s="1">
        <f t="shared" si="1"/>
        <v>2</v>
      </c>
      <c r="D51" s="24">
        <f>'Monthly Data'!F51</f>
        <v>46962938.100034416</v>
      </c>
      <c r="E51" s="278">
        <f>'Monthly Data'!BF51</f>
        <v>527.30416666666656</v>
      </c>
      <c r="F51" s="278">
        <f>'Monthly Data'!BK51</f>
        <v>0</v>
      </c>
      <c r="G51" s="18">
        <f>'Monthly Data'!DG51</f>
        <v>0</v>
      </c>
      <c r="H51" s="1">
        <f>'Monthly Data'!CC51</f>
        <v>50</v>
      </c>
      <c r="J51" s="18">
        <f>'Res Predicted Monthly'!$T$9</f>
        <v>24255450.877923299</v>
      </c>
      <c r="K51" s="18">
        <f>E51*'Res Predicted Monthly'!$T$10</f>
        <v>18886158.549304605</v>
      </c>
      <c r="L51" s="18">
        <f>F51*'Res Predicted Monthly'!$T$11</f>
        <v>0</v>
      </c>
      <c r="M51" s="18">
        <f>G51*'Res Predicted Monthly'!$T$12</f>
        <v>0</v>
      </c>
      <c r="N51" s="18">
        <f>H51*'Res Predicted Monthly'!$T$13</f>
        <v>3192174.5274085449</v>
      </c>
      <c r="O51" s="18">
        <f t="shared" si="5"/>
        <v>46333783.954636447</v>
      </c>
      <c r="P51" s="18">
        <f t="shared" si="6"/>
        <v>-629154.14539796859</v>
      </c>
      <c r="Q51" s="279">
        <f t="shared" si="7"/>
        <v>1.3396822491340412E-2</v>
      </c>
    </row>
    <row r="52" spans="1:21" x14ac:dyDescent="0.25">
      <c r="A52" s="3">
        <f>'Monthly Data'!A52</f>
        <v>43525</v>
      </c>
      <c r="B52" s="1">
        <f t="shared" si="0"/>
        <v>2019</v>
      </c>
      <c r="C52" s="1">
        <f t="shared" si="1"/>
        <v>3</v>
      </c>
      <c r="D52" s="24">
        <f>'Monthly Data'!F52</f>
        <v>40529259.756652385</v>
      </c>
      <c r="E52" s="278">
        <f>'Monthly Data'!BF52</f>
        <v>487.45833333333331</v>
      </c>
      <c r="F52" s="278">
        <f>'Monthly Data'!BK52</f>
        <v>0</v>
      </c>
      <c r="G52" s="18">
        <f>'Monthly Data'!DG52</f>
        <v>0</v>
      </c>
      <c r="H52" s="1">
        <f>'Monthly Data'!CC52</f>
        <v>51</v>
      </c>
      <c r="J52" s="18">
        <f>'Res Predicted Monthly'!$T$9</f>
        <v>24255450.877923299</v>
      </c>
      <c r="K52" s="18">
        <f>E52*'Res Predicted Monthly'!$T$10</f>
        <v>17459022.612527132</v>
      </c>
      <c r="L52" s="18">
        <f>F52*'Res Predicted Monthly'!$T$11</f>
        <v>0</v>
      </c>
      <c r="M52" s="18">
        <f>G52*'Res Predicted Monthly'!$T$12</f>
        <v>0</v>
      </c>
      <c r="N52" s="18">
        <f>H52*'Res Predicted Monthly'!$T$13</f>
        <v>3256018.017956716</v>
      </c>
      <c r="O52" s="18">
        <f t="shared" si="5"/>
        <v>44970491.508407146</v>
      </c>
      <c r="P52" s="18">
        <f t="shared" si="6"/>
        <v>4441231.7517547607</v>
      </c>
      <c r="Q52" s="279">
        <f t="shared" si="7"/>
        <v>0.10958087511148748</v>
      </c>
    </row>
    <row r="53" spans="1:21" x14ac:dyDescent="0.25">
      <c r="A53" s="3">
        <f>'Monthly Data'!A53</f>
        <v>43556</v>
      </c>
      <c r="B53" s="1">
        <f t="shared" si="0"/>
        <v>2019</v>
      </c>
      <c r="C53" s="1">
        <f t="shared" si="1"/>
        <v>4</v>
      </c>
      <c r="D53" s="24">
        <f>'Monthly Data'!F53</f>
        <v>38390411.159753427</v>
      </c>
      <c r="E53" s="278">
        <f>'Monthly Data'!BF53</f>
        <v>246.6541666666667</v>
      </c>
      <c r="F53" s="278">
        <f>'Monthly Data'!BK53</f>
        <v>2.8791666666666664</v>
      </c>
      <c r="G53" s="18">
        <f>'Monthly Data'!DG53</f>
        <v>0</v>
      </c>
      <c r="H53" s="1">
        <f>'Monthly Data'!CC53</f>
        <v>52</v>
      </c>
      <c r="J53" s="18">
        <f>'Res Predicted Monthly'!$T$9</f>
        <v>24255450.877923299</v>
      </c>
      <c r="K53" s="18">
        <f>E53*'Res Predicted Monthly'!$T$10</f>
        <v>8834274.3960489687</v>
      </c>
      <c r="L53" s="18">
        <f>F53*'Res Predicted Monthly'!$T$11</f>
        <v>168692.1689133246</v>
      </c>
      <c r="M53" s="18">
        <f>G53*'Res Predicted Monthly'!$T$12</f>
        <v>0</v>
      </c>
      <c r="N53" s="18">
        <f>H53*'Res Predicted Monthly'!$T$13</f>
        <v>3319861.5085048866</v>
      </c>
      <c r="O53" s="18">
        <f t="shared" si="5"/>
        <v>36578278.951390475</v>
      </c>
      <c r="P53" s="18">
        <f t="shared" si="6"/>
        <v>-1812132.2083629519</v>
      </c>
      <c r="Q53" s="279">
        <f t="shared" si="7"/>
        <v>4.7202729890600911E-2</v>
      </c>
    </row>
    <row r="54" spans="1:21" x14ac:dyDescent="0.25">
      <c r="A54" s="3">
        <f>'Monthly Data'!A54</f>
        <v>43586</v>
      </c>
      <c r="B54" s="1">
        <f t="shared" si="0"/>
        <v>2019</v>
      </c>
      <c r="C54" s="1">
        <f t="shared" si="1"/>
        <v>5</v>
      </c>
      <c r="D54" s="24">
        <f>'Monthly Data'!F54</f>
        <v>34434462.367302448</v>
      </c>
      <c r="E54" s="278">
        <f>'Monthly Data'!BF54</f>
        <v>92.742982456140368</v>
      </c>
      <c r="F54" s="278">
        <f>'Monthly Data'!BK54</f>
        <v>63.802850877192981</v>
      </c>
      <c r="G54" s="18">
        <f>'Monthly Data'!DG54</f>
        <v>0</v>
      </c>
      <c r="H54" s="1">
        <f>'Monthly Data'!CC54</f>
        <v>53</v>
      </c>
      <c r="J54" s="18">
        <f>'Res Predicted Monthly'!$T$9</f>
        <v>24255450.877923299</v>
      </c>
      <c r="K54" s="18">
        <f>E54*'Res Predicted Monthly'!$T$10</f>
        <v>3321723.5548781161</v>
      </c>
      <c r="L54" s="18">
        <f>F54*'Res Predicted Monthly'!$T$11</f>
        <v>3738248.7863364751</v>
      </c>
      <c r="M54" s="18">
        <f>G54*'Res Predicted Monthly'!$T$12</f>
        <v>0</v>
      </c>
      <c r="N54" s="18">
        <f>H54*'Res Predicted Monthly'!$T$13</f>
        <v>3383704.9990530577</v>
      </c>
      <c r="O54" s="18">
        <f t="shared" si="5"/>
        <v>34699128.218190946</v>
      </c>
      <c r="P54" s="18">
        <f t="shared" si="6"/>
        <v>264665.85088849813</v>
      </c>
      <c r="Q54" s="279">
        <f t="shared" si="7"/>
        <v>7.6860747255288629E-3</v>
      </c>
    </row>
    <row r="55" spans="1:21" x14ac:dyDescent="0.25">
      <c r="A55" s="3">
        <f>'Monthly Data'!A55</f>
        <v>43617</v>
      </c>
      <c r="B55" s="1">
        <f t="shared" si="0"/>
        <v>2019</v>
      </c>
      <c r="C55" s="1">
        <f t="shared" si="1"/>
        <v>6</v>
      </c>
      <c r="D55" s="24">
        <f>'Monthly Data'!F55</f>
        <v>36650162.657272302</v>
      </c>
      <c r="E55" s="278">
        <f>'Monthly Data'!BF55</f>
        <v>9.0750000000000011</v>
      </c>
      <c r="F55" s="278">
        <f>'Monthly Data'!BK55</f>
        <v>230.72083333333327</v>
      </c>
      <c r="G55" s="18">
        <f>'Monthly Data'!DG55</f>
        <v>0</v>
      </c>
      <c r="H55" s="1">
        <f>'Monthly Data'!CC55</f>
        <v>54</v>
      </c>
      <c r="J55" s="18">
        <f>'Res Predicted Monthly'!$T$9</f>
        <v>24255450.877923299</v>
      </c>
      <c r="K55" s="18">
        <f>E55*'Res Predicted Monthly'!$T$10</f>
        <v>325034.20164188475</v>
      </c>
      <c r="L55" s="18">
        <f>F55*'Res Predicted Monthly'!$T$11</f>
        <v>13518077.379504373</v>
      </c>
      <c r="M55" s="18">
        <f>G55*'Res Predicted Monthly'!$T$12</f>
        <v>0</v>
      </c>
      <c r="N55" s="18">
        <f>H55*'Res Predicted Monthly'!$T$13</f>
        <v>3447548.4896012284</v>
      </c>
      <c r="O55" s="18">
        <f t="shared" si="5"/>
        <v>41546110.94867079</v>
      </c>
      <c r="P55" s="18">
        <f t="shared" si="6"/>
        <v>4895948.291398488</v>
      </c>
      <c r="Q55" s="279">
        <f t="shared" si="7"/>
        <v>0.13358599079578737</v>
      </c>
    </row>
    <row r="56" spans="1:21" x14ac:dyDescent="0.25">
      <c r="A56" s="3">
        <f>'Monthly Data'!A56</f>
        <v>43647</v>
      </c>
      <c r="B56" s="1">
        <f t="shared" si="0"/>
        <v>2019</v>
      </c>
      <c r="C56" s="1">
        <f t="shared" si="1"/>
        <v>7</v>
      </c>
      <c r="D56" s="24">
        <f>'Monthly Data'!F56</f>
        <v>51398792.330054857</v>
      </c>
      <c r="E56" s="278">
        <f>'Monthly Data'!BF56</f>
        <v>0</v>
      </c>
      <c r="F56" s="278">
        <f>'Monthly Data'!BK56</f>
        <v>383.6</v>
      </c>
      <c r="G56" s="18">
        <f>'Monthly Data'!DG56</f>
        <v>0</v>
      </c>
      <c r="H56" s="1">
        <f>'Monthly Data'!CC56</f>
        <v>55</v>
      </c>
      <c r="J56" s="18">
        <f>'Res Predicted Monthly'!$T$9</f>
        <v>24255450.877923299</v>
      </c>
      <c r="K56" s="18">
        <f>E56*'Res Predicted Monthly'!$T$10</f>
        <v>0</v>
      </c>
      <c r="L56" s="18">
        <f>F56*'Res Predicted Monthly'!$T$11</f>
        <v>22475363.008446194</v>
      </c>
      <c r="M56" s="18">
        <f>G56*'Res Predicted Monthly'!$T$12</f>
        <v>0</v>
      </c>
      <c r="N56" s="18">
        <f>H56*'Res Predicted Monthly'!$T$13</f>
        <v>3511391.9801493995</v>
      </c>
      <c r="O56" s="18">
        <f t="shared" si="5"/>
        <v>50242205.8665189</v>
      </c>
      <c r="P56" s="18">
        <f t="shared" si="6"/>
        <v>-1156586.463535957</v>
      </c>
      <c r="Q56" s="279">
        <f t="shared" si="7"/>
        <v>2.2502210871200884E-2</v>
      </c>
    </row>
    <row r="57" spans="1:21" x14ac:dyDescent="0.25">
      <c r="A57" s="3">
        <f>'Monthly Data'!A57</f>
        <v>43678</v>
      </c>
      <c r="B57" s="1">
        <f t="shared" ref="B57:B115" si="8">YEAR(A57)</f>
        <v>2019</v>
      </c>
      <c r="C57" s="1">
        <f t="shared" ref="C57:C115" si="9">MONTH(A57)</f>
        <v>8</v>
      </c>
      <c r="D57" s="24">
        <f>'Monthly Data'!F57</f>
        <v>50405166.652542427</v>
      </c>
      <c r="E57" s="278">
        <f>'Monthly Data'!BF57</f>
        <v>0</v>
      </c>
      <c r="F57" s="278">
        <f>'Monthly Data'!BK57</f>
        <v>314.07083333333338</v>
      </c>
      <c r="G57" s="18">
        <f>'Monthly Data'!DG57</f>
        <v>0</v>
      </c>
      <c r="H57" s="1">
        <f>'Monthly Data'!CC57</f>
        <v>56</v>
      </c>
      <c r="J57" s="18">
        <f>'Res Predicted Monthly'!$T$9</f>
        <v>24255450.877923299</v>
      </c>
      <c r="K57" s="18">
        <f>E57*'Res Predicted Monthly'!$T$10</f>
        <v>0</v>
      </c>
      <c r="L57" s="18">
        <f>F57*'Res Predicted Monthly'!$T$11</f>
        <v>18401605.812126879</v>
      </c>
      <c r="M57" s="18">
        <f>G57*'Res Predicted Monthly'!$T$12</f>
        <v>0</v>
      </c>
      <c r="N57" s="18">
        <f>H57*'Res Predicted Monthly'!$T$13</f>
        <v>3575235.4706975706</v>
      </c>
      <c r="O57" s="18">
        <f t="shared" si="5"/>
        <v>46232292.160747752</v>
      </c>
      <c r="P57" s="18">
        <f t="shared" si="6"/>
        <v>-4172874.4917946756</v>
      </c>
      <c r="Q57" s="279">
        <f t="shared" si="7"/>
        <v>8.2786642102773339E-2</v>
      </c>
    </row>
    <row r="58" spans="1:21" x14ac:dyDescent="0.25">
      <c r="A58" s="3">
        <f>'Monthly Data'!A58</f>
        <v>43709</v>
      </c>
      <c r="B58" s="1">
        <f t="shared" si="8"/>
        <v>2019</v>
      </c>
      <c r="C58" s="1">
        <f t="shared" si="9"/>
        <v>9</v>
      </c>
      <c r="D58" s="24">
        <f>'Monthly Data'!F58</f>
        <v>40715477.639350682</v>
      </c>
      <c r="E58" s="278">
        <f>'Monthly Data'!BF58</f>
        <v>4.9833333333333325</v>
      </c>
      <c r="F58" s="278">
        <f>'Monthly Data'!BK58</f>
        <v>191.51666666666671</v>
      </c>
      <c r="G58" s="18">
        <f>'Monthly Data'!DG58</f>
        <v>0</v>
      </c>
      <c r="H58" s="1">
        <f>'Monthly Data'!CC58</f>
        <v>57</v>
      </c>
      <c r="J58" s="18">
        <f>'Res Predicted Monthly'!$T$9</f>
        <v>24255450.877923299</v>
      </c>
      <c r="K58" s="18">
        <f>E58*'Res Predicted Monthly'!$T$10</f>
        <v>178485.26407883107</v>
      </c>
      <c r="L58" s="18">
        <f>F58*'Res Predicted Monthly'!$T$11</f>
        <v>11221080.827687489</v>
      </c>
      <c r="M58" s="18">
        <f>G58*'Res Predicted Monthly'!$T$12</f>
        <v>0</v>
      </c>
      <c r="N58" s="18">
        <f>H58*'Res Predicted Monthly'!$T$13</f>
        <v>3639078.9612457412</v>
      </c>
      <c r="O58" s="18">
        <f t="shared" si="5"/>
        <v>39294095.930935353</v>
      </c>
      <c r="P58" s="18">
        <f t="shared" si="6"/>
        <v>-1421381.7084153295</v>
      </c>
      <c r="Q58" s="279">
        <f t="shared" si="7"/>
        <v>3.4910107674669469E-2</v>
      </c>
    </row>
    <row r="59" spans="1:21" x14ac:dyDescent="0.25">
      <c r="A59" s="3">
        <f>'Monthly Data'!A59</f>
        <v>43739</v>
      </c>
      <c r="B59" s="1">
        <f t="shared" si="8"/>
        <v>2019</v>
      </c>
      <c r="C59" s="1">
        <f t="shared" si="9"/>
        <v>10</v>
      </c>
      <c r="D59" s="24">
        <f>'Monthly Data'!F59</f>
        <v>35245091.017522082</v>
      </c>
      <c r="E59" s="278">
        <f>'Monthly Data'!BF59</f>
        <v>125.30000000000004</v>
      </c>
      <c r="F59" s="278">
        <f>'Monthly Data'!BK59</f>
        <v>37.229166666666664</v>
      </c>
      <c r="G59" s="18">
        <f>'Monthly Data'!DG59</f>
        <v>0</v>
      </c>
      <c r="H59" s="1">
        <f>'Monthly Data'!CC59</f>
        <v>58</v>
      </c>
      <c r="J59" s="18">
        <f>'Res Predicted Monthly'!$T$9</f>
        <v>24255450.877923299</v>
      </c>
      <c r="K59" s="18">
        <f>E59*'Res Predicted Monthly'!$T$10</f>
        <v>4487800.0513199084</v>
      </c>
      <c r="L59" s="18">
        <f>F59*'Res Predicted Monthly'!$T$11</f>
        <v>2181280.0712598488</v>
      </c>
      <c r="M59" s="18">
        <f>G59*'Res Predicted Monthly'!$T$12</f>
        <v>0</v>
      </c>
      <c r="N59" s="18">
        <f>H59*'Res Predicted Monthly'!$T$13</f>
        <v>3702922.4517939123</v>
      </c>
      <c r="O59" s="18">
        <f t="shared" si="5"/>
        <v>34627453.452296965</v>
      </c>
      <c r="P59" s="18">
        <f t="shared" si="6"/>
        <v>-617637.56522511691</v>
      </c>
      <c r="Q59" s="279">
        <f t="shared" si="7"/>
        <v>1.7524073492051949E-2</v>
      </c>
    </row>
    <row r="60" spans="1:21" x14ac:dyDescent="0.25">
      <c r="A60" s="3">
        <f>'Monthly Data'!A60</f>
        <v>43770</v>
      </c>
      <c r="B60" s="1">
        <f t="shared" si="8"/>
        <v>2019</v>
      </c>
      <c r="C60" s="1">
        <f t="shared" si="9"/>
        <v>11</v>
      </c>
      <c r="D60" s="24">
        <f>'Monthly Data'!F60</f>
        <v>40900798.175965577</v>
      </c>
      <c r="E60" s="278">
        <f>'Monthly Data'!BF60</f>
        <v>409.72499999999997</v>
      </c>
      <c r="F60" s="278">
        <f>'Monthly Data'!BK60</f>
        <v>0</v>
      </c>
      <c r="G60" s="18">
        <f>'Monthly Data'!DG60</f>
        <v>0</v>
      </c>
      <c r="H60" s="1">
        <f>'Monthly Data'!CC60</f>
        <v>59</v>
      </c>
      <c r="J60" s="18">
        <f>'Res Predicted Monthly'!$T$9</f>
        <v>24255450.877923299</v>
      </c>
      <c r="K60" s="18">
        <f>E60*'Res Predicted Monthly'!$T$10</f>
        <v>14674891.269170381</v>
      </c>
      <c r="L60" s="18">
        <f>F60*'Res Predicted Monthly'!$T$11</f>
        <v>0</v>
      </c>
      <c r="M60" s="18">
        <f>G60*'Res Predicted Monthly'!$T$12</f>
        <v>0</v>
      </c>
      <c r="N60" s="18">
        <f>H60*'Res Predicted Monthly'!$T$13</f>
        <v>3766765.942342083</v>
      </c>
      <c r="O60" s="18">
        <f t="shared" si="5"/>
        <v>42697108.089435764</v>
      </c>
      <c r="P60" s="18">
        <f t="shared" si="6"/>
        <v>1796309.9134701863</v>
      </c>
      <c r="Q60" s="279">
        <f t="shared" si="7"/>
        <v>4.3918700699727344E-2</v>
      </c>
    </row>
    <row r="61" spans="1:21" x14ac:dyDescent="0.25">
      <c r="A61" s="3">
        <f>'Monthly Data'!A61</f>
        <v>43800</v>
      </c>
      <c r="B61" s="1">
        <f t="shared" si="8"/>
        <v>2019</v>
      </c>
      <c r="C61" s="1">
        <f t="shared" si="9"/>
        <v>12</v>
      </c>
      <c r="D61" s="24">
        <f>'Monthly Data'!F61</f>
        <v>46344241.546475172</v>
      </c>
      <c r="E61" s="278">
        <f>'Monthly Data'!BF61</f>
        <v>490.42916666666656</v>
      </c>
      <c r="F61" s="278">
        <f>'Monthly Data'!BK61</f>
        <v>0</v>
      </c>
      <c r="G61" s="18">
        <f>'Monthly Data'!DG61</f>
        <v>0</v>
      </c>
      <c r="H61" s="1">
        <f>'Monthly Data'!CC61</f>
        <v>60</v>
      </c>
      <c r="J61" s="18">
        <f>'Res Predicted Monthly'!$T$9</f>
        <v>24255450.877923299</v>
      </c>
      <c r="K61" s="18">
        <f>E61*'Res Predicted Monthly'!$T$10</f>
        <v>17565427.28918951</v>
      </c>
      <c r="L61" s="18">
        <f>F61*'Res Predicted Monthly'!$T$11</f>
        <v>0</v>
      </c>
      <c r="M61" s="18">
        <f>G61*'Res Predicted Monthly'!$T$12</f>
        <v>0</v>
      </c>
      <c r="N61" s="18">
        <f>H61*'Res Predicted Monthly'!$T$13</f>
        <v>3830609.4328902541</v>
      </c>
      <c r="O61" s="18">
        <f t="shared" si="5"/>
        <v>45651487.600003064</v>
      </c>
      <c r="P61" s="18">
        <f t="shared" si="6"/>
        <v>-692753.94647210836</v>
      </c>
      <c r="Q61" s="279">
        <f t="shared" si="7"/>
        <v>1.4948004829842716E-2</v>
      </c>
    </row>
    <row r="62" spans="1:21" x14ac:dyDescent="0.25">
      <c r="A62" s="3">
        <f>'Monthly Data'!A62</f>
        <v>43831</v>
      </c>
      <c r="B62" s="1">
        <f t="shared" si="8"/>
        <v>2020</v>
      </c>
      <c r="C62" s="1">
        <f t="shared" si="9"/>
        <v>1</v>
      </c>
      <c r="D62" s="24">
        <f>'Monthly Data'!F62</f>
        <v>48338968.594280884</v>
      </c>
      <c r="E62" s="278">
        <f>'Monthly Data'!BF62</f>
        <v>504.82083333333333</v>
      </c>
      <c r="F62" s="278">
        <f>'Monthly Data'!BK62</f>
        <v>0</v>
      </c>
      <c r="G62" s="18">
        <f>'Monthly Data'!DG62</f>
        <v>0</v>
      </c>
      <c r="H62" s="1">
        <f>'Monthly Data'!CC62</f>
        <v>61</v>
      </c>
      <c r="J62" s="18">
        <f>'Res Predicted Monthly'!$T$9</f>
        <v>24255450.877923299</v>
      </c>
      <c r="K62" s="18">
        <f>E62*'Res Predicted Monthly'!$T$10</f>
        <v>18080885.568560984</v>
      </c>
      <c r="L62" s="18">
        <f>F62*'Res Predicted Monthly'!$T$11</f>
        <v>0</v>
      </c>
      <c r="M62" s="18">
        <f>G62*'Res Predicted Monthly'!$T$12</f>
        <v>0</v>
      </c>
      <c r="N62" s="18">
        <f>H62*'Res Predicted Monthly'!$T$13</f>
        <v>3894452.9234384247</v>
      </c>
      <c r="O62" s="18">
        <f t="shared" si="5"/>
        <v>46230789.369922705</v>
      </c>
      <c r="P62" s="18">
        <f t="shared" si="6"/>
        <v>-2108179.2243581787</v>
      </c>
      <c r="Q62" s="279">
        <f t="shared" si="7"/>
        <v>4.3612416351961697E-2</v>
      </c>
    </row>
    <row r="63" spans="1:21" x14ac:dyDescent="0.25">
      <c r="A63" s="3">
        <f>'Monthly Data'!A63</f>
        <v>43862</v>
      </c>
      <c r="B63" s="1">
        <f t="shared" si="8"/>
        <v>2020</v>
      </c>
      <c r="C63" s="1">
        <f t="shared" si="9"/>
        <v>2</v>
      </c>
      <c r="D63" s="24">
        <f>'Monthly Data'!F63</f>
        <v>45824867.163535185</v>
      </c>
      <c r="E63" s="278">
        <f>'Monthly Data'!BF63</f>
        <v>504.40000000000003</v>
      </c>
      <c r="F63" s="278">
        <f>'Monthly Data'!BK63</f>
        <v>0</v>
      </c>
      <c r="G63" s="18">
        <f>'Monthly Data'!DG63</f>
        <v>0</v>
      </c>
      <c r="H63" s="1">
        <f>'Monthly Data'!CC63</f>
        <v>62</v>
      </c>
      <c r="J63" s="18">
        <f>'Res Predicted Monthly'!$T$9</f>
        <v>24255450.877923299</v>
      </c>
      <c r="K63" s="18">
        <f>E63*'Res Predicted Monthly'!$T$10</f>
        <v>18065812.816326905</v>
      </c>
      <c r="L63" s="18">
        <f>F63*'Res Predicted Monthly'!$T$11</f>
        <v>0</v>
      </c>
      <c r="M63" s="18">
        <f>G63*'Res Predicted Monthly'!$T$12</f>
        <v>0</v>
      </c>
      <c r="N63" s="18">
        <f>H63*'Res Predicted Monthly'!$T$13</f>
        <v>3958296.4139865958</v>
      </c>
      <c r="O63" s="18">
        <f t="shared" si="5"/>
        <v>46279560.108236797</v>
      </c>
      <c r="P63" s="18">
        <f t="shared" si="6"/>
        <v>454692.944701612</v>
      </c>
      <c r="Q63" s="279">
        <f t="shared" si="7"/>
        <v>9.9224061704085136E-3</v>
      </c>
    </row>
    <row r="64" spans="1:21" x14ac:dyDescent="0.25">
      <c r="A64" s="3">
        <f>'Monthly Data'!A64</f>
        <v>43891</v>
      </c>
      <c r="B64" s="1">
        <f t="shared" si="8"/>
        <v>2020</v>
      </c>
      <c r="C64" s="1">
        <f t="shared" si="9"/>
        <v>3</v>
      </c>
      <c r="D64" s="24">
        <f>'Monthly Data'!F64</f>
        <v>40318850.692109823</v>
      </c>
      <c r="E64" s="278">
        <f>'Monthly Data'!BF64</f>
        <v>357.57083333333344</v>
      </c>
      <c r="F64" s="278">
        <f>'Monthly Data'!BK64</f>
        <v>3.7499999999999645E-2</v>
      </c>
      <c r="G64" s="18">
        <f>'Monthly Data'!DG64</f>
        <v>0</v>
      </c>
      <c r="H64" s="1">
        <f>'Monthly Data'!CC64</f>
        <v>63</v>
      </c>
      <c r="J64" s="18">
        <f>'Res Predicted Monthly'!$T$9</f>
        <v>24255450.877923299</v>
      </c>
      <c r="K64" s="18">
        <f>E64*'Res Predicted Monthly'!$T$10</f>
        <v>12806914.638338672</v>
      </c>
      <c r="L64" s="18">
        <f>F64*'Res Predicted Monthly'!$T$11</f>
        <v>2197.1483650071018</v>
      </c>
      <c r="M64" s="18">
        <f>G64*'Res Predicted Monthly'!$T$12</f>
        <v>0</v>
      </c>
      <c r="N64" s="18">
        <f>H64*'Res Predicted Monthly'!$T$13</f>
        <v>4022139.9045347665</v>
      </c>
      <c r="O64" s="18">
        <f t="shared" si="5"/>
        <v>41086702.569161743</v>
      </c>
      <c r="P64" s="18">
        <f t="shared" si="6"/>
        <v>767851.8770519197</v>
      </c>
      <c r="Q64" s="279">
        <f t="shared" si="7"/>
        <v>1.9044488220051968E-2</v>
      </c>
      <c r="T64" s="18"/>
      <c r="U64" s="279"/>
    </row>
    <row r="65" spans="1:25" x14ac:dyDescent="0.25">
      <c r="A65" s="3">
        <f>'Monthly Data'!A65</f>
        <v>43922</v>
      </c>
      <c r="B65" s="1">
        <f t="shared" si="8"/>
        <v>2020</v>
      </c>
      <c r="C65" s="1">
        <f t="shared" si="9"/>
        <v>4</v>
      </c>
      <c r="D65" s="24">
        <f>'Monthly Data'!F65</f>
        <v>41695243.05434832</v>
      </c>
      <c r="E65" s="278">
        <f>'Monthly Data'!BF65</f>
        <v>259.67500000000007</v>
      </c>
      <c r="F65" s="278">
        <f>'Monthly Data'!BK65</f>
        <v>2.1541666666666721</v>
      </c>
      <c r="G65" s="18">
        <f>'Monthly Data'!DG65</f>
        <v>0</v>
      </c>
      <c r="H65" s="1">
        <f>'Monthly Data'!CC65</f>
        <v>64</v>
      </c>
      <c r="J65" s="18">
        <f>'Res Predicted Monthly'!$T$9</f>
        <v>24255450.877923299</v>
      </c>
      <c r="K65" s="18">
        <f>E65*'Res Predicted Monthly'!$T$10</f>
        <v>9300634.3042817004</v>
      </c>
      <c r="L65" s="18">
        <f>F65*'Res Predicted Monthly'!$T$11</f>
        <v>126213.96718985391</v>
      </c>
      <c r="M65" s="18">
        <f>G65*'Res Predicted Monthly'!$T$12</f>
        <v>0</v>
      </c>
      <c r="N65" s="18">
        <f>H65*'Res Predicted Monthly'!$T$13</f>
        <v>4085983.3950829376</v>
      </c>
      <c r="O65" s="18">
        <f t="shared" si="5"/>
        <v>37768282.544477791</v>
      </c>
      <c r="P65" s="18">
        <f t="shared" si="6"/>
        <v>-3926960.5098705292</v>
      </c>
      <c r="Q65" s="279">
        <f t="shared" si="7"/>
        <v>9.4182458769981769E-2</v>
      </c>
      <c r="T65" s="18"/>
      <c r="U65" s="279"/>
    </row>
    <row r="66" spans="1:25" x14ac:dyDescent="0.25">
      <c r="A66" s="3">
        <f>'Monthly Data'!A66</f>
        <v>43952</v>
      </c>
      <c r="B66" s="1">
        <f t="shared" si="8"/>
        <v>2020</v>
      </c>
      <c r="C66" s="1">
        <f t="shared" si="9"/>
        <v>5</v>
      </c>
      <c r="D66" s="24">
        <f>'Monthly Data'!F66</f>
        <v>39366599.834296227</v>
      </c>
      <c r="E66" s="278">
        <f>'Monthly Data'!BF66</f>
        <v>122.05</v>
      </c>
      <c r="F66" s="278">
        <f>'Monthly Data'!BK66</f>
        <v>111.87976190476191</v>
      </c>
      <c r="G66" s="18">
        <f>'Monthly Data'!DG66</f>
        <v>77.750595238095229</v>
      </c>
      <c r="H66" s="1">
        <f>'Monthly Data'!CC66</f>
        <v>65</v>
      </c>
      <c r="J66" s="18">
        <f>'Res Predicted Monthly'!$T$9</f>
        <v>24255450.877923299</v>
      </c>
      <c r="K66" s="18">
        <f>E66*'Res Predicted Monthly'!$T$10</f>
        <v>4371396.6182250166</v>
      </c>
      <c r="L66" s="18">
        <f>F66*'Res Predicted Monthly'!$T$11</f>
        <v>6555104.9585715672</v>
      </c>
      <c r="M66" s="18">
        <f>G66*'Res Predicted Monthly'!$T$12</f>
        <v>1178610.6897739109</v>
      </c>
      <c r="N66" s="18">
        <f>H66*'Res Predicted Monthly'!$T$13</f>
        <v>4149826.8856311087</v>
      </c>
      <c r="O66" s="18">
        <f t="shared" ref="O66:O97" si="10">SUM(J66:N66)</f>
        <v>40510390.030124895</v>
      </c>
      <c r="P66" s="18">
        <f t="shared" ref="P66:P97" si="11">O66-D66</f>
        <v>1143790.1958286688</v>
      </c>
      <c r="Q66" s="279">
        <f t="shared" ref="Q66:Q97" si="12">ABS(P66/D66)</f>
        <v>2.9054838381855814E-2</v>
      </c>
      <c r="T66" s="18"/>
      <c r="U66" s="279"/>
    </row>
    <row r="67" spans="1:25" x14ac:dyDescent="0.25">
      <c r="A67" s="3">
        <f>'Monthly Data'!A67</f>
        <v>43983</v>
      </c>
      <c r="B67" s="1">
        <f t="shared" si="8"/>
        <v>2020</v>
      </c>
      <c r="C67" s="1">
        <f t="shared" si="9"/>
        <v>6</v>
      </c>
      <c r="D67" s="24">
        <f>'Monthly Data'!F67</f>
        <v>47154097.622346401</v>
      </c>
      <c r="E67" s="278">
        <f>'Monthly Data'!BF67</f>
        <v>3.4333333333333353</v>
      </c>
      <c r="F67" s="278">
        <f>'Monthly Data'!BK67</f>
        <v>282.53623188405788</v>
      </c>
      <c r="G67" s="18">
        <f>'Monthly Data'!DG67</f>
        <v>222.53623188405788</v>
      </c>
      <c r="H67" s="1">
        <f>'Monthly Data'!CC67</f>
        <v>66</v>
      </c>
      <c r="J67" s="18">
        <f>'Res Predicted Monthly'!$T$9</f>
        <v>24255450.877923299</v>
      </c>
      <c r="K67" s="18">
        <f>E67*'Res Predicted Monthly'!$T$10</f>
        <v>122969.78060280679</v>
      </c>
      <c r="L67" s="18">
        <f>F67*'Res Predicted Monthly'!$T$11</f>
        <v>16553973.865048826</v>
      </c>
      <c r="M67" s="18">
        <f>G67*'Res Predicted Monthly'!$T$12</f>
        <v>3373396.4474145421</v>
      </c>
      <c r="N67" s="18">
        <f>H67*'Res Predicted Monthly'!$T$13</f>
        <v>4213670.3761792798</v>
      </c>
      <c r="O67" s="18">
        <f t="shared" si="10"/>
        <v>48519461.347168751</v>
      </c>
      <c r="P67" s="18">
        <f t="shared" si="11"/>
        <v>1365363.7248223498</v>
      </c>
      <c r="Q67" s="279">
        <f t="shared" si="12"/>
        <v>2.8955356876033227E-2</v>
      </c>
      <c r="T67" s="18"/>
      <c r="U67" s="279"/>
    </row>
    <row r="68" spans="1:25" x14ac:dyDescent="0.25">
      <c r="A68" s="3">
        <f>'Monthly Data'!A68</f>
        <v>44013</v>
      </c>
      <c r="B68" s="1">
        <f t="shared" si="8"/>
        <v>2020</v>
      </c>
      <c r="C68" s="1">
        <f t="shared" si="9"/>
        <v>7</v>
      </c>
      <c r="D68" s="24">
        <f>'Monthly Data'!F68</f>
        <v>60194460.576176599</v>
      </c>
      <c r="E68" s="278">
        <f>'Monthly Data'!BF68</f>
        <v>0</v>
      </c>
      <c r="F68" s="278">
        <f>'Monthly Data'!BK68</f>
        <v>432.88750000000005</v>
      </c>
      <c r="G68" s="18">
        <f>'Monthly Data'!DG68</f>
        <v>370.88750000000005</v>
      </c>
      <c r="H68" s="1">
        <f>'Monthly Data'!CC68</f>
        <v>67</v>
      </c>
      <c r="J68" s="18">
        <f>'Res Predicted Monthly'!$T$9</f>
        <v>24255450.877923299</v>
      </c>
      <c r="K68" s="18">
        <f>E68*'Res Predicted Monthly'!$T$10</f>
        <v>0</v>
      </c>
      <c r="L68" s="18">
        <f>F68*'Res Predicted Monthly'!$T$11</f>
        <v>25363148.342853889</v>
      </c>
      <c r="M68" s="18">
        <f>G68*'Res Predicted Monthly'!$T$12</f>
        <v>5622233.1271534907</v>
      </c>
      <c r="N68" s="18">
        <f>H68*'Res Predicted Monthly'!$T$13</f>
        <v>4277513.8667274499</v>
      </c>
      <c r="O68" s="18">
        <f t="shared" si="10"/>
        <v>59518346.214658126</v>
      </c>
      <c r="P68" s="18">
        <f t="shared" si="11"/>
        <v>-676114.36151847243</v>
      </c>
      <c r="Q68" s="279">
        <f t="shared" si="12"/>
        <v>1.1232169123981832E-2</v>
      </c>
      <c r="T68" s="18"/>
      <c r="U68" s="279"/>
    </row>
    <row r="69" spans="1:25" x14ac:dyDescent="0.25">
      <c r="A69" s="3">
        <f>'Monthly Data'!A69</f>
        <v>44044</v>
      </c>
      <c r="B69" s="1">
        <f t="shared" si="8"/>
        <v>2020</v>
      </c>
      <c r="C69" s="1">
        <f t="shared" si="9"/>
        <v>8</v>
      </c>
      <c r="D69" s="24">
        <f>'Monthly Data'!F69</f>
        <v>55662667.072527848</v>
      </c>
      <c r="E69" s="278">
        <f>'Monthly Data'!BF69</f>
        <v>0</v>
      </c>
      <c r="F69" s="278">
        <f>'Monthly Data'!BK69</f>
        <v>340.93106060606056</v>
      </c>
      <c r="G69" s="18">
        <f>'Monthly Data'!DG69</f>
        <v>278.93106060606061</v>
      </c>
      <c r="H69" s="1">
        <f>'Monthly Data'!CC69</f>
        <v>68</v>
      </c>
      <c r="J69" s="18">
        <f>'Res Predicted Monthly'!$T$9</f>
        <v>24255450.877923299</v>
      </c>
      <c r="K69" s="18">
        <f>E69*'Res Predicted Monthly'!$T$10</f>
        <v>0</v>
      </c>
      <c r="L69" s="18">
        <f>F69*'Res Predicted Monthly'!$T$11</f>
        <v>19975363.263753336</v>
      </c>
      <c r="M69" s="18">
        <f>G69*'Res Predicted Monthly'!$T$12</f>
        <v>4228277.9795260066</v>
      </c>
      <c r="N69" s="18">
        <f>H69*'Res Predicted Monthly'!$T$13</f>
        <v>4341357.357275621</v>
      </c>
      <c r="O69" s="18">
        <f t="shared" si="10"/>
        <v>52800449.47847826</v>
      </c>
      <c r="P69" s="18">
        <f t="shared" si="11"/>
        <v>-2862217.5940495878</v>
      </c>
      <c r="Q69" s="279">
        <f t="shared" si="12"/>
        <v>5.1420777059068147E-2</v>
      </c>
      <c r="T69" s="18"/>
      <c r="U69" s="279"/>
    </row>
    <row r="70" spans="1:25" x14ac:dyDescent="0.25">
      <c r="A70" s="3">
        <f>'Monthly Data'!A70</f>
        <v>44075</v>
      </c>
      <c r="B70" s="1">
        <f t="shared" si="8"/>
        <v>2020</v>
      </c>
      <c r="C70" s="1">
        <f t="shared" si="9"/>
        <v>9</v>
      </c>
      <c r="D70" s="24">
        <f>'Monthly Data'!F70</f>
        <v>44332780.477901466</v>
      </c>
      <c r="E70" s="278">
        <f>'Monthly Data'!BF70</f>
        <v>23.967028985507248</v>
      </c>
      <c r="F70" s="278">
        <f>'Monthly Data'!BK70</f>
        <v>174.07880434782609</v>
      </c>
      <c r="G70" s="18">
        <f>'Monthly Data'!DG70</f>
        <v>120.81213768115938</v>
      </c>
      <c r="H70" s="1">
        <f>'Monthly Data'!CC70</f>
        <v>69</v>
      </c>
      <c r="J70" s="18">
        <f>'Res Predicted Monthly'!$T$9</f>
        <v>24255450.877923299</v>
      </c>
      <c r="K70" s="18">
        <f>E70*'Res Predicted Monthly'!$T$10</f>
        <v>858413.67846085492</v>
      </c>
      <c r="L70" s="18">
        <f>F70*'Res Predicted Monthly'!$T$11</f>
        <v>10199385.609472556</v>
      </c>
      <c r="M70" s="18">
        <f>G70*'Res Predicted Monthly'!$T$12</f>
        <v>1831374.7501149075</v>
      </c>
      <c r="N70" s="18">
        <f>H70*'Res Predicted Monthly'!$T$13</f>
        <v>4405200.8478237921</v>
      </c>
      <c r="O70" s="18">
        <f t="shared" si="10"/>
        <v>41549825.763795413</v>
      </c>
      <c r="P70" s="18">
        <f t="shared" si="11"/>
        <v>-2782954.7141060531</v>
      </c>
      <c r="Q70" s="279">
        <f t="shared" si="12"/>
        <v>6.2774197424708578E-2</v>
      </c>
      <c r="T70" s="18"/>
      <c r="U70" s="279"/>
    </row>
    <row r="71" spans="1:25" x14ac:dyDescent="0.25">
      <c r="A71" s="3">
        <f>'Monthly Data'!A71</f>
        <v>44105</v>
      </c>
      <c r="B71" s="1">
        <f t="shared" si="8"/>
        <v>2020</v>
      </c>
      <c r="C71" s="1">
        <f t="shared" si="9"/>
        <v>10</v>
      </c>
      <c r="D71" s="24">
        <f>'Monthly Data'!F71</f>
        <v>36451110.769841231</v>
      </c>
      <c r="E71" s="278">
        <f>'Monthly Data'!BF71</f>
        <v>167.76250000000005</v>
      </c>
      <c r="F71" s="278">
        <f>'Monthly Data'!BK71</f>
        <v>31.466666666666676</v>
      </c>
      <c r="G71" s="18">
        <f>'Monthly Data'!DG71</f>
        <v>10.262500000000003</v>
      </c>
      <c r="H71" s="1">
        <f>'Monthly Data'!CC71</f>
        <v>70</v>
      </c>
      <c r="J71" s="18">
        <f>'Res Predicted Monthly'!$T$9</f>
        <v>24255450.877923299</v>
      </c>
      <c r="K71" s="18">
        <f>E71*'Res Predicted Monthly'!$T$10</f>
        <v>6008655.6752558351</v>
      </c>
      <c r="L71" s="18">
        <f>F71*'Res Predicted Monthly'!$T$11</f>
        <v>1843651.6058370881</v>
      </c>
      <c r="M71" s="18">
        <f>G71*'Res Predicted Monthly'!$T$12</f>
        <v>155567.84056462595</v>
      </c>
      <c r="N71" s="18">
        <f>H71*'Res Predicted Monthly'!$T$13</f>
        <v>4469044.3383719632</v>
      </c>
      <c r="O71" s="18">
        <f t="shared" si="10"/>
        <v>36732370.337952815</v>
      </c>
      <c r="P71" s="18">
        <f t="shared" si="11"/>
        <v>281259.56811158359</v>
      </c>
      <c r="Q71" s="279">
        <f t="shared" si="12"/>
        <v>7.7160767442042109E-3</v>
      </c>
      <c r="T71" s="18"/>
      <c r="U71" s="279"/>
    </row>
    <row r="72" spans="1:25" x14ac:dyDescent="0.25">
      <c r="A72" s="3">
        <f>'Monthly Data'!A72</f>
        <v>44136</v>
      </c>
      <c r="B72" s="1">
        <f t="shared" si="8"/>
        <v>2020</v>
      </c>
      <c r="C72" s="1">
        <f t="shared" si="9"/>
        <v>11</v>
      </c>
      <c r="D72" s="24">
        <f>'Monthly Data'!F72</f>
        <v>39603334.04316061</v>
      </c>
      <c r="E72" s="278">
        <f>'Monthly Data'!BF72</f>
        <v>246.30072463768118</v>
      </c>
      <c r="F72" s="278">
        <f>'Monthly Data'!BK72</f>
        <v>9.9624999999999932</v>
      </c>
      <c r="G72" s="18">
        <f>'Monthly Data'!DG72</f>
        <v>1.8291666666666622</v>
      </c>
      <c r="H72" s="1">
        <f>'Monthly Data'!CC72</f>
        <v>71</v>
      </c>
      <c r="J72" s="18">
        <f>'Res Predicted Monthly'!$T$9</f>
        <v>24255450.877923299</v>
      </c>
      <c r="K72" s="18">
        <f>E72*'Res Predicted Monthly'!$T$10</f>
        <v>8821615.3604877573</v>
      </c>
      <c r="L72" s="18">
        <f>F72*'Res Predicted Monthly'!$T$11</f>
        <v>583709.08230355848</v>
      </c>
      <c r="M72" s="18">
        <f>G72*'Res Predicted Monthly'!$T$12</f>
        <v>27728.088513142757</v>
      </c>
      <c r="N72" s="18">
        <f>H72*'Res Predicted Monthly'!$T$13</f>
        <v>4532887.8289201334</v>
      </c>
      <c r="O72" s="18">
        <f t="shared" si="10"/>
        <v>38221391.238147892</v>
      </c>
      <c r="P72" s="18">
        <f t="shared" si="11"/>
        <v>-1381942.8050127178</v>
      </c>
      <c r="Q72" s="279">
        <f t="shared" si="12"/>
        <v>3.4894607699105469E-2</v>
      </c>
      <c r="T72" s="18"/>
      <c r="U72" s="279"/>
    </row>
    <row r="73" spans="1:25" x14ac:dyDescent="0.25">
      <c r="A73" s="3">
        <f>'Monthly Data'!A73</f>
        <v>44166</v>
      </c>
      <c r="B73" s="1">
        <f t="shared" si="8"/>
        <v>2020</v>
      </c>
      <c r="C73" s="1">
        <f t="shared" si="9"/>
        <v>12</v>
      </c>
      <c r="D73" s="24">
        <f>'Monthly Data'!F73</f>
        <v>46095359.099475369</v>
      </c>
      <c r="E73" s="278">
        <f>'Monthly Data'!BF73</f>
        <v>458.90416666666681</v>
      </c>
      <c r="F73" s="278">
        <f>'Monthly Data'!BK73</f>
        <v>0</v>
      </c>
      <c r="G73" s="18">
        <f>'Monthly Data'!DG73</f>
        <v>0</v>
      </c>
      <c r="H73" s="1">
        <f>'Monthly Data'!CC73</f>
        <v>72</v>
      </c>
      <c r="J73" s="18">
        <f>'Res Predicted Monthly'!$T$9</f>
        <v>24255450.877923299</v>
      </c>
      <c r="K73" s="18">
        <f>E73*'Res Predicted Monthly'!$T$10</f>
        <v>16436313.988169085</v>
      </c>
      <c r="L73" s="18">
        <f>F73*'Res Predicted Monthly'!$T$11</f>
        <v>0</v>
      </c>
      <c r="M73" s="18">
        <f>G73*'Res Predicted Monthly'!$T$12</f>
        <v>0</v>
      </c>
      <c r="N73" s="18">
        <f>H73*'Res Predicted Monthly'!$T$13</f>
        <v>4596731.3194683045</v>
      </c>
      <c r="O73" s="18">
        <f t="shared" si="10"/>
        <v>45288496.185560688</v>
      </c>
      <c r="P73" s="18">
        <f t="shared" si="11"/>
        <v>-806862.91391468048</v>
      </c>
      <c r="Q73" s="279">
        <f t="shared" si="12"/>
        <v>1.7504211479803043E-2</v>
      </c>
      <c r="T73" s="18"/>
      <c r="U73" s="279"/>
    </row>
    <row r="74" spans="1:25" x14ac:dyDescent="0.25">
      <c r="A74" s="3">
        <f>'Monthly Data'!A74</f>
        <v>44197</v>
      </c>
      <c r="B74" s="1">
        <f t="shared" si="8"/>
        <v>2021</v>
      </c>
      <c r="C74" s="1">
        <f t="shared" si="9"/>
        <v>1</v>
      </c>
      <c r="D74" s="24">
        <f>'Monthly Data'!F74</f>
        <v>51584916.103606239</v>
      </c>
      <c r="E74" s="278">
        <f>'Monthly Data'!BF74</f>
        <v>529.50416666666661</v>
      </c>
      <c r="F74" s="278">
        <f>'Monthly Data'!BK74</f>
        <v>0</v>
      </c>
      <c r="G74" s="18">
        <f>'Monthly Data'!DG74</f>
        <v>0</v>
      </c>
      <c r="H74" s="1">
        <f>'Monthly Data'!CC74</f>
        <v>73</v>
      </c>
      <c r="J74" s="18">
        <f>'Res Predicted Monthly'!$T$9</f>
        <v>24255450.877923299</v>
      </c>
      <c r="K74" s="18">
        <f>E74*'Res Predicted Monthly'!$T$10</f>
        <v>18964954.719399609</v>
      </c>
      <c r="L74" s="18">
        <f>F74*'Res Predicted Monthly'!$T$11</f>
        <v>0</v>
      </c>
      <c r="M74" s="18">
        <f>G74*'Res Predicted Monthly'!$T$12</f>
        <v>0</v>
      </c>
      <c r="N74" s="18">
        <f>H74*'Res Predicted Monthly'!$T$13</f>
        <v>4660574.8100164756</v>
      </c>
      <c r="O74" s="18">
        <f t="shared" si="10"/>
        <v>47880980.407339387</v>
      </c>
      <c r="P74" s="18">
        <f t="shared" si="11"/>
        <v>-3703935.6962668523</v>
      </c>
      <c r="Q74" s="279">
        <f t="shared" si="12"/>
        <v>7.1802689158738692E-2</v>
      </c>
      <c r="T74" s="18"/>
      <c r="U74" s="279"/>
    </row>
    <row r="75" spans="1:25" x14ac:dyDescent="0.25">
      <c r="A75" s="3">
        <f>'Monthly Data'!A75</f>
        <v>44228</v>
      </c>
      <c r="B75" s="1">
        <f t="shared" si="8"/>
        <v>2021</v>
      </c>
      <c r="C75" s="1">
        <f t="shared" si="9"/>
        <v>2</v>
      </c>
      <c r="D75" s="24">
        <f>'Monthly Data'!F75</f>
        <v>50363307.607176967</v>
      </c>
      <c r="E75" s="278">
        <f>'Monthly Data'!BF75</f>
        <v>541.45416666666677</v>
      </c>
      <c r="F75" s="278">
        <f>'Monthly Data'!BK75</f>
        <v>0</v>
      </c>
      <c r="G75" s="18">
        <f>'Monthly Data'!DG75</f>
        <v>0</v>
      </c>
      <c r="H75" s="1">
        <f>'Monthly Data'!CC75</f>
        <v>74</v>
      </c>
      <c r="J75" s="18">
        <f>'Res Predicted Monthly'!$T$9</f>
        <v>24255450.877923299</v>
      </c>
      <c r="K75" s="18">
        <f>E75*'Res Predicted Monthly'!$T$10</f>
        <v>19392961.188779287</v>
      </c>
      <c r="L75" s="18">
        <f>F75*'Res Predicted Monthly'!$T$11</f>
        <v>0</v>
      </c>
      <c r="M75" s="18">
        <f>G75*'Res Predicted Monthly'!$T$12</f>
        <v>0</v>
      </c>
      <c r="N75" s="18">
        <f>H75*'Res Predicted Monthly'!$T$13</f>
        <v>4724418.3005646467</v>
      </c>
      <c r="O75" s="18">
        <f t="shared" si="10"/>
        <v>48372830.367267236</v>
      </c>
      <c r="P75" s="18">
        <f t="shared" si="11"/>
        <v>-1990477.2399097309</v>
      </c>
      <c r="Q75" s="279">
        <f t="shared" si="12"/>
        <v>3.9522369250149889E-2</v>
      </c>
      <c r="T75" s="18"/>
      <c r="U75" s="279"/>
    </row>
    <row r="76" spans="1:25" x14ac:dyDescent="0.25">
      <c r="A76" s="3">
        <f>'Monthly Data'!A76</f>
        <v>44256</v>
      </c>
      <c r="B76" s="1">
        <f t="shared" si="8"/>
        <v>2021</v>
      </c>
      <c r="C76" s="1">
        <f t="shared" si="9"/>
        <v>3</v>
      </c>
      <c r="D76" s="24">
        <f>'Monthly Data'!F76</f>
        <v>41585587.214789972</v>
      </c>
      <c r="E76" s="278">
        <f>'Monthly Data'!BF76</f>
        <v>368.59637681159427</v>
      </c>
      <c r="F76" s="278">
        <f>'Monthly Data'!BK76</f>
        <v>5.1499999999999932</v>
      </c>
      <c r="G76" s="18">
        <f>'Monthly Data'!DG76</f>
        <v>0.22187499999999671</v>
      </c>
      <c r="H76" s="1">
        <f>'Monthly Data'!CC76</f>
        <v>75</v>
      </c>
      <c r="J76" s="18">
        <f>'Res Predicted Monthly'!$T$9</f>
        <v>24255450.877923299</v>
      </c>
      <c r="K76" s="18">
        <f>E76*'Res Predicted Monthly'!$T$10</f>
        <v>13201810.365294529</v>
      </c>
      <c r="L76" s="18">
        <f>F76*'Res Predicted Monthly'!$T$11</f>
        <v>301741.7087943111</v>
      </c>
      <c r="M76" s="18">
        <f>G76*'Res Predicted Monthly'!$T$12</f>
        <v>3363.3729232911924</v>
      </c>
      <c r="N76" s="18">
        <f>H76*'Res Predicted Monthly'!$T$13</f>
        <v>4788261.7911128178</v>
      </c>
      <c r="O76" s="18">
        <f t="shared" si="10"/>
        <v>42550628.116048247</v>
      </c>
      <c r="P76" s="18">
        <f t="shared" si="11"/>
        <v>965040.90125827491</v>
      </c>
      <c r="Q76" s="279">
        <f t="shared" si="12"/>
        <v>2.3206138614174882E-2</v>
      </c>
    </row>
    <row r="77" spans="1:25" x14ac:dyDescent="0.25">
      <c r="A77" s="3">
        <f>'Monthly Data'!A77</f>
        <v>44287</v>
      </c>
      <c r="B77" s="1">
        <f t="shared" si="8"/>
        <v>2021</v>
      </c>
      <c r="C77" s="1">
        <f t="shared" si="9"/>
        <v>4</v>
      </c>
      <c r="D77" s="24">
        <f>'Monthly Data'!F77</f>
        <v>39269226.956045598</v>
      </c>
      <c r="E77" s="278">
        <f>'Monthly Data'!BF77</f>
        <v>203.50416666666672</v>
      </c>
      <c r="F77" s="278">
        <f>'Monthly Data'!BK77</f>
        <v>22.362499999999997</v>
      </c>
      <c r="G77" s="18">
        <f>'Monthly Data'!DG77</f>
        <v>8.2906249999999986</v>
      </c>
      <c r="H77" s="1">
        <f>'Monthly Data'!CC77</f>
        <v>76</v>
      </c>
      <c r="J77" s="18">
        <f>'Res Predicted Monthly'!$T$9</f>
        <v>24255450.877923299</v>
      </c>
      <c r="K77" s="18">
        <f>E77*'Res Predicted Monthly'!$T$10</f>
        <v>7288794.9689583546</v>
      </c>
      <c r="L77" s="18">
        <f>F77*'Res Predicted Monthly'!$T$11</f>
        <v>1310232.8083325806</v>
      </c>
      <c r="M77" s="18">
        <f>G77*'Res Predicted Monthly'!$T$12</f>
        <v>125676.45585199527</v>
      </c>
      <c r="N77" s="18">
        <f>H77*'Res Predicted Monthly'!$T$13</f>
        <v>4852105.281660988</v>
      </c>
      <c r="O77" s="18">
        <f t="shared" si="10"/>
        <v>37832260.392727219</v>
      </c>
      <c r="P77" s="18">
        <f t="shared" si="11"/>
        <v>-1436966.5633183792</v>
      </c>
      <c r="Q77" s="279">
        <f t="shared" si="12"/>
        <v>3.6592687829755062E-2</v>
      </c>
      <c r="T77" s="18"/>
    </row>
    <row r="78" spans="1:25" x14ac:dyDescent="0.25">
      <c r="A78" s="3">
        <f>'Monthly Data'!A78</f>
        <v>44317</v>
      </c>
      <c r="B78" s="1">
        <f t="shared" si="8"/>
        <v>2021</v>
      </c>
      <c r="C78" s="1">
        <f t="shared" si="9"/>
        <v>5</v>
      </c>
      <c r="D78" s="24">
        <f>'Monthly Data'!F78</f>
        <v>38437232.971263327</v>
      </c>
      <c r="E78" s="278">
        <f>'Monthly Data'!BF78</f>
        <v>83.376388888888897</v>
      </c>
      <c r="F78" s="278">
        <f>'Monthly Data'!BK78</f>
        <v>120.51527777777777</v>
      </c>
      <c r="G78" s="18">
        <f>'Monthly Data'!DG78</f>
        <v>62.442708333333314</v>
      </c>
      <c r="H78" s="1">
        <f>'Monthly Data'!CC78</f>
        <v>77</v>
      </c>
      <c r="J78" s="18">
        <f>'Res Predicted Monthly'!$T$9</f>
        <v>24255450.877923299</v>
      </c>
      <c r="K78" s="18">
        <f>E78*'Res Predicted Monthly'!$T$10</f>
        <v>2986245.5094527062</v>
      </c>
      <c r="L78" s="18">
        <f>F78*'Res Predicted Monthly'!$T$11</f>
        <v>7061065.2140752962</v>
      </c>
      <c r="M78" s="18">
        <f>G78*'Res Predicted Monthly'!$T$12</f>
        <v>946560.51589996926</v>
      </c>
      <c r="N78" s="18">
        <f>H78*'Res Predicted Monthly'!$T$13</f>
        <v>4915948.7722091591</v>
      </c>
      <c r="O78" s="18">
        <f t="shared" si="10"/>
        <v>40165270.889560431</v>
      </c>
      <c r="P78" s="18">
        <f t="shared" si="11"/>
        <v>1728037.9182971045</v>
      </c>
      <c r="Q78" s="279">
        <f t="shared" si="12"/>
        <v>4.4957396376295623E-2</v>
      </c>
      <c r="T78" s="18"/>
      <c r="U78" s="285"/>
      <c r="W78" s="18"/>
      <c r="X78" s="18"/>
      <c r="Y78" s="240"/>
    </row>
    <row r="79" spans="1:25" x14ac:dyDescent="0.25">
      <c r="A79" s="3">
        <f>'Monthly Data'!A79</f>
        <v>44348</v>
      </c>
      <c r="B79" s="1">
        <f t="shared" si="8"/>
        <v>2021</v>
      </c>
      <c r="C79" s="1">
        <f t="shared" si="9"/>
        <v>6</v>
      </c>
      <c r="D79" s="24">
        <f>'Monthly Data'!F79</f>
        <v>46155450.746016368</v>
      </c>
      <c r="E79" s="278">
        <f>'Monthly Data'!BF79</f>
        <v>0</v>
      </c>
      <c r="F79" s="278">
        <f>'Monthly Data'!BK79</f>
        <v>301.67500000000001</v>
      </c>
      <c r="G79" s="18">
        <f>'Monthly Data'!DG79</f>
        <v>181.25625000000002</v>
      </c>
      <c r="H79" s="1">
        <f>'Monthly Data'!CC79</f>
        <v>78</v>
      </c>
      <c r="J79" s="18">
        <f>'Res Predicted Monthly'!$T$9</f>
        <v>24255450.877923299</v>
      </c>
      <c r="K79" s="18">
        <f>E79*'Res Predicted Monthly'!$T$10</f>
        <v>0</v>
      </c>
      <c r="L79" s="18">
        <f>F79*'Res Predicted Monthly'!$T$11</f>
        <v>17675326.213693965</v>
      </c>
      <c r="M79" s="18">
        <f>G79*'Res Predicted Monthly'!$T$12</f>
        <v>2747638.8210808262</v>
      </c>
      <c r="N79" s="18">
        <f>H79*'Res Predicted Monthly'!$T$13</f>
        <v>4979792.2627573302</v>
      </c>
      <c r="O79" s="18">
        <f t="shared" si="10"/>
        <v>49658208.175455421</v>
      </c>
      <c r="P79" s="18">
        <f t="shared" si="11"/>
        <v>3502757.4294390529</v>
      </c>
      <c r="Q79" s="279">
        <f t="shared" si="12"/>
        <v>7.589043921841393E-2</v>
      </c>
      <c r="T79" s="18"/>
      <c r="U79" s="285"/>
      <c r="W79" s="18"/>
      <c r="X79" s="18"/>
      <c r="Y79" s="240"/>
    </row>
    <row r="80" spans="1:25" x14ac:dyDescent="0.25">
      <c r="A80" s="3">
        <f>'Monthly Data'!A80</f>
        <v>44378</v>
      </c>
      <c r="B80" s="1">
        <f t="shared" si="8"/>
        <v>2021</v>
      </c>
      <c r="C80" s="1">
        <f t="shared" si="9"/>
        <v>7</v>
      </c>
      <c r="D80" s="24">
        <f>'Monthly Data'!F80</f>
        <v>49489787.815358631</v>
      </c>
      <c r="E80" s="278">
        <f>'Monthly Data'!BF80</f>
        <v>0</v>
      </c>
      <c r="F80" s="278">
        <f>'Monthly Data'!BK80</f>
        <v>316.87499999999994</v>
      </c>
      <c r="G80" s="18">
        <f>'Monthly Data'!DG80</f>
        <v>191.15624999999994</v>
      </c>
      <c r="H80" s="1">
        <f>'Monthly Data'!CC80</f>
        <v>79</v>
      </c>
      <c r="J80" s="18">
        <f>'Res Predicted Monthly'!$T$9</f>
        <v>24255450.877923299</v>
      </c>
      <c r="K80" s="18">
        <f>E80*'Res Predicted Monthly'!$T$10</f>
        <v>0</v>
      </c>
      <c r="L80" s="18">
        <f>F80*'Res Predicted Monthly'!$T$11</f>
        <v>18565903.684310183</v>
      </c>
      <c r="M80" s="18">
        <f>G80*'Res Predicted Monthly'!$T$12</f>
        <v>2897711.5734890876</v>
      </c>
      <c r="N80" s="18">
        <f>H80*'Res Predicted Monthly'!$T$13</f>
        <v>5043635.7533055013</v>
      </c>
      <c r="O80" s="18">
        <f t="shared" si="10"/>
        <v>50762701.889028065</v>
      </c>
      <c r="P80" s="18">
        <f t="shared" si="11"/>
        <v>1272914.0736694336</v>
      </c>
      <c r="Q80" s="279">
        <f t="shared" si="12"/>
        <v>2.5720742194703817E-2</v>
      </c>
      <c r="T80" s="18"/>
      <c r="U80" s="285"/>
      <c r="W80" s="18"/>
      <c r="X80" s="18"/>
      <c r="Y80" s="240"/>
    </row>
    <row r="81" spans="1:25" x14ac:dyDescent="0.25">
      <c r="A81" s="3">
        <f>'Monthly Data'!A81</f>
        <v>44409</v>
      </c>
      <c r="B81" s="1">
        <f t="shared" si="8"/>
        <v>2021</v>
      </c>
      <c r="C81" s="1">
        <f t="shared" si="9"/>
        <v>8</v>
      </c>
      <c r="D81" s="24">
        <f>'Monthly Data'!F81</f>
        <v>55294718.577662736</v>
      </c>
      <c r="E81" s="278">
        <f>'Monthly Data'!BF81</f>
        <v>0</v>
      </c>
      <c r="F81" s="278">
        <f>'Monthly Data'!BK81</f>
        <v>390.06249999999989</v>
      </c>
      <c r="G81" s="18">
        <f>'Monthly Data'!DG81</f>
        <v>246.04687499999991</v>
      </c>
      <c r="H81" s="1">
        <f>'Monthly Data'!CC81</f>
        <v>80</v>
      </c>
      <c r="J81" s="18">
        <f>'Res Predicted Monthly'!$T$9</f>
        <v>24255450.877923299</v>
      </c>
      <c r="K81" s="18">
        <f>E81*'Res Predicted Monthly'!$T$10</f>
        <v>0</v>
      </c>
      <c r="L81" s="18">
        <f>F81*'Res Predicted Monthly'!$T$11</f>
        <v>22854004.910015747</v>
      </c>
      <c r="M81" s="18">
        <f>G81*'Res Predicted Monthly'!$T$12</f>
        <v>3729791.0861314912</v>
      </c>
      <c r="N81" s="18">
        <f>H81*'Res Predicted Monthly'!$T$13</f>
        <v>5107479.2438536715</v>
      </c>
      <c r="O81" s="18">
        <f t="shared" si="10"/>
        <v>55946726.117924206</v>
      </c>
      <c r="P81" s="18">
        <f t="shared" si="11"/>
        <v>652007.54026146978</v>
      </c>
      <c r="Q81" s="279">
        <f t="shared" si="12"/>
        <v>1.1791497579388343E-2</v>
      </c>
      <c r="T81" s="18"/>
      <c r="U81" s="285"/>
      <c r="W81" s="18"/>
      <c r="X81" s="18"/>
      <c r="Y81" s="240"/>
    </row>
    <row r="82" spans="1:25" x14ac:dyDescent="0.25">
      <c r="A82" s="3">
        <f>'Monthly Data'!A82</f>
        <v>44440</v>
      </c>
      <c r="B82" s="1">
        <f t="shared" si="8"/>
        <v>2021</v>
      </c>
      <c r="C82" s="1">
        <f t="shared" si="9"/>
        <v>9</v>
      </c>
      <c r="D82" s="24">
        <f>'Monthly Data'!F82</f>
        <v>47842518.666236281</v>
      </c>
      <c r="E82" s="278">
        <f>'Monthly Data'!BF82</f>
        <v>5.9833333333333432</v>
      </c>
      <c r="F82" s="278">
        <f>'Monthly Data'!BK82</f>
        <v>209.27500000000001</v>
      </c>
      <c r="G82" s="18">
        <f>'Monthly Data'!DG82</f>
        <v>112.16874999999996</v>
      </c>
      <c r="H82" s="1">
        <f>'Monthly Data'!CC82</f>
        <v>81</v>
      </c>
      <c r="J82" s="18">
        <f>'Res Predicted Monthly'!$T$9</f>
        <v>24255450.877923299</v>
      </c>
      <c r="K82" s="18">
        <f>E82*'Res Predicted Monthly'!$T$10</f>
        <v>214301.70503110526</v>
      </c>
      <c r="L82" s="18">
        <f>F82*'Res Predicted Monthly'!$T$11</f>
        <v>12261552.642316416</v>
      </c>
      <c r="M82" s="18">
        <f>G82*'Res Predicted Monthly'!$T$12</f>
        <v>1700350.8127974058</v>
      </c>
      <c r="N82" s="18">
        <f>H82*'Res Predicted Monthly'!$T$13</f>
        <v>5171322.7344018426</v>
      </c>
      <c r="O82" s="18">
        <f t="shared" si="10"/>
        <v>43602978.772470072</v>
      </c>
      <c r="P82" s="18">
        <f t="shared" si="11"/>
        <v>-4239539.8937662095</v>
      </c>
      <c r="Q82" s="279">
        <f t="shared" si="12"/>
        <v>8.8614479587550726E-2</v>
      </c>
      <c r="T82" s="18"/>
      <c r="U82" s="285"/>
      <c r="W82" s="18"/>
      <c r="X82" s="18"/>
      <c r="Y82" s="240"/>
    </row>
    <row r="83" spans="1:25" x14ac:dyDescent="0.25">
      <c r="A83" s="3">
        <f>'Monthly Data'!A83</f>
        <v>44470</v>
      </c>
      <c r="B83" s="1">
        <f t="shared" si="8"/>
        <v>2021</v>
      </c>
      <c r="C83" s="1">
        <f t="shared" si="9"/>
        <v>10</v>
      </c>
      <c r="D83" s="24">
        <f>'Monthly Data'!F83</f>
        <v>36824402.339815632</v>
      </c>
      <c r="E83" s="278">
        <f>'Monthly Data'!BF83</f>
        <v>72.749999999999986</v>
      </c>
      <c r="F83" s="278">
        <f>'Monthly Data'!BK83</f>
        <v>118.07916666666668</v>
      </c>
      <c r="G83" s="18">
        <f>'Monthly Data'!DG83</f>
        <v>58.484375000000014</v>
      </c>
      <c r="H83" s="1">
        <f>'Monthly Data'!CC83</f>
        <v>82</v>
      </c>
      <c r="J83" s="18">
        <f>'Res Predicted Monthly'!$T$9</f>
        <v>24255450.877923299</v>
      </c>
      <c r="K83" s="18">
        <f>E83*'Res Predicted Monthly'!$T$10</f>
        <v>2605646.0792779182</v>
      </c>
      <c r="L83" s="18">
        <f>F83*'Res Predicted Monthly'!$T$11</f>
        <v>6918331.9462152058</v>
      </c>
      <c r="M83" s="18">
        <f>G83*'Res Predicted Monthly'!$T$12</f>
        <v>886556.67970979738</v>
      </c>
      <c r="N83" s="18">
        <f>H83*'Res Predicted Monthly'!$T$13</f>
        <v>5235166.2249500137</v>
      </c>
      <c r="O83" s="18">
        <f t="shared" si="10"/>
        <v>39901151.80807624</v>
      </c>
      <c r="P83" s="18">
        <f t="shared" si="11"/>
        <v>3076749.4682606086</v>
      </c>
      <c r="Q83" s="279">
        <f t="shared" si="12"/>
        <v>8.3551918639937744E-2</v>
      </c>
      <c r="T83" s="18"/>
      <c r="U83" s="285"/>
      <c r="W83" s="18"/>
      <c r="X83" s="18"/>
      <c r="Y83" s="240"/>
    </row>
    <row r="84" spans="1:25" x14ac:dyDescent="0.25">
      <c r="A84" s="3">
        <f>'Monthly Data'!A84</f>
        <v>44501</v>
      </c>
      <c r="B84" s="1">
        <f t="shared" si="8"/>
        <v>2021</v>
      </c>
      <c r="C84" s="1">
        <f t="shared" si="9"/>
        <v>11</v>
      </c>
      <c r="D84" s="24">
        <f>'Monthly Data'!F84</f>
        <v>39497303.075272441</v>
      </c>
      <c r="E84" s="278">
        <f>'Monthly Data'!BF84</f>
        <v>326.31260351966864</v>
      </c>
      <c r="F84" s="278">
        <f>'Monthly Data'!BK84</f>
        <v>0</v>
      </c>
      <c r="G84" s="18">
        <f>'Monthly Data'!DG84</f>
        <v>0</v>
      </c>
      <c r="H84" s="1">
        <f>'Monthly Data'!CC84</f>
        <v>83</v>
      </c>
      <c r="J84" s="18">
        <f>'Res Predicted Monthly'!$T$9</f>
        <v>24255450.877923299</v>
      </c>
      <c r="K84" s="18">
        <f>E84*'Res Predicted Monthly'!$T$10</f>
        <v>11687356.095944943</v>
      </c>
      <c r="L84" s="18">
        <f>F84*'Res Predicted Monthly'!$T$11</f>
        <v>0</v>
      </c>
      <c r="M84" s="18">
        <f>G84*'Res Predicted Monthly'!$T$12</f>
        <v>0</v>
      </c>
      <c r="N84" s="18">
        <f>H84*'Res Predicted Monthly'!$T$13</f>
        <v>5299009.7154981848</v>
      </c>
      <c r="O84" s="18">
        <f t="shared" si="10"/>
        <v>41241816.68936643</v>
      </c>
      <c r="P84" s="18">
        <f t="shared" si="11"/>
        <v>1744513.6140939891</v>
      </c>
      <c r="Q84" s="279">
        <f t="shared" si="12"/>
        <v>4.4167917256764652E-2</v>
      </c>
      <c r="T84" s="18"/>
      <c r="U84" s="285"/>
      <c r="W84" s="18"/>
      <c r="X84" s="18"/>
      <c r="Y84" s="240"/>
    </row>
    <row r="85" spans="1:25" x14ac:dyDescent="0.25">
      <c r="A85" s="3">
        <f>'Monthly Data'!A85</f>
        <v>44531</v>
      </c>
      <c r="B85" s="1">
        <f t="shared" si="8"/>
        <v>2021</v>
      </c>
      <c r="C85" s="1">
        <f t="shared" si="9"/>
        <v>12</v>
      </c>
      <c r="D85" s="24">
        <f>'Monthly Data'!F85</f>
        <v>45670410.86169602</v>
      </c>
      <c r="E85" s="278">
        <f>'Monthly Data'!BF85</f>
        <v>409.04583333333335</v>
      </c>
      <c r="F85" s="278">
        <f>'Monthly Data'!BK85</f>
        <v>0.41249999999999964</v>
      </c>
      <c r="G85" s="18">
        <f>'Monthly Data'!DG85</f>
        <v>0</v>
      </c>
      <c r="H85" s="1">
        <f>'Monthly Data'!CC85</f>
        <v>84</v>
      </c>
      <c r="J85" s="18">
        <f>'Res Predicted Monthly'!$T$9</f>
        <v>24255450.877923299</v>
      </c>
      <c r="K85" s="18">
        <f>E85*'Res Predicted Monthly'!$T$10</f>
        <v>14650565.936356964</v>
      </c>
      <c r="L85" s="18">
        <f>F85*'Res Predicted Monthly'!$T$11</f>
        <v>24168.632015078325</v>
      </c>
      <c r="M85" s="18">
        <f>G85*'Res Predicted Monthly'!$T$12</f>
        <v>0</v>
      </c>
      <c r="N85" s="18">
        <f>H85*'Res Predicted Monthly'!$T$13</f>
        <v>5362853.2060463559</v>
      </c>
      <c r="O85" s="18">
        <f t="shared" si="10"/>
        <v>44293038.652341701</v>
      </c>
      <c r="P85" s="18">
        <f t="shared" si="11"/>
        <v>-1377372.2093543187</v>
      </c>
      <c r="Q85" s="279">
        <f t="shared" si="12"/>
        <v>3.0158962517885447E-2</v>
      </c>
      <c r="T85" s="18"/>
      <c r="U85" s="285"/>
      <c r="W85" s="18"/>
      <c r="X85" s="18"/>
      <c r="Y85" s="240"/>
    </row>
    <row r="86" spans="1:25" x14ac:dyDescent="0.25">
      <c r="A86" s="3">
        <f>'Monthly Data'!A86</f>
        <v>44562</v>
      </c>
      <c r="B86" s="1">
        <f t="shared" si="8"/>
        <v>2022</v>
      </c>
      <c r="C86" s="1">
        <f t="shared" si="9"/>
        <v>1</v>
      </c>
      <c r="D86" s="24">
        <f>'Monthly Data'!F86</f>
        <v>51393545.028530009</v>
      </c>
      <c r="E86" s="278">
        <f>'Monthly Data'!BF86</f>
        <v>701.49166666666656</v>
      </c>
      <c r="F86" s="278">
        <f>'Monthly Data'!BK86</f>
        <v>0</v>
      </c>
      <c r="G86" s="18">
        <f>'Monthly Data'!DG86</f>
        <v>0</v>
      </c>
      <c r="H86" s="1">
        <f>'Monthly Data'!CC86</f>
        <v>85</v>
      </c>
      <c r="J86" s="18">
        <f>'Res Predicted Monthly'!$T$9</f>
        <v>24255450.877923299</v>
      </c>
      <c r="K86" s="18">
        <f>E86*'Res Predicted Monthly'!$T$10</f>
        <v>25124934.857678797</v>
      </c>
      <c r="L86" s="18">
        <f>F86*'Res Predicted Monthly'!$T$11</f>
        <v>0</v>
      </c>
      <c r="M86" s="18">
        <f>G86*'Res Predicted Monthly'!$T$12</f>
        <v>0</v>
      </c>
      <c r="N86" s="18">
        <f>H86*'Res Predicted Monthly'!$T$13</f>
        <v>5426696.6965945261</v>
      </c>
      <c r="O86" s="18">
        <f t="shared" si="10"/>
        <v>54807082.432196625</v>
      </c>
      <c r="P86" s="18">
        <f t="shared" si="11"/>
        <v>3413537.4036666155</v>
      </c>
      <c r="Q86" s="279">
        <f t="shared" si="12"/>
        <v>6.6419574710630772E-2</v>
      </c>
      <c r="T86" s="18"/>
      <c r="U86" s="285"/>
      <c r="W86" s="18"/>
      <c r="X86" s="18"/>
      <c r="Y86" s="240"/>
    </row>
    <row r="87" spans="1:25" x14ac:dyDescent="0.25">
      <c r="A87" s="3">
        <f>'Monthly Data'!A87</f>
        <v>44593</v>
      </c>
      <c r="B87" s="1">
        <f t="shared" si="8"/>
        <v>2022</v>
      </c>
      <c r="C87" s="1">
        <f t="shared" si="9"/>
        <v>2</v>
      </c>
      <c r="D87" s="24">
        <f>'Monthly Data'!F87</f>
        <v>45927123.35305661</v>
      </c>
      <c r="E87" s="278">
        <f>'Monthly Data'!BF87</f>
        <v>524.84999999999991</v>
      </c>
      <c r="F87" s="278">
        <f>'Monthly Data'!BK87</f>
        <v>0</v>
      </c>
      <c r="G87" s="18">
        <f>'Monthly Data'!DG87</f>
        <v>0</v>
      </c>
      <c r="H87" s="1">
        <f>'Monthly Data'!CC87</f>
        <v>86</v>
      </c>
      <c r="J87" s="18">
        <f>'Res Predicted Monthly'!$T$9</f>
        <v>24255450.877923299</v>
      </c>
      <c r="K87" s="18">
        <f>E87*'Res Predicted Monthly'!$T$10</f>
        <v>18798259.0338009</v>
      </c>
      <c r="L87" s="18">
        <f>F87*'Res Predicted Monthly'!$T$11</f>
        <v>0</v>
      </c>
      <c r="M87" s="18">
        <f>G87*'Res Predicted Monthly'!$T$12</f>
        <v>0</v>
      </c>
      <c r="N87" s="18">
        <f>H87*'Res Predicted Monthly'!$T$13</f>
        <v>5490540.1871426972</v>
      </c>
      <c r="O87" s="18">
        <f t="shared" si="10"/>
        <v>48544250.098866895</v>
      </c>
      <c r="P87" s="18">
        <f t="shared" si="11"/>
        <v>2617126.7458102852</v>
      </c>
      <c r="Q87" s="279">
        <f t="shared" si="12"/>
        <v>5.698433855069885E-2</v>
      </c>
      <c r="T87" s="18"/>
      <c r="U87" s="285"/>
      <c r="W87" s="18"/>
      <c r="X87" s="18"/>
      <c r="Y87" s="240"/>
    </row>
    <row r="88" spans="1:25" x14ac:dyDescent="0.25">
      <c r="A88" s="3">
        <f>'Monthly Data'!A88</f>
        <v>44621</v>
      </c>
      <c r="B88" s="1">
        <f t="shared" si="8"/>
        <v>2022</v>
      </c>
      <c r="C88" s="1">
        <f t="shared" si="9"/>
        <v>3</v>
      </c>
      <c r="D88" s="24">
        <f>'Monthly Data'!F88</f>
        <v>48810865.315797009</v>
      </c>
      <c r="E88" s="278">
        <f>'Monthly Data'!BF88</f>
        <v>420.72083333333353</v>
      </c>
      <c r="F88" s="278">
        <f>'Monthly Data'!BK88</f>
        <v>0</v>
      </c>
      <c r="G88" s="18">
        <f>'Monthly Data'!DG88</f>
        <v>0</v>
      </c>
      <c r="H88" s="1">
        <f>'Monthly Data'!CC88</f>
        <v>87</v>
      </c>
      <c r="J88" s="18">
        <f>'Res Predicted Monthly'!$T$9</f>
        <v>24255450.877923299</v>
      </c>
      <c r="K88" s="18">
        <f>E88*'Res Predicted Monthly'!$T$10</f>
        <v>15068722.884474767</v>
      </c>
      <c r="L88" s="18">
        <f>F88*'Res Predicted Monthly'!$T$11</f>
        <v>0</v>
      </c>
      <c r="M88" s="18">
        <f>G88*'Res Predicted Monthly'!$T$12</f>
        <v>0</v>
      </c>
      <c r="N88" s="18">
        <f>H88*'Res Predicted Monthly'!$T$13</f>
        <v>5554383.6776908683</v>
      </c>
      <c r="O88" s="18">
        <f t="shared" si="10"/>
        <v>44878557.440088935</v>
      </c>
      <c r="P88" s="18">
        <f t="shared" si="11"/>
        <v>-3932307.8757080734</v>
      </c>
      <c r="Q88" s="279">
        <f t="shared" si="12"/>
        <v>8.0562142266210404E-2</v>
      </c>
      <c r="T88" s="18"/>
    </row>
    <row r="89" spans="1:25" x14ac:dyDescent="0.25">
      <c r="A89" s="3">
        <f>'Monthly Data'!A89</f>
        <v>44652</v>
      </c>
      <c r="B89" s="1">
        <f t="shared" si="8"/>
        <v>2022</v>
      </c>
      <c r="C89" s="1">
        <f t="shared" si="9"/>
        <v>4</v>
      </c>
      <c r="D89" s="24">
        <f>'Monthly Data'!F89</f>
        <v>41008175.440445341</v>
      </c>
      <c r="E89" s="278">
        <f>'Monthly Data'!BF89</f>
        <v>234.33333333333331</v>
      </c>
      <c r="F89" s="278">
        <f>'Monthly Data'!BK89</f>
        <v>8.7083333333333286</v>
      </c>
      <c r="G89" s="18">
        <f>'Monthly Data'!DG89</f>
        <v>1.1270833333333314</v>
      </c>
      <c r="H89" s="1">
        <f>'Monthly Data'!CC89</f>
        <v>88</v>
      </c>
      <c r="J89" s="18">
        <f>'Res Predicted Monthly'!$T$9</f>
        <v>24255450.877923299</v>
      </c>
      <c r="K89" s="18">
        <f>E89*'Res Predicted Monthly'!$T$10</f>
        <v>8392985.9964828268</v>
      </c>
      <c r="L89" s="18">
        <f>F89*'Res Predicted Monthly'!$T$11</f>
        <v>510226.67587387591</v>
      </c>
      <c r="M89" s="18">
        <f>G89*'Res Predicted Monthly'!$T$12</f>
        <v>17085.302830991164</v>
      </c>
      <c r="N89" s="18">
        <f>H89*'Res Predicted Monthly'!$T$13</f>
        <v>5618227.1682390394</v>
      </c>
      <c r="O89" s="18">
        <f t="shared" si="10"/>
        <v>38793976.021350034</v>
      </c>
      <c r="P89" s="18">
        <f t="shared" si="11"/>
        <v>-2214199.4190953076</v>
      </c>
      <c r="Q89" s="279">
        <f t="shared" si="12"/>
        <v>5.3994097404087331E-2</v>
      </c>
      <c r="Y89" s="286"/>
    </row>
    <row r="90" spans="1:25" x14ac:dyDescent="0.25">
      <c r="A90" s="3">
        <f>'Monthly Data'!A90</f>
        <v>44682</v>
      </c>
      <c r="B90" s="1">
        <f t="shared" si="8"/>
        <v>2022</v>
      </c>
      <c r="C90" s="1">
        <f t="shared" si="9"/>
        <v>5</v>
      </c>
      <c r="D90" s="24">
        <f>'Monthly Data'!F90</f>
        <v>37088510.88482105</v>
      </c>
      <c r="E90" s="278">
        <f>'Monthly Data'!BF90</f>
        <v>39.324999999999996</v>
      </c>
      <c r="F90" s="278">
        <f>'Monthly Data'!BK90</f>
        <v>157.97083333333333</v>
      </c>
      <c r="G90" s="18">
        <f>'Monthly Data'!DG90</f>
        <v>54.718749999999986</v>
      </c>
      <c r="H90" s="1">
        <f>'Monthly Data'!CC90</f>
        <v>89</v>
      </c>
      <c r="J90" s="18">
        <f>'Res Predicted Monthly'!$T$9</f>
        <v>24255450.877923299</v>
      </c>
      <c r="K90" s="18">
        <f>E90*'Res Predicted Monthly'!$T$10</f>
        <v>1408481.5404481669</v>
      </c>
      <c r="L90" s="18">
        <f>F90*'Res Predicted Monthly'!$T$11</f>
        <v>9255609.5513905585</v>
      </c>
      <c r="M90" s="18">
        <f>G90*'Res Predicted Monthly'!$T$12</f>
        <v>829474.0829130935</v>
      </c>
      <c r="N90" s="18">
        <f>H90*'Res Predicted Monthly'!$T$13</f>
        <v>5682070.6587872105</v>
      </c>
      <c r="O90" s="18">
        <f t="shared" si="10"/>
        <v>41431086.711462334</v>
      </c>
      <c r="P90" s="18">
        <f t="shared" si="11"/>
        <v>4342575.8266412839</v>
      </c>
      <c r="Q90" s="279">
        <f t="shared" si="12"/>
        <v>0.11708682077118764</v>
      </c>
    </row>
    <row r="91" spans="1:25" x14ac:dyDescent="0.25">
      <c r="A91" s="3">
        <f>'Monthly Data'!A91</f>
        <v>44713</v>
      </c>
      <c r="B91" s="1">
        <f t="shared" si="8"/>
        <v>2022</v>
      </c>
      <c r="C91" s="1">
        <f t="shared" si="9"/>
        <v>6</v>
      </c>
      <c r="D91" s="24">
        <f>'Monthly Data'!F91</f>
        <v>41602766.619574398</v>
      </c>
      <c r="E91" s="278">
        <f>'Monthly Data'!BF91</f>
        <v>0</v>
      </c>
      <c r="F91" s="278">
        <f>'Monthly Data'!BK91</f>
        <v>240.92250416250408</v>
      </c>
      <c r="G91" s="18">
        <f>'Monthly Data'!DG91</f>
        <v>90.461252081252042</v>
      </c>
      <c r="H91" s="1">
        <f>'Monthly Data'!CC91</f>
        <v>90</v>
      </c>
      <c r="J91" s="18">
        <f>'Res Predicted Monthly'!$T$9</f>
        <v>24255450.877923299</v>
      </c>
      <c r="K91" s="18">
        <f>E91*'Res Predicted Monthly'!$T$10</f>
        <v>0</v>
      </c>
      <c r="L91" s="18">
        <f>F91*'Res Predicted Monthly'!$T$11</f>
        <v>14115799.629708467</v>
      </c>
      <c r="M91" s="18">
        <f>G91*'Res Predicted Monthly'!$T$12</f>
        <v>1371289.8066799173</v>
      </c>
      <c r="N91" s="18">
        <f>H91*'Res Predicted Monthly'!$T$13</f>
        <v>5745914.1493353806</v>
      </c>
      <c r="O91" s="18">
        <f t="shared" si="10"/>
        <v>45488454.463647068</v>
      </c>
      <c r="P91" s="18">
        <f t="shared" si="11"/>
        <v>3885687.8440726697</v>
      </c>
      <c r="Q91" s="279">
        <f t="shared" si="12"/>
        <v>9.3399746214099758E-2</v>
      </c>
    </row>
    <row r="92" spans="1:25" x14ac:dyDescent="0.25">
      <c r="A92" s="3">
        <f>'Monthly Data'!A92</f>
        <v>44743</v>
      </c>
      <c r="B92" s="1">
        <f t="shared" si="8"/>
        <v>2022</v>
      </c>
      <c r="C92" s="1">
        <f t="shared" si="9"/>
        <v>7</v>
      </c>
      <c r="D92" s="24">
        <f>'Monthly Data'!F92</f>
        <v>50133432.015538678</v>
      </c>
      <c r="E92" s="278">
        <f>'Monthly Data'!BF92</f>
        <v>0</v>
      </c>
      <c r="F92" s="278">
        <f>'Monthly Data'!BK92</f>
        <v>345.85433829138066</v>
      </c>
      <c r="G92" s="18">
        <f>'Monthly Data'!DG92</f>
        <v>141.9271691456903</v>
      </c>
      <c r="H92" s="1">
        <f>'Monthly Data'!CC92</f>
        <v>91</v>
      </c>
      <c r="J92" s="18">
        <f>'Res Predicted Monthly'!$T$9</f>
        <v>24255450.877923299</v>
      </c>
      <c r="K92" s="18">
        <f>E92*'Res Predicted Monthly'!$T$10</f>
        <v>0</v>
      </c>
      <c r="L92" s="18">
        <f>F92*'Res Predicted Monthly'!$T$11</f>
        <v>20263821.170867395</v>
      </c>
      <c r="M92" s="18">
        <f>G92*'Res Predicted Monthly'!$T$12</f>
        <v>2151454.6378996777</v>
      </c>
      <c r="N92" s="18">
        <f>H92*'Res Predicted Monthly'!$T$13</f>
        <v>5809757.6398835517</v>
      </c>
      <c r="O92" s="18">
        <f t="shared" si="10"/>
        <v>52480484.326573923</v>
      </c>
      <c r="P92" s="18">
        <f t="shared" si="11"/>
        <v>2347052.3110352457</v>
      </c>
      <c r="Q92" s="279">
        <f t="shared" si="12"/>
        <v>4.6816110860070086E-2</v>
      </c>
    </row>
    <row r="93" spans="1:25" x14ac:dyDescent="0.25">
      <c r="A93" s="3">
        <f>'Monthly Data'!A93</f>
        <v>44774</v>
      </c>
      <c r="B93" s="1">
        <f t="shared" si="8"/>
        <v>2022</v>
      </c>
      <c r="C93" s="1">
        <f t="shared" si="9"/>
        <v>8</v>
      </c>
      <c r="D93" s="24">
        <f>'Monthly Data'!F93</f>
        <v>54578895.420204103</v>
      </c>
      <c r="E93" s="278">
        <f>'Monthly Data'!BF93</f>
        <v>0</v>
      </c>
      <c r="F93" s="278">
        <f>'Monthly Data'!BK93</f>
        <v>352.28333333333342</v>
      </c>
      <c r="G93" s="18">
        <f>'Monthly Data'!DG93</f>
        <v>145.14166666666668</v>
      </c>
      <c r="H93" s="1">
        <f>'Monthly Data'!CC93</f>
        <v>92</v>
      </c>
      <c r="J93" s="18">
        <f>'Res Predicted Monthly'!$T$9</f>
        <v>24255450.877923299</v>
      </c>
      <c r="K93" s="18">
        <f>E93*'Res Predicted Monthly'!$T$10</f>
        <v>0</v>
      </c>
      <c r="L93" s="18">
        <f>F93*'Res Predicted Monthly'!$T$11</f>
        <v>20640499.996069137</v>
      </c>
      <c r="M93" s="18">
        <f>G93*'Res Predicted Monthly'!$T$12</f>
        <v>2200182.7682615425</v>
      </c>
      <c r="N93" s="18">
        <f>H93*'Res Predicted Monthly'!$T$13</f>
        <v>5873601.1304317228</v>
      </c>
      <c r="O93" s="18">
        <f t="shared" si="10"/>
        <v>52969734.772685707</v>
      </c>
      <c r="P93" s="18">
        <f t="shared" si="11"/>
        <v>-1609160.6475183964</v>
      </c>
      <c r="Q93" s="279">
        <f t="shared" si="12"/>
        <v>2.9483202896090761E-2</v>
      </c>
    </row>
    <row r="94" spans="1:25" x14ac:dyDescent="0.25">
      <c r="A94" s="3">
        <f>'Monthly Data'!A94</f>
        <v>44805</v>
      </c>
      <c r="B94" s="1">
        <f t="shared" si="8"/>
        <v>2022</v>
      </c>
      <c r="C94" s="1">
        <f t="shared" si="9"/>
        <v>9</v>
      </c>
      <c r="D94" s="24">
        <f>'Monthly Data'!F94</f>
        <v>45528234.424271107</v>
      </c>
      <c r="E94" s="278">
        <f>'Monthly Data'!BF94</f>
        <v>22.833333333333329</v>
      </c>
      <c r="F94" s="278">
        <f>'Monthly Data'!BK94</f>
        <v>193.32083333333327</v>
      </c>
      <c r="G94" s="18">
        <f>'Monthly Data'!DG94</f>
        <v>69.895833333333314</v>
      </c>
      <c r="H94" s="1">
        <f>'Monthly Data'!CC94</f>
        <v>93</v>
      </c>
      <c r="J94" s="18">
        <f>'Res Predicted Monthly'!$T$9</f>
        <v>24255450.877923299</v>
      </c>
      <c r="K94" s="18">
        <f>E94*'Res Predicted Monthly'!$T$10</f>
        <v>817808.73507691827</v>
      </c>
      <c r="L94" s="18">
        <f>F94*'Res Predicted Monthly'!$T$11</f>
        <v>11326788.076803936</v>
      </c>
      <c r="M94" s="18">
        <f>G94*'Res Predicted Monthly'!$T$12</f>
        <v>1059541.4232527807</v>
      </c>
      <c r="N94" s="18">
        <f>H94*'Res Predicted Monthly'!$T$13</f>
        <v>5937444.620979894</v>
      </c>
      <c r="O94" s="18">
        <f t="shared" si="10"/>
        <v>43397033.734036833</v>
      </c>
      <c r="P94" s="18">
        <f t="shared" si="11"/>
        <v>-2131200.6902342737</v>
      </c>
      <c r="Q94" s="279">
        <f t="shared" si="12"/>
        <v>4.6810527954453916E-2</v>
      </c>
    </row>
    <row r="95" spans="1:25" x14ac:dyDescent="0.25">
      <c r="A95" s="3">
        <f>'Monthly Data'!A95</f>
        <v>44835</v>
      </c>
      <c r="B95" s="1">
        <f t="shared" si="8"/>
        <v>2022</v>
      </c>
      <c r="C95" s="1">
        <f t="shared" si="9"/>
        <v>10</v>
      </c>
      <c r="D95" s="24">
        <f>'Monthly Data'!F95</f>
        <v>35853689.754493721</v>
      </c>
      <c r="E95" s="278">
        <f>'Monthly Data'!BF95</f>
        <v>147.2764492753623</v>
      </c>
      <c r="F95" s="278">
        <f>'Monthly Data'!BK95</f>
        <v>32</v>
      </c>
      <c r="G95" s="18">
        <f>'Monthly Data'!DG95</f>
        <v>5.8020833333333339</v>
      </c>
      <c r="H95" s="1">
        <f>'Monthly Data'!CC95</f>
        <v>94</v>
      </c>
      <c r="J95" s="18">
        <f>'Res Predicted Monthly'!$T$9</f>
        <v>24255450.877923299</v>
      </c>
      <c r="K95" s="18">
        <f>E95*'Res Predicted Monthly'!$T$10</f>
        <v>5274918.2491315613</v>
      </c>
      <c r="L95" s="18">
        <f>F95*'Res Predicted Monthly'!$T$11</f>
        <v>1874899.9381394112</v>
      </c>
      <c r="M95" s="18">
        <f>G95*'Res Predicted Monthly'!$T$12</f>
        <v>87952.991468226392</v>
      </c>
      <c r="N95" s="18">
        <f>H95*'Res Predicted Monthly'!$T$13</f>
        <v>6001288.1115280641</v>
      </c>
      <c r="O95" s="18">
        <f t="shared" si="10"/>
        <v>37494510.168190561</v>
      </c>
      <c r="P95" s="18">
        <f t="shared" si="11"/>
        <v>1640820.4136968404</v>
      </c>
      <c r="Q95" s="279">
        <f t="shared" si="12"/>
        <v>4.5764339038248864E-2</v>
      </c>
    </row>
    <row r="96" spans="1:25" x14ac:dyDescent="0.25">
      <c r="A96" s="3">
        <f>'Monthly Data'!A96</f>
        <v>44866</v>
      </c>
      <c r="B96" s="1">
        <f t="shared" si="8"/>
        <v>2022</v>
      </c>
      <c r="C96" s="1">
        <f t="shared" si="9"/>
        <v>11</v>
      </c>
      <c r="D96" s="24">
        <f>'Monthly Data'!F96</f>
        <v>39279750.296396427</v>
      </c>
      <c r="E96" s="278">
        <f>'Monthly Data'!BF96</f>
        <v>294.14166666666671</v>
      </c>
      <c r="F96" s="278">
        <f>'Monthly Data'!BK96</f>
        <v>13.824999999999999</v>
      </c>
      <c r="G96" s="18">
        <f>'Monthly Data'!DG96</f>
        <v>3.2895833333333337</v>
      </c>
      <c r="H96" s="1">
        <f>'Monthly Data'!CC96</f>
        <v>95</v>
      </c>
      <c r="J96" s="18">
        <f>'Res Predicted Monthly'!$T$9</f>
        <v>24255450.877923299</v>
      </c>
      <c r="K96" s="18">
        <f>E96*'Res Predicted Monthly'!$T$10</f>
        <v>10535107.635770071</v>
      </c>
      <c r="L96" s="18">
        <f>F96*'Res Predicted Monthly'!$T$11</f>
        <v>810015.36389929242</v>
      </c>
      <c r="M96" s="18">
        <f>G96*'Res Predicted Monthly'!$T$12</f>
        <v>49866.345970674854</v>
      </c>
      <c r="N96" s="18">
        <f>H96*'Res Predicted Monthly'!$T$13</f>
        <v>6065131.6020762352</v>
      </c>
      <c r="O96" s="18">
        <f t="shared" si="10"/>
        <v>41715571.825639568</v>
      </c>
      <c r="P96" s="18">
        <f t="shared" si="11"/>
        <v>2435821.5292431414</v>
      </c>
      <c r="Q96" s="279">
        <f t="shared" si="12"/>
        <v>6.201214393836426E-2</v>
      </c>
    </row>
    <row r="97" spans="1:17" x14ac:dyDescent="0.25">
      <c r="A97" s="3">
        <f>'Monthly Data'!A97</f>
        <v>44896</v>
      </c>
      <c r="B97" s="1">
        <f t="shared" si="8"/>
        <v>2022</v>
      </c>
      <c r="C97" s="1">
        <f t="shared" si="9"/>
        <v>12</v>
      </c>
      <c r="D97" s="24">
        <f>'Monthly Data'!F97</f>
        <v>45946519.028498955</v>
      </c>
      <c r="E97" s="278">
        <f>'Monthly Data'!BF97</f>
        <v>461.12083333333328</v>
      </c>
      <c r="F97" s="278">
        <f>'Monthly Data'!BK97</f>
        <v>0</v>
      </c>
      <c r="G97" s="18">
        <f>'Monthly Data'!DG97</f>
        <v>0</v>
      </c>
      <c r="H97" s="1">
        <f>'Monthly Data'!CC97</f>
        <v>96</v>
      </c>
      <c r="J97" s="18">
        <f>'Res Predicted Monthly'!$T$9</f>
        <v>24255450.877923299</v>
      </c>
      <c r="K97" s="18">
        <f>E97*'Res Predicted Monthly'!$T$10</f>
        <v>16515707.09894662</v>
      </c>
      <c r="L97" s="18">
        <f>F97*'Res Predicted Monthly'!$T$11</f>
        <v>0</v>
      </c>
      <c r="M97" s="18">
        <f>G97*'Res Predicted Monthly'!$T$12</f>
        <v>0</v>
      </c>
      <c r="N97" s="18">
        <f>H97*'Res Predicted Monthly'!$T$13</f>
        <v>6128975.0926244063</v>
      </c>
      <c r="O97" s="18">
        <f t="shared" si="10"/>
        <v>46900133.069494322</v>
      </c>
      <c r="P97" s="18">
        <f t="shared" si="11"/>
        <v>953614.04099536687</v>
      </c>
      <c r="Q97" s="279">
        <f t="shared" si="12"/>
        <v>2.0754870252605528E-2</v>
      </c>
    </row>
    <row r="98" spans="1:17" x14ac:dyDescent="0.25">
      <c r="A98" s="3">
        <f>'Monthly Data'!A98</f>
        <v>44927</v>
      </c>
      <c r="B98" s="1">
        <f t="shared" si="8"/>
        <v>2023</v>
      </c>
      <c r="C98" s="1">
        <f t="shared" si="9"/>
        <v>1</v>
      </c>
      <c r="D98" s="24">
        <f>'Monthly Data'!F98</f>
        <v>49810652.246749312</v>
      </c>
      <c r="E98" s="278">
        <f>'Monthly Data'!BF98</f>
        <v>480.07083333333327</v>
      </c>
      <c r="F98" s="278">
        <f>'Monthly Data'!BK98</f>
        <v>0</v>
      </c>
      <c r="G98" s="18">
        <f>'Monthly Data'!DG98</f>
        <v>0</v>
      </c>
      <c r="H98" s="1">
        <f>'Monthly Data'!CC98</f>
        <v>97</v>
      </c>
      <c r="J98" s="18">
        <f>'Res Predicted Monthly'!$T$9</f>
        <v>24255450.877923299</v>
      </c>
      <c r="K98" s="18">
        <f>E98*'Res Predicted Monthly'!$T$10</f>
        <v>17194428.654992208</v>
      </c>
      <c r="L98" s="18">
        <f>F98*'Res Predicted Monthly'!$T$11</f>
        <v>0</v>
      </c>
      <c r="M98" s="18">
        <f>G98*'Res Predicted Monthly'!$T$12</f>
        <v>0</v>
      </c>
      <c r="N98" s="18">
        <f>H98*'Res Predicted Monthly'!$T$13</f>
        <v>6192818.5831725774</v>
      </c>
      <c r="O98" s="18">
        <f t="shared" ref="O98:O121" si="13">SUM(J98:N98)</f>
        <v>47642698.116088077</v>
      </c>
      <c r="P98" s="18">
        <f t="shared" ref="P98:P121" si="14">O98-D98</f>
        <v>-2167954.1306612343</v>
      </c>
      <c r="Q98" s="279">
        <f t="shared" ref="Q98:Q121" si="15">ABS(P98/D98)</f>
        <v>4.352390568832025E-2</v>
      </c>
    </row>
    <row r="99" spans="1:17" x14ac:dyDescent="0.25">
      <c r="A99" s="3">
        <f>'Monthly Data'!A99</f>
        <v>44958</v>
      </c>
      <c r="B99" s="1">
        <f t="shared" si="8"/>
        <v>2023</v>
      </c>
      <c r="C99" s="1">
        <f t="shared" si="9"/>
        <v>2</v>
      </c>
      <c r="D99" s="24">
        <f>'Monthly Data'!F99</f>
        <v>48142162.27973219</v>
      </c>
      <c r="E99" s="278">
        <f>'Monthly Data'!BF99</f>
        <v>461.43333333333328</v>
      </c>
      <c r="F99" s="278">
        <f>'Monthly Data'!BK99</f>
        <v>0</v>
      </c>
      <c r="G99" s="18">
        <f>'Monthly Data'!DG99</f>
        <v>0</v>
      </c>
      <c r="H99" s="1">
        <f>'Monthly Data'!CC99</f>
        <v>98</v>
      </c>
      <c r="J99" s="18">
        <f>'Res Predicted Monthly'!$T$9</f>
        <v>24255450.877923299</v>
      </c>
      <c r="K99" s="18">
        <f>E99*'Res Predicted Monthly'!$T$10</f>
        <v>16526899.736744205</v>
      </c>
      <c r="L99" s="18">
        <f>F99*'Res Predicted Monthly'!$T$11</f>
        <v>0</v>
      </c>
      <c r="M99" s="18">
        <f>G99*'Res Predicted Monthly'!$T$12</f>
        <v>0</v>
      </c>
      <c r="N99" s="18">
        <f>H99*'Res Predicted Monthly'!$T$13</f>
        <v>6256662.0737207485</v>
      </c>
      <c r="O99" s="18">
        <f t="shared" si="13"/>
        <v>47039012.688388251</v>
      </c>
      <c r="P99" s="18">
        <f t="shared" si="14"/>
        <v>-1103149.5913439393</v>
      </c>
      <c r="Q99" s="279">
        <f t="shared" si="15"/>
        <v>2.2914417199087139E-2</v>
      </c>
    </row>
    <row r="100" spans="1:17" x14ac:dyDescent="0.25">
      <c r="A100" s="3">
        <f>'Monthly Data'!A100</f>
        <v>44986</v>
      </c>
      <c r="B100" s="1">
        <f t="shared" si="8"/>
        <v>2023</v>
      </c>
      <c r="C100" s="1">
        <f t="shared" si="9"/>
        <v>3</v>
      </c>
      <c r="D100" s="24">
        <f>'Monthly Data'!F100</f>
        <v>44083636.228969194</v>
      </c>
      <c r="E100" s="278">
        <f>'Monthly Data'!BF100</f>
        <v>427.0333333333333</v>
      </c>
      <c r="F100" s="278">
        <f>'Monthly Data'!BK100</f>
        <v>0</v>
      </c>
      <c r="G100" s="18">
        <f>'Monthly Data'!DG100</f>
        <v>0</v>
      </c>
      <c r="H100" s="1">
        <f>'Monthly Data'!CC100</f>
        <v>99</v>
      </c>
      <c r="J100" s="18">
        <f>'Res Predicted Monthly'!$T$9</f>
        <v>24255450.877923299</v>
      </c>
      <c r="K100" s="18">
        <f>E100*'Res Predicted Monthly'!$T$10</f>
        <v>15294814.167985987</v>
      </c>
      <c r="L100" s="18">
        <f>F100*'Res Predicted Monthly'!$T$11</f>
        <v>0</v>
      </c>
      <c r="M100" s="18">
        <f>G100*'Res Predicted Monthly'!$T$12</f>
        <v>0</v>
      </c>
      <c r="N100" s="18">
        <f>H100*'Res Predicted Monthly'!$T$13</f>
        <v>6320505.5642689187</v>
      </c>
      <c r="O100" s="18">
        <f t="shared" si="13"/>
        <v>45870770.610178202</v>
      </c>
      <c r="P100" s="18">
        <f t="shared" si="14"/>
        <v>1787134.3812090084</v>
      </c>
      <c r="Q100" s="279">
        <f t="shared" si="15"/>
        <v>4.0539631801847775E-2</v>
      </c>
    </row>
    <row r="101" spans="1:17" x14ac:dyDescent="0.25">
      <c r="A101" s="3">
        <f>'Monthly Data'!A101</f>
        <v>45017</v>
      </c>
      <c r="B101" s="1">
        <f t="shared" si="8"/>
        <v>2023</v>
      </c>
      <c r="C101" s="1">
        <f t="shared" si="9"/>
        <v>4</v>
      </c>
      <c r="D101" s="24">
        <f>'Monthly Data'!F101</f>
        <v>41510354.220476784</v>
      </c>
      <c r="E101" s="278">
        <f>'Monthly Data'!BF101</f>
        <v>193.11666666666667</v>
      </c>
      <c r="F101" s="278">
        <f>'Monthly Data'!BK101</f>
        <v>37.175000000000004</v>
      </c>
      <c r="G101" s="18">
        <f>'Monthly Data'!DG101</f>
        <v>5.6791666666666689</v>
      </c>
      <c r="H101" s="1">
        <f>'Monthly Data'!CC101</f>
        <v>100</v>
      </c>
      <c r="J101" s="18">
        <f>'Res Predicted Monthly'!$T$9</f>
        <v>24255450.877923299</v>
      </c>
      <c r="K101" s="18">
        <f>E101*'Res Predicted Monthly'!$T$10</f>
        <v>6916751.6885666084</v>
      </c>
      <c r="L101" s="18">
        <f>F101*'Res Predicted Monthly'!$T$11</f>
        <v>2178106.4125103941</v>
      </c>
      <c r="M101" s="18">
        <f>G101*'Res Predicted Monthly'!$T$12</f>
        <v>86089.714449689491</v>
      </c>
      <c r="N101" s="18">
        <f>H101*'Res Predicted Monthly'!$T$13</f>
        <v>6384349.0548170898</v>
      </c>
      <c r="O101" s="18">
        <f t="shared" si="13"/>
        <v>39820747.748267077</v>
      </c>
      <c r="P101" s="18">
        <f t="shared" si="14"/>
        <v>-1689606.4722097069</v>
      </c>
      <c r="Q101" s="279">
        <f t="shared" si="15"/>
        <v>4.070325353610775E-2</v>
      </c>
    </row>
    <row r="102" spans="1:17" x14ac:dyDescent="0.25">
      <c r="A102" s="3">
        <f>'Monthly Data'!A102</f>
        <v>45047</v>
      </c>
      <c r="B102" s="1">
        <f t="shared" si="8"/>
        <v>2023</v>
      </c>
      <c r="C102" s="1">
        <f t="shared" si="9"/>
        <v>5</v>
      </c>
      <c r="D102" s="24">
        <f>'Monthly Data'!F102</f>
        <v>37716647.073447675</v>
      </c>
      <c r="E102" s="278">
        <f>'Monthly Data'!BF102</f>
        <v>68.776666666666671</v>
      </c>
      <c r="F102" s="278">
        <f>'Monthly Data'!BK102</f>
        <v>112.85416666666666</v>
      </c>
      <c r="G102" s="18">
        <f>'Monthly Data'!DG102</f>
        <v>17.012499999999996</v>
      </c>
      <c r="H102" s="1">
        <f>'Monthly Data'!CC102</f>
        <v>101</v>
      </c>
      <c r="J102" s="18">
        <f>'Res Predicted Monthly'!$T$9</f>
        <v>24255450.877923299</v>
      </c>
      <c r="K102" s="18">
        <f>E102*'Res Predicted Monthly'!$T$10</f>
        <v>2463335.4205608843</v>
      </c>
      <c r="L102" s="18">
        <f>F102*'Res Predicted Monthly'!$T$11</f>
        <v>6612195.9406908788</v>
      </c>
      <c r="M102" s="18">
        <f>G102*'Res Predicted Monthly'!$T$12</f>
        <v>257890.17175207773</v>
      </c>
      <c r="N102" s="18">
        <f>H102*'Res Predicted Monthly'!$T$13</f>
        <v>6448192.5453652609</v>
      </c>
      <c r="O102" s="18">
        <f t="shared" si="13"/>
        <v>40037064.956292398</v>
      </c>
      <c r="P102" s="18">
        <f t="shared" si="14"/>
        <v>2320417.8828447238</v>
      </c>
      <c r="Q102" s="279">
        <f t="shared" si="15"/>
        <v>6.1522379715409165E-2</v>
      </c>
    </row>
    <row r="103" spans="1:17" x14ac:dyDescent="0.25">
      <c r="A103" s="3">
        <f>'Monthly Data'!A103</f>
        <v>45078</v>
      </c>
      <c r="B103" s="1">
        <f t="shared" si="8"/>
        <v>2023</v>
      </c>
      <c r="C103" s="1">
        <f t="shared" si="9"/>
        <v>6</v>
      </c>
      <c r="D103" s="24">
        <f>'Monthly Data'!F103</f>
        <v>44244042.502498522</v>
      </c>
      <c r="E103" s="278">
        <f>'Monthly Data'!BF103</f>
        <v>0</v>
      </c>
      <c r="F103" s="278">
        <f>'Monthly Data'!BK103</f>
        <v>265.54166666666669</v>
      </c>
      <c r="G103" s="18">
        <f>'Monthly Data'!DG103</f>
        <v>51.385416666666671</v>
      </c>
      <c r="H103" s="1">
        <f>'Monthly Data'!CC103</f>
        <v>102</v>
      </c>
      <c r="J103" s="18">
        <f>'Res Predicted Monthly'!$T$9</f>
        <v>24255450.877923299</v>
      </c>
      <c r="K103" s="18">
        <f>E103*'Res Predicted Monthly'!$T$10</f>
        <v>0</v>
      </c>
      <c r="L103" s="18">
        <f>F103*'Res Predicted Monthly'!$T$11</f>
        <v>15558251.700211547</v>
      </c>
      <c r="M103" s="18">
        <f>G103*'Res Predicted Monthly'!$T$12</f>
        <v>778944.53664768545</v>
      </c>
      <c r="N103" s="18">
        <f>H103*'Res Predicted Monthly'!$T$13</f>
        <v>6512036.035913432</v>
      </c>
      <c r="O103" s="18">
        <f t="shared" si="13"/>
        <v>47104683.150695965</v>
      </c>
      <c r="P103" s="18">
        <f t="shared" si="14"/>
        <v>2860640.6481974423</v>
      </c>
      <c r="Q103" s="279">
        <f t="shared" si="15"/>
        <v>6.4655951092983832E-2</v>
      </c>
    </row>
    <row r="104" spans="1:17" x14ac:dyDescent="0.25">
      <c r="A104" s="3">
        <f>'Monthly Data'!A104</f>
        <v>45108</v>
      </c>
      <c r="B104" s="1">
        <f t="shared" si="8"/>
        <v>2023</v>
      </c>
      <c r="C104" s="1">
        <f t="shared" si="9"/>
        <v>7</v>
      </c>
      <c r="D104" s="24">
        <f>'Monthly Data'!F104</f>
        <v>53189542.788322985</v>
      </c>
      <c r="E104" s="278">
        <f>'Monthly Data'!BF104</f>
        <v>0</v>
      </c>
      <c r="F104" s="278">
        <f>'Monthly Data'!BK104</f>
        <v>347.78333333333342</v>
      </c>
      <c r="G104" s="18">
        <f>'Monthly Data'!DG104</f>
        <v>71.445833333333354</v>
      </c>
      <c r="H104" s="1">
        <f>'Monthly Data'!CC104</f>
        <v>103</v>
      </c>
      <c r="J104" s="18">
        <f>'Res Predicted Monthly'!$T$9</f>
        <v>24255450.877923299</v>
      </c>
      <c r="K104" s="18">
        <f>E104*'Res Predicted Monthly'!$T$10</f>
        <v>0</v>
      </c>
      <c r="L104" s="18">
        <f>F104*'Res Predicted Monthly'!$T$11</f>
        <v>20376842.192268282</v>
      </c>
      <c r="M104" s="18">
        <f>G104*'Res Predicted Monthly'!$T$12</f>
        <v>1083037.6622661962</v>
      </c>
      <c r="N104" s="18">
        <f>H104*'Res Predicted Monthly'!$T$13</f>
        <v>6575879.5264616022</v>
      </c>
      <c r="O104" s="18">
        <f t="shared" si="13"/>
        <v>52291210.258919373</v>
      </c>
      <c r="P104" s="18">
        <f t="shared" si="14"/>
        <v>-898332.52940361202</v>
      </c>
      <c r="Q104" s="279">
        <f t="shared" si="15"/>
        <v>1.6889269625397649E-2</v>
      </c>
    </row>
    <row r="105" spans="1:17" x14ac:dyDescent="0.25">
      <c r="A105" s="3">
        <f>'Monthly Data'!A105</f>
        <v>45139</v>
      </c>
      <c r="B105" s="1">
        <f t="shared" si="8"/>
        <v>2023</v>
      </c>
      <c r="C105" s="1">
        <f t="shared" si="9"/>
        <v>8</v>
      </c>
      <c r="D105" s="24">
        <f>'Monthly Data'!F105</f>
        <v>52400162.702367157</v>
      </c>
      <c r="E105" s="278">
        <f>'Monthly Data'!BF105</f>
        <v>0</v>
      </c>
      <c r="F105" s="278">
        <f>'Monthly Data'!BK105</f>
        <v>289.8048913043479</v>
      </c>
      <c r="G105" s="18">
        <f>'Monthly Data'!DG105</f>
        <v>56.951222826086969</v>
      </c>
      <c r="H105" s="1">
        <f>'Monthly Data'!CC105</f>
        <v>104</v>
      </c>
      <c r="J105" s="18">
        <f>'Res Predicted Monthly'!$T$9</f>
        <v>24255450.877923299</v>
      </c>
      <c r="K105" s="18">
        <f>E105*'Res Predicted Monthly'!$T$10</f>
        <v>0</v>
      </c>
      <c r="L105" s="18">
        <f>F105*'Res Predicted Monthly'!$T$11</f>
        <v>16979849.149344396</v>
      </c>
      <c r="M105" s="18">
        <f>G105*'Res Predicted Monthly'!$T$12</f>
        <v>863315.83459870226</v>
      </c>
      <c r="N105" s="18">
        <f>H105*'Res Predicted Monthly'!$T$13</f>
        <v>6639723.0170097733</v>
      </c>
      <c r="O105" s="18">
        <f t="shared" si="13"/>
        <v>48738338.878876172</v>
      </c>
      <c r="P105" s="18">
        <f t="shared" si="14"/>
        <v>-3661823.8234909847</v>
      </c>
      <c r="Q105" s="279">
        <f t="shared" si="15"/>
        <v>6.9881917052245404E-2</v>
      </c>
    </row>
    <row r="106" spans="1:17" x14ac:dyDescent="0.25">
      <c r="A106" s="3">
        <f>'Monthly Data'!A106</f>
        <v>45170</v>
      </c>
      <c r="B106" s="1">
        <f t="shared" si="8"/>
        <v>2023</v>
      </c>
      <c r="C106" s="1">
        <f t="shared" si="9"/>
        <v>9</v>
      </c>
      <c r="D106" s="24">
        <f>'Monthly Data'!F106</f>
        <v>46613666.744216718</v>
      </c>
      <c r="E106" s="278">
        <f>'Monthly Data'!BF106</f>
        <v>2.3583333333333378</v>
      </c>
      <c r="F106" s="278">
        <f>'Monthly Data'!BK106</f>
        <v>222.99166666666656</v>
      </c>
      <c r="G106" s="18">
        <f>'Monthly Data'!DG106</f>
        <v>40.747916666666654</v>
      </c>
      <c r="H106" s="1">
        <f>'Monthly Data'!CC106</f>
        <v>105</v>
      </c>
      <c r="J106" s="18">
        <f>'Res Predicted Monthly'!$T$9</f>
        <v>24255450.877923299</v>
      </c>
      <c r="K106" s="18">
        <f>E106*'Res Predicted Monthly'!$T$10</f>
        <v>84467.106579112544</v>
      </c>
      <c r="L106" s="18">
        <f>F106*'Res Predicted Monthly'!$T$11</f>
        <v>13065220.688716792</v>
      </c>
      <c r="M106" s="18">
        <f>G106*'Res Predicted Monthly'!$T$12</f>
        <v>617692.12212820083</v>
      </c>
      <c r="N106" s="18">
        <f>H106*'Res Predicted Monthly'!$T$13</f>
        <v>6703566.5075579444</v>
      </c>
      <c r="O106" s="18">
        <f t="shared" si="13"/>
        <v>44726397.302905351</v>
      </c>
      <c r="P106" s="18">
        <f t="shared" si="14"/>
        <v>-1887269.4413113669</v>
      </c>
      <c r="Q106" s="279">
        <f t="shared" si="15"/>
        <v>4.0487470159071261E-2</v>
      </c>
    </row>
    <row r="107" spans="1:17" x14ac:dyDescent="0.25">
      <c r="A107" s="3">
        <f>'Monthly Data'!A107</f>
        <v>45200</v>
      </c>
      <c r="B107" s="1">
        <f t="shared" si="8"/>
        <v>2023</v>
      </c>
      <c r="C107" s="1">
        <f t="shared" si="9"/>
        <v>10</v>
      </c>
      <c r="D107" s="24">
        <f>'Monthly Data'!F107</f>
        <v>39222076.661863647</v>
      </c>
      <c r="E107" s="278">
        <f>'Monthly Data'!BF107</f>
        <v>111.18333333333332</v>
      </c>
      <c r="F107" s="278">
        <f>'Monthly Data'!BK107</f>
        <v>85.929166666666674</v>
      </c>
      <c r="G107" s="18">
        <f>'Monthly Data'!DG107</f>
        <v>13.65625</v>
      </c>
      <c r="H107" s="1">
        <f>'Monthly Data'!CC107</f>
        <v>106</v>
      </c>
      <c r="J107" s="18">
        <f>'Res Predicted Monthly'!$T$9</f>
        <v>24255450.877923299</v>
      </c>
      <c r="K107" s="18">
        <f>E107*'Res Predicted Monthly'!$T$10</f>
        <v>3982191.2932103081</v>
      </c>
      <c r="L107" s="18">
        <f>F107*'Res Predicted Monthly'!$T$11</f>
        <v>5034643.4146157652</v>
      </c>
      <c r="M107" s="18">
        <f>G107*'Res Predicted Monthly'!$T$12</f>
        <v>207013.23485609476</v>
      </c>
      <c r="N107" s="18">
        <f>H107*'Res Predicted Monthly'!$T$13</f>
        <v>6767409.9981061155</v>
      </c>
      <c r="O107" s="18">
        <f t="shared" si="13"/>
        <v>40246708.818711586</v>
      </c>
      <c r="P107" s="18">
        <f t="shared" si="14"/>
        <v>1024632.1568479389</v>
      </c>
      <c r="Q107" s="279">
        <f t="shared" si="15"/>
        <v>2.6123862988728687E-2</v>
      </c>
    </row>
    <row r="108" spans="1:17" x14ac:dyDescent="0.25">
      <c r="A108" s="3">
        <f>'Monthly Data'!A108</f>
        <v>45231</v>
      </c>
      <c r="B108" s="1">
        <f t="shared" si="8"/>
        <v>2023</v>
      </c>
      <c r="C108" s="1">
        <f t="shared" si="9"/>
        <v>11</v>
      </c>
      <c r="D108" s="24">
        <f>'Monthly Data'!F108</f>
        <v>41842901.162587591</v>
      </c>
      <c r="E108" s="278">
        <f>'Monthly Data'!BF108</f>
        <v>330.59311594202904</v>
      </c>
      <c r="F108" s="278">
        <f>'Monthly Data'!BK108</f>
        <v>0.36249999999999893</v>
      </c>
      <c r="G108" s="18">
        <f>'Monthly Data'!DG108</f>
        <v>0</v>
      </c>
      <c r="H108" s="1">
        <f>'Monthly Data'!CC108</f>
        <v>107</v>
      </c>
      <c r="J108" s="18">
        <f>'Res Predicted Monthly'!$T$9</f>
        <v>24255450.877923299</v>
      </c>
      <c r="K108" s="18">
        <f>E108*'Res Predicted Monthly'!$T$10</f>
        <v>11840668.816365888</v>
      </c>
      <c r="L108" s="18">
        <f>F108*'Res Predicted Monthly'!$T$11</f>
        <v>21239.100861735453</v>
      </c>
      <c r="M108" s="18">
        <f>G108*'Res Predicted Monthly'!$T$12</f>
        <v>0</v>
      </c>
      <c r="N108" s="18">
        <f>H108*'Res Predicted Monthly'!$T$13</f>
        <v>6831253.4886542866</v>
      </c>
      <c r="O108" s="18">
        <f t="shared" si="13"/>
        <v>42948612.283805206</v>
      </c>
      <c r="P108" s="18">
        <f t="shared" si="14"/>
        <v>1105711.1212176159</v>
      </c>
      <c r="Q108" s="279">
        <f t="shared" si="15"/>
        <v>2.6425297732611569E-2</v>
      </c>
    </row>
    <row r="109" spans="1:17" x14ac:dyDescent="0.25">
      <c r="A109" s="3">
        <f>'Monthly Data'!A109</f>
        <v>45261</v>
      </c>
      <c r="B109" s="1">
        <f t="shared" si="8"/>
        <v>2023</v>
      </c>
      <c r="C109" s="1">
        <f t="shared" si="9"/>
        <v>12</v>
      </c>
      <c r="D109" s="24">
        <f>'Monthly Data'!F109</f>
        <v>46394021.128295548</v>
      </c>
      <c r="E109" s="278">
        <f>'Monthly Data'!BF109</f>
        <v>365.67916666666667</v>
      </c>
      <c r="F109" s="278">
        <f>'Monthly Data'!BK109</f>
        <v>0</v>
      </c>
      <c r="G109" s="18">
        <f>'Monthly Data'!DG109</f>
        <v>0</v>
      </c>
      <c r="H109" s="1">
        <f>'Monthly Data'!CC109</f>
        <v>108</v>
      </c>
      <c r="J109" s="18">
        <f>'Res Predicted Monthly'!$T$9</f>
        <v>24255450.877923299</v>
      </c>
      <c r="K109" s="18">
        <f>E109*'Res Predicted Monthly'!$T$10</f>
        <v>13097326.280393356</v>
      </c>
      <c r="L109" s="18">
        <f>F109*'Res Predicted Monthly'!$T$11</f>
        <v>0</v>
      </c>
      <c r="M109" s="18">
        <f>G109*'Res Predicted Monthly'!$T$12</f>
        <v>0</v>
      </c>
      <c r="N109" s="18">
        <f>H109*'Res Predicted Monthly'!$T$13</f>
        <v>6895096.9792024568</v>
      </c>
      <c r="O109" s="18">
        <f t="shared" si="13"/>
        <v>44247874.137519114</v>
      </c>
      <c r="P109" s="18">
        <f t="shared" si="14"/>
        <v>-2146146.9907764345</v>
      </c>
      <c r="Q109" s="279">
        <f t="shared" si="15"/>
        <v>4.625912862438878E-2</v>
      </c>
    </row>
    <row r="110" spans="1:17" x14ac:dyDescent="0.25">
      <c r="A110" s="3">
        <f>'Monthly Data'!A110</f>
        <v>45292</v>
      </c>
      <c r="B110" s="1">
        <f t="shared" si="8"/>
        <v>2024</v>
      </c>
      <c r="C110" s="1">
        <f t="shared" si="9"/>
        <v>1</v>
      </c>
      <c r="D110" s="24">
        <f>'Monthly Data'!F110</f>
        <v>49462744.048726559</v>
      </c>
      <c r="E110" s="278">
        <f>'Monthly Data'!BF110</f>
        <v>512.99583333333328</v>
      </c>
      <c r="F110" s="278">
        <f>'Monthly Data'!BK110</f>
        <v>0</v>
      </c>
      <c r="G110" s="18">
        <f>'Monthly Data'!DG110</f>
        <v>0</v>
      </c>
      <c r="H110" s="1">
        <f>'Monthly Data'!CC110</f>
        <v>109</v>
      </c>
      <c r="J110" s="18">
        <f>'Res Predicted Monthly'!$T$9</f>
        <v>24255450.877923299</v>
      </c>
      <c r="K110" s="18">
        <f>E110*'Res Predicted Monthly'!$T$10</f>
        <v>18373684.973345824</v>
      </c>
      <c r="L110" s="18">
        <f>F110*'Res Predicted Monthly'!$T$11</f>
        <v>0</v>
      </c>
      <c r="M110" s="18">
        <f>G110*'Res Predicted Monthly'!$T$12</f>
        <v>0</v>
      </c>
      <c r="N110" s="18">
        <f>H110*'Res Predicted Monthly'!$T$13</f>
        <v>6958940.4697506279</v>
      </c>
      <c r="O110" s="18">
        <f t="shared" si="13"/>
        <v>49588076.321019754</v>
      </c>
      <c r="P110" s="18">
        <f t="shared" si="14"/>
        <v>125332.27229319513</v>
      </c>
      <c r="Q110" s="279">
        <f t="shared" si="15"/>
        <v>2.5338722042943726E-3</v>
      </c>
    </row>
    <row r="111" spans="1:17" x14ac:dyDescent="0.25">
      <c r="A111" s="3">
        <f>'Monthly Data'!A111</f>
        <v>45323</v>
      </c>
      <c r="B111" s="1">
        <f t="shared" si="8"/>
        <v>2024</v>
      </c>
      <c r="C111" s="1">
        <f t="shared" si="9"/>
        <v>2</v>
      </c>
      <c r="D111" s="24">
        <f>'Monthly Data'!F111</f>
        <v>43224005.779384121</v>
      </c>
      <c r="E111" s="278">
        <f>'Monthly Data'!BF111</f>
        <v>426.96666666666664</v>
      </c>
      <c r="F111" s="278">
        <f>'Monthly Data'!BK111</f>
        <v>0</v>
      </c>
      <c r="G111" s="18">
        <f>'Monthly Data'!DG111</f>
        <v>0</v>
      </c>
      <c r="H111" s="1">
        <f>'Monthly Data'!CC111</f>
        <v>110</v>
      </c>
      <c r="J111" s="18">
        <f>'Res Predicted Monthly'!$T$9</f>
        <v>24255450.877923299</v>
      </c>
      <c r="K111" s="18">
        <f>E111*'Res Predicted Monthly'!$T$10</f>
        <v>15292426.405255836</v>
      </c>
      <c r="L111" s="18">
        <f>F111*'Res Predicted Monthly'!$T$11</f>
        <v>0</v>
      </c>
      <c r="M111" s="18">
        <f>G111*'Res Predicted Monthly'!$T$12</f>
        <v>0</v>
      </c>
      <c r="N111" s="18">
        <f>H111*'Res Predicted Monthly'!$T$13</f>
        <v>7022783.960298799</v>
      </c>
      <c r="O111" s="18">
        <f t="shared" si="13"/>
        <v>46570661.243477933</v>
      </c>
      <c r="P111" s="18">
        <f t="shared" si="14"/>
        <v>3346655.4640938118</v>
      </c>
      <c r="Q111" s="279">
        <f t="shared" si="15"/>
        <v>7.7425851763373896E-2</v>
      </c>
    </row>
    <row r="112" spans="1:17" x14ac:dyDescent="0.25">
      <c r="A112" s="3">
        <f>'Monthly Data'!A112</f>
        <v>45352</v>
      </c>
      <c r="B112" s="1">
        <f t="shared" si="8"/>
        <v>2024</v>
      </c>
      <c r="C112" s="1">
        <f t="shared" si="9"/>
        <v>3</v>
      </c>
      <c r="D112" s="24">
        <f>'Monthly Data'!F112</f>
        <v>44976905.780688122</v>
      </c>
      <c r="E112" s="278">
        <f>'Monthly Data'!BF112</f>
        <v>336.11249999999995</v>
      </c>
      <c r="F112" s="278">
        <f>'Monthly Data'!BK112</f>
        <v>0</v>
      </c>
      <c r="G112" s="18">
        <f>'Monthly Data'!DG112</f>
        <v>0</v>
      </c>
      <c r="H112" s="1">
        <f>'Monthly Data'!CC112</f>
        <v>111</v>
      </c>
      <c r="J112" s="18">
        <f>'Res Predicted Monthly'!$T$9</f>
        <v>24255450.877923299</v>
      </c>
      <c r="K112" s="18">
        <f>E112*'Res Predicted Monthly'!$T$10</f>
        <v>12038353.509571126</v>
      </c>
      <c r="L112" s="18">
        <f>F112*'Res Predicted Monthly'!$T$11</f>
        <v>0</v>
      </c>
      <c r="M112" s="18">
        <f>G112*'Res Predicted Monthly'!$T$12</f>
        <v>0</v>
      </c>
      <c r="N112" s="18">
        <f>H112*'Res Predicted Monthly'!$T$13</f>
        <v>7086627.4508469701</v>
      </c>
      <c r="O112" s="18">
        <f t="shared" si="13"/>
        <v>43380431.838341393</v>
      </c>
      <c r="P112" s="18">
        <f t="shared" si="14"/>
        <v>-1596473.9423467293</v>
      </c>
      <c r="Q112" s="279">
        <f t="shared" si="15"/>
        <v>3.5495415138855825E-2</v>
      </c>
    </row>
    <row r="113" spans="1:17" x14ac:dyDescent="0.25">
      <c r="A113" s="3">
        <f>'Monthly Data'!A113</f>
        <v>45383</v>
      </c>
      <c r="B113" s="1">
        <f t="shared" si="8"/>
        <v>2024</v>
      </c>
      <c r="C113" s="1">
        <f t="shared" si="9"/>
        <v>4</v>
      </c>
      <c r="D113" s="24">
        <f>'Monthly Data'!F113</f>
        <v>40981445.237707838</v>
      </c>
      <c r="E113" s="278">
        <f>'Monthly Data'!BF113</f>
        <v>188.29791666666671</v>
      </c>
      <c r="F113" s="278">
        <f>'Monthly Data'!BK113</f>
        <v>10.625</v>
      </c>
      <c r="G113" s="18">
        <f>'Monthly Data'!DG113</f>
        <v>0.59583333333333366</v>
      </c>
      <c r="H113" s="1">
        <f>'Monthly Data'!CC113</f>
        <v>112</v>
      </c>
      <c r="J113" s="18">
        <f>'Res Predicted Monthly'!$T$9</f>
        <v>24255450.877923299</v>
      </c>
      <c r="K113" s="18">
        <f>E113*'Res Predicted Monthly'!$T$10</f>
        <v>6744161.2137278402</v>
      </c>
      <c r="L113" s="18">
        <f>F113*'Res Predicted Monthly'!$T$11</f>
        <v>622525.3700853514</v>
      </c>
      <c r="M113" s="18">
        <f>G113*'Res Predicted Monthly'!$T$12</f>
        <v>9032.156394941745</v>
      </c>
      <c r="N113" s="18">
        <f>H113*'Res Predicted Monthly'!$T$13</f>
        <v>7150470.9413951412</v>
      </c>
      <c r="O113" s="18">
        <f t="shared" si="13"/>
        <v>38781640.559526578</v>
      </c>
      <c r="P113" s="18">
        <f t="shared" si="14"/>
        <v>-2199804.6781812608</v>
      </c>
      <c r="Q113" s="279">
        <f t="shared" si="15"/>
        <v>5.3678064924786426E-2</v>
      </c>
    </row>
    <row r="114" spans="1:17" x14ac:dyDescent="0.25">
      <c r="A114" s="3">
        <f>'Monthly Data'!A114</f>
        <v>45413</v>
      </c>
      <c r="B114" s="1">
        <f t="shared" si="8"/>
        <v>2024</v>
      </c>
      <c r="C114" s="1">
        <f t="shared" si="9"/>
        <v>5</v>
      </c>
      <c r="D114" s="24">
        <f>'Monthly Data'!F114</f>
        <v>40999479.224246085</v>
      </c>
      <c r="E114" s="278">
        <f>'Monthly Data'!BF114</f>
        <v>15.562499999999984</v>
      </c>
      <c r="F114" s="278">
        <f>'Monthly Data'!BK114</f>
        <v>169.12916666666669</v>
      </c>
      <c r="G114" s="18">
        <f>'Monthly Data'!DG114</f>
        <v>27.512500000000003</v>
      </c>
      <c r="H114" s="1">
        <f>'Monthly Data'!CC114</f>
        <v>113</v>
      </c>
      <c r="J114" s="18">
        <f>'Res Predicted Monthly'!$T$9</f>
        <v>24255450.877923299</v>
      </c>
      <c r="K114" s="18">
        <f>E114*'Res Predicted Monthly'!$T$10</f>
        <v>557393.36231976037</v>
      </c>
      <c r="L114" s="18">
        <f>F114*'Res Predicted Monthly'!$T$11</f>
        <v>9909383.253778236</v>
      </c>
      <c r="M114" s="18">
        <f>G114*'Res Predicted Monthly'!$T$12</f>
        <v>417058.24248811411</v>
      </c>
      <c r="N114" s="18">
        <f>H114*'Res Predicted Monthly'!$T$13</f>
        <v>7214314.4319433114</v>
      </c>
      <c r="O114" s="18">
        <f t="shared" si="13"/>
        <v>42353600.168452725</v>
      </c>
      <c r="P114" s="18">
        <f t="shared" si="14"/>
        <v>1354120.9442066401</v>
      </c>
      <c r="Q114" s="279">
        <f t="shared" si="15"/>
        <v>3.3027759616172055E-2</v>
      </c>
    </row>
    <row r="115" spans="1:17" x14ac:dyDescent="0.25">
      <c r="A115" s="3">
        <f>'Monthly Data'!A115</f>
        <v>45444</v>
      </c>
      <c r="B115" s="1">
        <f t="shared" si="8"/>
        <v>2024</v>
      </c>
      <c r="C115" s="1">
        <f t="shared" si="9"/>
        <v>6</v>
      </c>
      <c r="D115" s="24">
        <f>'Monthly Data'!F115</f>
        <v>45946444.049043909</v>
      </c>
      <c r="E115" s="278">
        <f>'Monthly Data'!BF115</f>
        <v>2.4583333333333321</v>
      </c>
      <c r="F115" s="278">
        <f>'Monthly Data'!BK115</f>
        <v>264.15416666666664</v>
      </c>
      <c r="G115" s="18">
        <f>'Monthly Data'!DG115</f>
        <v>51.038541666666667</v>
      </c>
      <c r="H115" s="1">
        <f>'Monthly Data'!CC115</f>
        <v>114</v>
      </c>
      <c r="J115" s="18">
        <f>'Res Predicted Monthly'!$T$9</f>
        <v>24255450.877923299</v>
      </c>
      <c r="K115" s="18">
        <f>E115*'Res Predicted Monthly'!$T$10</f>
        <v>88048.75067433971</v>
      </c>
      <c r="L115" s="18">
        <f>F115*'Res Predicted Monthly'!$T$11</f>
        <v>15476957.210706281</v>
      </c>
      <c r="M115" s="18">
        <f>G115*'Res Predicted Monthly'!$T$12</f>
        <v>773686.3057394413</v>
      </c>
      <c r="N115" s="18">
        <f>H115*'Res Predicted Monthly'!$T$13</f>
        <v>7278157.9224914825</v>
      </c>
      <c r="O115" s="18">
        <f t="shared" si="13"/>
        <v>47872301.067534842</v>
      </c>
      <c r="P115" s="18">
        <f t="shared" si="14"/>
        <v>1925857.0184909329</v>
      </c>
      <c r="Q115" s="279">
        <f t="shared" si="15"/>
        <v>4.1915257172791105E-2</v>
      </c>
    </row>
    <row r="116" spans="1:17" x14ac:dyDescent="0.25">
      <c r="A116" s="3">
        <f>'Monthly Data'!A116</f>
        <v>45474</v>
      </c>
      <c r="B116" s="1">
        <f t="shared" ref="B116:B121" si="16">YEAR(A116)</f>
        <v>2024</v>
      </c>
      <c r="C116" s="1">
        <f t="shared" ref="C116:C121" si="17">MONTH(A116)</f>
        <v>7</v>
      </c>
      <c r="D116" s="24">
        <f>'Monthly Data'!F116</f>
        <v>55632987.866458856</v>
      </c>
      <c r="E116" s="278">
        <f>'Monthly Data'!BF116</f>
        <v>0</v>
      </c>
      <c r="F116" s="278">
        <f>'Monthly Data'!BK116</f>
        <v>365.14166666666671</v>
      </c>
      <c r="G116" s="18">
        <f>'Monthly Data'!DG116</f>
        <v>75.785416666666663</v>
      </c>
      <c r="H116" s="1">
        <f>'Monthly Data'!CC116</f>
        <v>115</v>
      </c>
      <c r="J116" s="18">
        <f>'Res Predicted Monthly'!$T$9</f>
        <v>24255450.877923299</v>
      </c>
      <c r="K116" s="18">
        <f>E116*'Res Predicted Monthly'!$T$10</f>
        <v>0</v>
      </c>
      <c r="L116" s="18">
        <f>F116*'Res Predicted Monthly'!$T$11</f>
        <v>21393877.757670466</v>
      </c>
      <c r="M116" s="18">
        <f>G116*'Res Predicted Monthly'!$T$12</f>
        <v>1148820.8153104743</v>
      </c>
      <c r="N116" s="18">
        <f>H116*'Res Predicted Monthly'!$T$13</f>
        <v>7342001.4130396536</v>
      </c>
      <c r="O116" s="18">
        <f t="shared" si="13"/>
        <v>54140150.86394389</v>
      </c>
      <c r="P116" s="18">
        <f t="shared" si="14"/>
        <v>-1492837.0025149658</v>
      </c>
      <c r="Q116" s="279">
        <f t="shared" si="15"/>
        <v>2.6833665775750967E-2</v>
      </c>
    </row>
    <row r="117" spans="1:17" x14ac:dyDescent="0.25">
      <c r="A117" s="3">
        <f>'Monthly Data'!A117</f>
        <v>45505</v>
      </c>
      <c r="B117" s="1">
        <f t="shared" si="16"/>
        <v>2024</v>
      </c>
      <c r="C117" s="1">
        <f t="shared" si="17"/>
        <v>8</v>
      </c>
      <c r="D117" s="24">
        <f>'Monthly Data'!F117</f>
        <v>55407027.68387381</v>
      </c>
      <c r="E117" s="278">
        <f>'Monthly Data'!BF117</f>
        <v>0</v>
      </c>
      <c r="F117" s="278">
        <f>'Monthly Data'!BK117</f>
        <v>324.86666666666667</v>
      </c>
      <c r="G117" s="18">
        <f>'Monthly Data'!DG117</f>
        <v>65.716666666666669</v>
      </c>
      <c r="H117" s="1">
        <f>'Monthly Data'!CC117</f>
        <v>116</v>
      </c>
      <c r="J117" s="18">
        <f>'Res Predicted Monthly'!$T$9</f>
        <v>24255450.877923299</v>
      </c>
      <c r="K117" s="18">
        <f>E117*'Res Predicted Monthly'!$T$10</f>
        <v>0</v>
      </c>
      <c r="L117" s="18">
        <f>F117*'Res Predicted Monthly'!$T$11</f>
        <v>19034140.413652815</v>
      </c>
      <c r="M117" s="18">
        <f>G117*'Res Predicted Monthly'!$T$12</f>
        <v>996190.0046225253</v>
      </c>
      <c r="N117" s="18">
        <f>H117*'Res Predicted Monthly'!$T$13</f>
        <v>7405844.9035878247</v>
      </c>
      <c r="O117" s="18">
        <f t="shared" si="13"/>
        <v>51691626.199786469</v>
      </c>
      <c r="P117" s="18">
        <f t="shared" si="14"/>
        <v>-3715401.4840873405</v>
      </c>
      <c r="Q117" s="279">
        <f t="shared" si="15"/>
        <v>6.7056502386044908E-2</v>
      </c>
    </row>
    <row r="118" spans="1:17" x14ac:dyDescent="0.25">
      <c r="A118" s="3">
        <f>'Monthly Data'!A118</f>
        <v>45536</v>
      </c>
      <c r="B118" s="1">
        <f t="shared" si="16"/>
        <v>2024</v>
      </c>
      <c r="C118" s="1">
        <f t="shared" si="17"/>
        <v>9</v>
      </c>
      <c r="D118" s="24">
        <f>'Monthly Data'!F118</f>
        <v>47324482.501288757</v>
      </c>
      <c r="E118" s="278">
        <f>'Monthly Data'!BF118</f>
        <v>2.5625000000000036</v>
      </c>
      <c r="F118" s="278">
        <f>'Monthly Data'!BK118</f>
        <v>231.3</v>
      </c>
      <c r="G118" s="18">
        <f>'Monthly Data'!DG118</f>
        <v>42.824999999999996</v>
      </c>
      <c r="H118" s="1">
        <f>'Monthly Data'!CC118</f>
        <v>117</v>
      </c>
      <c r="J118" s="18">
        <f>'Res Predicted Monthly'!$T$9</f>
        <v>24255450.877923299</v>
      </c>
      <c r="K118" s="18">
        <f>E118*'Res Predicted Monthly'!$T$10</f>
        <v>91779.629940201732</v>
      </c>
      <c r="L118" s="18">
        <f>F118*'Res Predicted Monthly'!$T$11</f>
        <v>13552011.115363931</v>
      </c>
      <c r="M118" s="18">
        <f>G118*'Res Predicted Monthly'!$T$12</f>
        <v>649178.34564483352</v>
      </c>
      <c r="N118" s="18">
        <f>H118*'Res Predicted Monthly'!$T$13</f>
        <v>7469688.3941359948</v>
      </c>
      <c r="O118" s="18">
        <f t="shared" si="13"/>
        <v>46018108.363008261</v>
      </c>
      <c r="P118" s="18">
        <f t="shared" si="14"/>
        <v>-1306374.138280496</v>
      </c>
      <c r="Q118" s="279">
        <f t="shared" si="15"/>
        <v>2.7604615396373756E-2</v>
      </c>
    </row>
    <row r="119" spans="1:17" x14ac:dyDescent="0.25">
      <c r="A119" s="3">
        <f>'Monthly Data'!A119</f>
        <v>45566</v>
      </c>
      <c r="B119" s="1">
        <f t="shared" si="16"/>
        <v>2024</v>
      </c>
      <c r="C119" s="1">
        <f t="shared" si="17"/>
        <v>10</v>
      </c>
      <c r="D119" s="24">
        <f>'Monthly Data'!F119</f>
        <v>39896304.318703704</v>
      </c>
      <c r="E119" s="278">
        <f>'Monthly Data'!BF119</f>
        <v>122.06250000000001</v>
      </c>
      <c r="F119" s="278">
        <f>'Monthly Data'!BK119</f>
        <v>60.087500000000006</v>
      </c>
      <c r="G119" s="18">
        <f>'Monthly Data'!DG119</f>
        <v>7.7760416666666696</v>
      </c>
      <c r="H119" s="1">
        <f>'Monthly Data'!CC119</f>
        <v>118</v>
      </c>
      <c r="J119" s="18">
        <f>'Res Predicted Monthly'!$T$9</f>
        <v>24255450.877923299</v>
      </c>
      <c r="K119" s="18">
        <f>E119*'Res Predicted Monthly'!$T$10</f>
        <v>4371844.323736921</v>
      </c>
      <c r="L119" s="18">
        <f>F119*'Res Predicted Monthly'!$T$11</f>
        <v>3520564.0635297461</v>
      </c>
      <c r="M119" s="18">
        <f>G119*'Res Predicted Monthly'!$T$12</f>
        <v>117875.95714727293</v>
      </c>
      <c r="N119" s="18">
        <f>H119*'Res Predicted Monthly'!$T$13</f>
        <v>7533531.8846841659</v>
      </c>
      <c r="O119" s="18">
        <f t="shared" si="13"/>
        <v>39799267.107021406</v>
      </c>
      <c r="P119" s="18">
        <f t="shared" si="14"/>
        <v>-97037.211682297289</v>
      </c>
      <c r="Q119" s="279">
        <f t="shared" si="15"/>
        <v>2.4322356002484538E-3</v>
      </c>
    </row>
    <row r="120" spans="1:17" x14ac:dyDescent="0.25">
      <c r="A120" s="3">
        <f>'Monthly Data'!A120</f>
        <v>45597</v>
      </c>
      <c r="B120" s="1">
        <f t="shared" si="16"/>
        <v>2024</v>
      </c>
      <c r="C120" s="1">
        <f t="shared" si="17"/>
        <v>11</v>
      </c>
      <c r="D120" s="24">
        <f>'Monthly Data'!F120</f>
        <v>40946320.13611865</v>
      </c>
      <c r="E120" s="278">
        <f>'Monthly Data'!BF120</f>
        <v>251.79583333333335</v>
      </c>
      <c r="F120" s="278">
        <f>'Monthly Data'!BK120</f>
        <v>15.029166666666661</v>
      </c>
      <c r="G120" s="18">
        <f>'Monthly Data'!DG120</f>
        <v>2.3760416666666657</v>
      </c>
      <c r="H120" s="1">
        <f>'Monthly Data'!CC120</f>
        <v>119</v>
      </c>
      <c r="J120" s="18">
        <f>'Res Predicted Monthly'!$T$9</f>
        <v>24255450.877923299</v>
      </c>
      <c r="K120" s="18">
        <f>E120*'Res Predicted Monthly'!$T$10</f>
        <v>9018430.5966119077</v>
      </c>
      <c r="L120" s="18">
        <f>F120*'Res Predicted Monthly'!$T$11</f>
        <v>880568.23917563201</v>
      </c>
      <c r="M120" s="18">
        <f>G120*'Res Predicted Monthly'!$T$12</f>
        <v>36018.092197311365</v>
      </c>
      <c r="N120" s="18">
        <f>H120*'Res Predicted Monthly'!$T$13</f>
        <v>7597375.375232337</v>
      </c>
      <c r="O120" s="18">
        <f t="shared" si="13"/>
        <v>41787843.18114049</v>
      </c>
      <c r="P120" s="18">
        <f t="shared" si="14"/>
        <v>841523.04502183944</v>
      </c>
      <c r="Q120" s="279">
        <f t="shared" si="15"/>
        <v>2.0551860148222061E-2</v>
      </c>
    </row>
    <row r="121" spans="1:17" x14ac:dyDescent="0.25">
      <c r="A121" s="3">
        <f>'Monthly Data'!A121</f>
        <v>45627</v>
      </c>
      <c r="B121" s="1">
        <f t="shared" si="16"/>
        <v>2024</v>
      </c>
      <c r="C121" s="1">
        <f t="shared" si="17"/>
        <v>12</v>
      </c>
      <c r="D121" s="24">
        <f>'Monthly Data'!F121</f>
        <v>47984220.953533597</v>
      </c>
      <c r="E121" s="278">
        <f>'Monthly Data'!BF121</f>
        <v>474.57499999999999</v>
      </c>
      <c r="F121" s="278">
        <f>'Monthly Data'!BK121</f>
        <v>0</v>
      </c>
      <c r="G121" s="18">
        <f>'Monthly Data'!DG121</f>
        <v>0</v>
      </c>
      <c r="H121" s="1">
        <f>'Monthly Data'!CC121</f>
        <v>120</v>
      </c>
      <c r="J121" s="18">
        <f>'Res Predicted Monthly'!$T$9</f>
        <v>24255450.877923299</v>
      </c>
      <c r="K121" s="18">
        <f>E121*'Res Predicted Monthly'!$T$10</f>
        <v>16997587.464925338</v>
      </c>
      <c r="L121" s="18">
        <f>F121*'Res Predicted Monthly'!$T$11</f>
        <v>0</v>
      </c>
      <c r="M121" s="18">
        <f>G121*'Res Predicted Monthly'!$T$12</f>
        <v>0</v>
      </c>
      <c r="N121" s="18">
        <f>H121*'Res Predicted Monthly'!$T$13</f>
        <v>7661218.8657805081</v>
      </c>
      <c r="O121" s="18">
        <f t="shared" si="13"/>
        <v>48914257.208629146</v>
      </c>
      <c r="P121" s="18">
        <f t="shared" si="14"/>
        <v>930036.25509554893</v>
      </c>
      <c r="Q121" s="279">
        <f t="shared" si="15"/>
        <v>1.9382126803645861E-2</v>
      </c>
    </row>
    <row r="122" spans="1:17" x14ac:dyDescent="0.25">
      <c r="A122" s="3"/>
      <c r="G122" s="18"/>
      <c r="M122" s="18"/>
      <c r="Q122" s="279">
        <f>AVERAGE(Q2:Q121)</f>
        <v>4.5409589296759173E-2</v>
      </c>
    </row>
    <row r="123" spans="1:17" x14ac:dyDescent="0.25">
      <c r="A123" s="3"/>
      <c r="G123" s="18"/>
      <c r="M123" s="18"/>
    </row>
    <row r="124" spans="1:17" x14ac:dyDescent="0.25">
      <c r="A124" s="3"/>
      <c r="G124" s="18"/>
      <c r="M124" s="18"/>
    </row>
    <row r="125" spans="1:17" x14ac:dyDescent="0.25">
      <c r="A125" s="3"/>
      <c r="G125" s="18"/>
      <c r="M125" s="18"/>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Z141"/>
  <sheetViews>
    <sheetView topLeftCell="H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4.77734375" style="1" bestFit="1" customWidth="1"/>
    <col min="5" max="6" width="9.44140625" style="1" bestFit="1" customWidth="1"/>
    <col min="7" max="7" width="12.77734375" style="18" customWidth="1"/>
    <col min="8" max="8" width="17.77734375" style="1" customWidth="1"/>
    <col min="9" max="9" width="11.44140625" style="1" customWidth="1"/>
    <col min="10" max="10" width="9.33203125" style="1"/>
    <col min="11" max="11" width="14.77734375" style="1" bestFit="1" customWidth="1"/>
    <col min="12" max="13" width="12.88671875" style="1" bestFit="1" customWidth="1"/>
    <col min="14" max="14" width="14.44140625" style="1" bestFit="1" customWidth="1"/>
    <col min="15" max="16" width="12.44140625" style="1" customWidth="1"/>
    <col min="17" max="17" width="14.88671875" style="1" bestFit="1" customWidth="1"/>
    <col min="18" max="18" width="13.88671875" style="1" bestFit="1" customWidth="1"/>
    <col min="19" max="19" width="9.44140625" style="1" bestFit="1" customWidth="1"/>
    <col min="20" max="20" width="9.33203125" style="1"/>
    <col min="21" max="21" width="13.77734375" style="1" bestFit="1" customWidth="1"/>
    <col min="22" max="22" width="14.6640625" style="1" customWidth="1"/>
    <col min="23" max="23" width="11.109375" style="1" bestFit="1" customWidth="1"/>
    <col min="24" max="26" width="12.77734375" style="1" customWidth="1"/>
    <col min="27" max="16384" width="9.33203125" style="1"/>
  </cols>
  <sheetData>
    <row r="1" spans="1:25"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K1" s="276" t="s">
        <v>152</v>
      </c>
      <c r="L1" s="276" t="str">
        <f>E1</f>
        <v>HDD16</v>
      </c>
      <c r="M1" s="276" t="str">
        <f>F1</f>
        <v>CDD14</v>
      </c>
      <c r="N1" s="276" t="str">
        <f>G1</f>
        <v>COVID_AM</v>
      </c>
      <c r="O1" s="276" t="str">
        <f>H1</f>
        <v>Month Days</v>
      </c>
      <c r="P1" s="276" t="str">
        <f>I1</f>
        <v>GS_lt_50_Customers</v>
      </c>
      <c r="Q1" s="274" t="s">
        <v>196</v>
      </c>
      <c r="R1" s="274" t="s">
        <v>197</v>
      </c>
    </row>
    <row r="2" spans="1:25" x14ac:dyDescent="0.25">
      <c r="A2" s="3">
        <f>'Monthly Data'!A2</f>
        <v>42005</v>
      </c>
      <c r="B2" s="1">
        <f t="shared" ref="B2:B59" si="0">YEAR(A2)</f>
        <v>2015</v>
      </c>
      <c r="C2" s="1">
        <f t="shared" ref="C2:C59" si="1">MONTH(A2)</f>
        <v>1</v>
      </c>
      <c r="D2" s="24">
        <f>'Monthly Data'!J2</f>
        <v>13822388.796796555</v>
      </c>
      <c r="E2" s="278">
        <f>'Monthly Data'!BD2</f>
        <v>735.89184782608675</v>
      </c>
      <c r="F2" s="278">
        <f>'Monthly Data'!BG2</f>
        <v>0</v>
      </c>
      <c r="G2" s="4">
        <f>'Monthly Data'!CG2</f>
        <v>0</v>
      </c>
      <c r="H2" s="4">
        <f>'Monthly Data'!CD2</f>
        <v>31</v>
      </c>
      <c r="I2" s="18">
        <f>'Monthly Data'!K2</f>
        <v>3993</v>
      </c>
      <c r="K2" s="18">
        <f>'GS&lt;50 Predicted Monthly'!$V$8</f>
        <v>-5629453.6994364997</v>
      </c>
      <c r="L2" s="18">
        <f>E2*'GS&lt;50 Predicted Monthly'!$V$9</f>
        <v>3974453.7159170643</v>
      </c>
      <c r="M2" s="18">
        <f>F2*'GS&lt;50 Predicted Monthly'!$V$10</f>
        <v>0</v>
      </c>
      <c r="N2" s="18">
        <f>G2*'GS&lt;50 Predicted Monthly'!$V$11</f>
        <v>0</v>
      </c>
      <c r="O2" s="18">
        <f>H2*'GS&lt;50 Predicted Monthly'!$V$12</f>
        <v>8349205.4233871475</v>
      </c>
      <c r="P2" s="18">
        <f>I2*'GS&lt;50 Predicted Monthly'!$V$13</f>
        <v>6095002.8451763783</v>
      </c>
      <c r="Q2" s="18">
        <f t="shared" ref="Q2:Q33" si="2">SUM(K2:P2)</f>
        <v>12789208.285044091</v>
      </c>
      <c r="R2" s="18">
        <f t="shared" ref="R2:R33" si="3">Q2-D2</f>
        <v>-1033180.5117524639</v>
      </c>
      <c r="S2" s="279">
        <f t="shared" ref="S2:S33" si="4">ABS(R2/D2)</f>
        <v>7.4746885429232857E-2</v>
      </c>
    </row>
    <row r="3" spans="1:25" x14ac:dyDescent="0.25">
      <c r="A3" s="3">
        <f>'Monthly Data'!A3</f>
        <v>42036</v>
      </c>
      <c r="B3" s="1">
        <f t="shared" si="0"/>
        <v>2015</v>
      </c>
      <c r="C3" s="1">
        <f t="shared" si="1"/>
        <v>2</v>
      </c>
      <c r="D3" s="24">
        <f>'Monthly Data'!J3</f>
        <v>12768909.645815352</v>
      </c>
      <c r="E3" s="278">
        <f>'Monthly Data'!BD3</f>
        <v>809.85434782608706</v>
      </c>
      <c r="F3" s="278">
        <f>'Monthly Data'!BG3</f>
        <v>0</v>
      </c>
      <c r="G3" s="4">
        <f>'Monthly Data'!CG3</f>
        <v>0</v>
      </c>
      <c r="H3" s="4">
        <f>'Monthly Data'!CD3</f>
        <v>28</v>
      </c>
      <c r="I3" s="18">
        <f>'Monthly Data'!K3</f>
        <v>3993</v>
      </c>
      <c r="K3" s="18">
        <f>'GS&lt;50 Predicted Monthly'!$V$8</f>
        <v>-5629453.6994364997</v>
      </c>
      <c r="L3" s="18">
        <f>E3*'GS&lt;50 Predicted Monthly'!$V$9</f>
        <v>4373915.3132046442</v>
      </c>
      <c r="M3" s="18">
        <f>F3*'GS&lt;50 Predicted Monthly'!$V$10</f>
        <v>0</v>
      </c>
      <c r="N3" s="18">
        <f>G3*'GS&lt;50 Predicted Monthly'!$V$11</f>
        <v>0</v>
      </c>
      <c r="O3" s="18">
        <f>H3*'GS&lt;50 Predicted Monthly'!$V$12</f>
        <v>7541217.8017690368</v>
      </c>
      <c r="P3" s="18">
        <f>I3*'GS&lt;50 Predicted Monthly'!$V$13</f>
        <v>6095002.8451763783</v>
      </c>
      <c r="Q3" s="18">
        <f t="shared" si="2"/>
        <v>12380682.260713559</v>
      </c>
      <c r="R3" s="18">
        <f t="shared" si="3"/>
        <v>-388227.38510179333</v>
      </c>
      <c r="S3" s="279">
        <f t="shared" si="4"/>
        <v>3.0404114045009617E-2</v>
      </c>
      <c r="U3" s="1" t="s">
        <v>201</v>
      </c>
    </row>
    <row r="4" spans="1:25" x14ac:dyDescent="0.25">
      <c r="A4" s="3">
        <f>'Monthly Data'!A4</f>
        <v>42064</v>
      </c>
      <c r="B4" s="1">
        <f t="shared" si="0"/>
        <v>2015</v>
      </c>
      <c r="C4" s="1">
        <f t="shared" si="1"/>
        <v>3</v>
      </c>
      <c r="D4" s="24">
        <f>'Monthly Data'!J4</f>
        <v>12329126.124219459</v>
      </c>
      <c r="E4" s="278">
        <f>'Monthly Data'!BD4</f>
        <v>575.79999999999995</v>
      </c>
      <c r="F4" s="278">
        <f>'Monthly Data'!BG4</f>
        <v>0</v>
      </c>
      <c r="G4" s="4">
        <f>'Monthly Data'!CG4</f>
        <v>0</v>
      </c>
      <c r="H4" s="4">
        <f>'Monthly Data'!CD4</f>
        <v>31</v>
      </c>
      <c r="I4" s="18">
        <f>'Monthly Data'!K4</f>
        <v>3986</v>
      </c>
      <c r="K4" s="18">
        <f>'GS&lt;50 Predicted Monthly'!$V$8</f>
        <v>-5629453.6994364997</v>
      </c>
      <c r="L4" s="18">
        <f>E4*'GS&lt;50 Predicted Monthly'!$V$9</f>
        <v>3109818.9990628683</v>
      </c>
      <c r="M4" s="18">
        <f>F4*'GS&lt;50 Predicted Monthly'!$V$10</f>
        <v>0</v>
      </c>
      <c r="N4" s="18">
        <f>G4*'GS&lt;50 Predicted Monthly'!$V$11</f>
        <v>0</v>
      </c>
      <c r="O4" s="18">
        <f>H4*'GS&lt;50 Predicted Monthly'!$V$12</f>
        <v>8349205.4233871475</v>
      </c>
      <c r="P4" s="18">
        <f>I4*'GS&lt;50 Predicted Monthly'!$V$13</f>
        <v>6084317.8915284351</v>
      </c>
      <c r="Q4" s="18">
        <f t="shared" si="2"/>
        <v>11913888.614541952</v>
      </c>
      <c r="R4" s="18">
        <f t="shared" si="3"/>
        <v>-415237.50967750698</v>
      </c>
      <c r="S4" s="279">
        <f t="shared" si="4"/>
        <v>3.3679395075844852E-2</v>
      </c>
      <c r="U4" s="1" t="s">
        <v>167</v>
      </c>
    </row>
    <row r="5" spans="1:25" x14ac:dyDescent="0.25">
      <c r="A5" s="3">
        <f>'Monthly Data'!A5</f>
        <v>42095</v>
      </c>
      <c r="B5" s="1">
        <f t="shared" si="0"/>
        <v>2015</v>
      </c>
      <c r="C5" s="1">
        <f t="shared" si="1"/>
        <v>4</v>
      </c>
      <c r="D5" s="24">
        <f>'Monthly Data'!J5</f>
        <v>10623916.171153571</v>
      </c>
      <c r="E5" s="278">
        <f>'Monthly Data'!BD5</f>
        <v>286.75037878787873</v>
      </c>
      <c r="F5" s="278">
        <f>'Monthly Data'!BG5</f>
        <v>0</v>
      </c>
      <c r="G5" s="4">
        <f>'Monthly Data'!CG5</f>
        <v>0</v>
      </c>
      <c r="H5" s="4">
        <f>'Monthly Data'!CD5</f>
        <v>30</v>
      </c>
      <c r="I5" s="18">
        <f>'Monthly Data'!K5</f>
        <v>3993</v>
      </c>
      <c r="K5" s="18">
        <f>'GS&lt;50 Predicted Monthly'!$V$8</f>
        <v>-5629453.6994364997</v>
      </c>
      <c r="L5" s="18">
        <f>E5*'GS&lt;50 Predicted Monthly'!$V$9</f>
        <v>1548700.5487027082</v>
      </c>
      <c r="M5" s="18">
        <f>F5*'GS&lt;50 Predicted Monthly'!$V$10</f>
        <v>0</v>
      </c>
      <c r="N5" s="18">
        <f>G5*'GS&lt;50 Predicted Monthly'!$V$11</f>
        <v>0</v>
      </c>
      <c r="O5" s="18">
        <f>H5*'GS&lt;50 Predicted Monthly'!$V$12</f>
        <v>8079876.2161811106</v>
      </c>
      <c r="P5" s="18">
        <f>I5*'GS&lt;50 Predicted Monthly'!$V$13</f>
        <v>6095002.8451763783</v>
      </c>
      <c r="Q5" s="18">
        <f t="shared" si="2"/>
        <v>10094125.910623698</v>
      </c>
      <c r="R5" s="18">
        <f t="shared" si="3"/>
        <v>-529790.26052987389</v>
      </c>
      <c r="S5" s="279">
        <f t="shared" si="4"/>
        <v>4.9867699631175454E-2</v>
      </c>
      <c r="U5" s="1" t="s">
        <v>202</v>
      </c>
    </row>
    <row r="6" spans="1:25" x14ac:dyDescent="0.25">
      <c r="A6" s="3">
        <f>'Monthly Data'!A6</f>
        <v>42125</v>
      </c>
      <c r="B6" s="1">
        <f t="shared" si="0"/>
        <v>2015</v>
      </c>
      <c r="C6" s="1">
        <f t="shared" si="1"/>
        <v>5</v>
      </c>
      <c r="D6" s="24">
        <f>'Monthly Data'!J6</f>
        <v>10188832.832931003</v>
      </c>
      <c r="E6" s="278">
        <f>'Monthly Data'!BD6</f>
        <v>67.211775362318832</v>
      </c>
      <c r="F6" s="278">
        <f>'Monthly Data'!BG6</f>
        <v>62.881547619047637</v>
      </c>
      <c r="G6" s="4">
        <f>'Monthly Data'!CG6</f>
        <v>0</v>
      </c>
      <c r="H6" s="4">
        <f>'Monthly Data'!CD6</f>
        <v>31</v>
      </c>
      <c r="I6" s="18">
        <f>'Monthly Data'!K6</f>
        <v>3998</v>
      </c>
      <c r="K6" s="18">
        <f>'GS&lt;50 Predicted Monthly'!$V$8</f>
        <v>-5629453.6994364997</v>
      </c>
      <c r="L6" s="18">
        <f>E6*'GS&lt;50 Predicted Monthly'!$V$9</f>
        <v>363001.83393970947</v>
      </c>
      <c r="M6" s="18">
        <f>F6*'GS&lt;50 Predicted Monthly'!$V$10</f>
        <v>793465.94539451483</v>
      </c>
      <c r="N6" s="18">
        <f>G6*'GS&lt;50 Predicted Monthly'!$V$11</f>
        <v>0</v>
      </c>
      <c r="O6" s="18">
        <f>H6*'GS&lt;50 Predicted Monthly'!$V$12</f>
        <v>8349205.4233871475</v>
      </c>
      <c r="P6" s="18">
        <f>I6*'GS&lt;50 Predicted Monthly'!$V$13</f>
        <v>6102634.9549249085</v>
      </c>
      <c r="Q6" s="18">
        <f t="shared" si="2"/>
        <v>9978854.458209781</v>
      </c>
      <c r="R6" s="18">
        <f t="shared" si="3"/>
        <v>-209978.37472122163</v>
      </c>
      <c r="S6" s="279">
        <f t="shared" si="4"/>
        <v>2.0608677967760666E-2</v>
      </c>
    </row>
    <row r="7" spans="1:25" x14ac:dyDescent="0.25">
      <c r="A7" s="3">
        <f>'Monthly Data'!A7</f>
        <v>42156</v>
      </c>
      <c r="B7" s="1">
        <f t="shared" si="0"/>
        <v>2015</v>
      </c>
      <c r="C7" s="1">
        <f t="shared" si="1"/>
        <v>6</v>
      </c>
      <c r="D7" s="24">
        <f>'Monthly Data'!J7</f>
        <v>10184617.708334386</v>
      </c>
      <c r="E7" s="278">
        <f>'Monthly Data'!BD7</f>
        <v>17.725000000000009</v>
      </c>
      <c r="F7" s="278">
        <f>'Monthly Data'!BG7</f>
        <v>95.599999999999966</v>
      </c>
      <c r="G7" s="4">
        <f>'Monthly Data'!CG7</f>
        <v>0</v>
      </c>
      <c r="H7" s="4">
        <f>'Monthly Data'!CD7</f>
        <v>30</v>
      </c>
      <c r="I7" s="18">
        <f>'Monthly Data'!K7</f>
        <v>4011</v>
      </c>
      <c r="K7" s="18">
        <f>'GS&lt;50 Predicted Monthly'!$V$8</f>
        <v>-5629453.6994364997</v>
      </c>
      <c r="L7" s="18">
        <f>E7*'GS&lt;50 Predicted Monthly'!$V$9</f>
        <v>95730.360816931861</v>
      </c>
      <c r="M7" s="18">
        <f>F7*'GS&lt;50 Predicted Monthly'!$V$10</f>
        <v>1206321.2063301385</v>
      </c>
      <c r="N7" s="18">
        <f>G7*'GS&lt;50 Predicted Monthly'!$V$11</f>
        <v>0</v>
      </c>
      <c r="O7" s="18">
        <f>H7*'GS&lt;50 Predicted Monthly'!$V$12</f>
        <v>8079876.2161811106</v>
      </c>
      <c r="P7" s="18">
        <f>I7*'GS&lt;50 Predicted Monthly'!$V$13</f>
        <v>6122478.440271087</v>
      </c>
      <c r="Q7" s="18">
        <f t="shared" si="2"/>
        <v>9874952.5241627693</v>
      </c>
      <c r="R7" s="18">
        <f t="shared" si="3"/>
        <v>-309665.18417161703</v>
      </c>
      <c r="S7" s="279">
        <f t="shared" si="4"/>
        <v>3.0405184862089471E-2</v>
      </c>
      <c r="V7" s="1" t="s">
        <v>148</v>
      </c>
      <c r="W7" s="1" t="s">
        <v>149</v>
      </c>
      <c r="X7" s="1" t="s">
        <v>150</v>
      </c>
      <c r="Y7" s="1" t="s">
        <v>151</v>
      </c>
    </row>
    <row r="8" spans="1:25" x14ac:dyDescent="0.25">
      <c r="A8" s="3">
        <f>'Monthly Data'!A8</f>
        <v>42186</v>
      </c>
      <c r="B8" s="1">
        <f t="shared" si="0"/>
        <v>2015</v>
      </c>
      <c r="C8" s="1">
        <f t="shared" si="1"/>
        <v>7</v>
      </c>
      <c r="D8" s="24">
        <f>'Monthly Data'!J8</f>
        <v>11315953.589151742</v>
      </c>
      <c r="E8" s="278">
        <f>'Monthly Data'!BD8</f>
        <v>0</v>
      </c>
      <c r="F8" s="278">
        <f>'Monthly Data'!BG8</f>
        <v>205.53749999999997</v>
      </c>
      <c r="G8" s="4">
        <f>'Monthly Data'!CG8</f>
        <v>0</v>
      </c>
      <c r="H8" s="4">
        <f>'Monthly Data'!CD8</f>
        <v>31</v>
      </c>
      <c r="I8" s="18">
        <f>'Monthly Data'!K8</f>
        <v>4021</v>
      </c>
      <c r="K8" s="18">
        <f>'GS&lt;50 Predicted Monthly'!$V$8</f>
        <v>-5629453.6994364997</v>
      </c>
      <c r="L8" s="18">
        <f>E8*'GS&lt;50 Predicted Monthly'!$V$9</f>
        <v>0</v>
      </c>
      <c r="M8" s="18">
        <f>F8*'GS&lt;50 Predicted Monthly'!$V$10</f>
        <v>2593559.0475531472</v>
      </c>
      <c r="N8" s="18">
        <f>G8*'GS&lt;50 Predicted Monthly'!$V$11</f>
        <v>0</v>
      </c>
      <c r="O8" s="18">
        <f>H8*'GS&lt;50 Predicted Monthly'!$V$12</f>
        <v>8349205.4233871475</v>
      </c>
      <c r="P8" s="18">
        <f>I8*'GS&lt;50 Predicted Monthly'!$V$13</f>
        <v>6137742.6597681483</v>
      </c>
      <c r="Q8" s="18">
        <f t="shared" si="2"/>
        <v>11451053.431271944</v>
      </c>
      <c r="R8" s="18">
        <f t="shared" si="3"/>
        <v>135099.84212020226</v>
      </c>
      <c r="S8" s="279">
        <f t="shared" si="4"/>
        <v>1.1938882662943965E-2</v>
      </c>
      <c r="U8" s="1" t="s">
        <v>152</v>
      </c>
      <c r="V8" s="1">
        <v>-5629453.6994364997</v>
      </c>
      <c r="W8" s="1">
        <v>3211570.5418865001</v>
      </c>
      <c r="X8" s="1">
        <v>-1.75286627711117</v>
      </c>
      <c r="Y8" s="283">
        <v>8.2313237022292096E-2</v>
      </c>
    </row>
    <row r="9" spans="1:25" x14ac:dyDescent="0.25">
      <c r="A9" s="3">
        <f>'Monthly Data'!A9</f>
        <v>42217</v>
      </c>
      <c r="B9" s="1">
        <f t="shared" si="0"/>
        <v>2015</v>
      </c>
      <c r="C9" s="1">
        <f t="shared" si="1"/>
        <v>8</v>
      </c>
      <c r="D9" s="24">
        <f>'Monthly Data'!J9</f>
        <v>11031577.87167096</v>
      </c>
      <c r="E9" s="278">
        <f>'Monthly Data'!BD9</f>
        <v>0.49166666666666714</v>
      </c>
      <c r="F9" s="278">
        <f>'Monthly Data'!BG9</f>
        <v>167.94166666666666</v>
      </c>
      <c r="G9" s="4">
        <f>'Monthly Data'!CG9</f>
        <v>0</v>
      </c>
      <c r="H9" s="4">
        <f>'Monthly Data'!CD9</f>
        <v>31</v>
      </c>
      <c r="I9" s="18">
        <f>'Monthly Data'!K9</f>
        <v>4021</v>
      </c>
      <c r="K9" s="18">
        <f>'GS&lt;50 Predicted Monthly'!$V$8</f>
        <v>-5629453.6994364997</v>
      </c>
      <c r="L9" s="18">
        <f>E9*'GS&lt;50 Predicted Monthly'!$V$9</f>
        <v>2655.4260875406594</v>
      </c>
      <c r="M9" s="18">
        <f>F9*'GS&lt;50 Predicted Monthly'!$V$10</f>
        <v>2119158.9322848055</v>
      </c>
      <c r="N9" s="18">
        <f>G9*'GS&lt;50 Predicted Monthly'!$V$11</f>
        <v>0</v>
      </c>
      <c r="O9" s="18">
        <f>H9*'GS&lt;50 Predicted Monthly'!$V$12</f>
        <v>8349205.4233871475</v>
      </c>
      <c r="P9" s="18">
        <f>I9*'GS&lt;50 Predicted Monthly'!$V$13</f>
        <v>6137742.6597681483</v>
      </c>
      <c r="Q9" s="18">
        <f t="shared" si="2"/>
        <v>10979308.742091142</v>
      </c>
      <c r="R9" s="18">
        <f t="shared" si="3"/>
        <v>-52269.129579817876</v>
      </c>
      <c r="S9" s="279">
        <f t="shared" si="4"/>
        <v>4.7381372082813972E-3</v>
      </c>
      <c r="U9" s="1" t="s">
        <v>55</v>
      </c>
      <c r="V9" s="1">
        <v>5400.86661872676</v>
      </c>
      <c r="W9" s="1">
        <v>286.85192193237498</v>
      </c>
      <c r="X9" s="1">
        <v>18.8280649554093</v>
      </c>
      <c r="Y9" s="283">
        <v>8.8150742454983094E-37</v>
      </c>
    </row>
    <row r="10" spans="1:25" x14ac:dyDescent="0.25">
      <c r="A10" s="3">
        <f>'Monthly Data'!A10</f>
        <v>42248</v>
      </c>
      <c r="B10" s="1">
        <f t="shared" si="0"/>
        <v>2015</v>
      </c>
      <c r="C10" s="1">
        <f t="shared" si="1"/>
        <v>9</v>
      </c>
      <c r="D10" s="24">
        <f>'Monthly Data'!J10</f>
        <v>10798348.741574915</v>
      </c>
      <c r="E10" s="278">
        <f>'Monthly Data'!BD10</f>
        <v>18.695833333333333</v>
      </c>
      <c r="F10" s="278">
        <f>'Monthly Data'!BG10</f>
        <v>134.9267857142857</v>
      </c>
      <c r="G10" s="4">
        <f>'Monthly Data'!CG10</f>
        <v>0</v>
      </c>
      <c r="H10" s="4">
        <f>'Monthly Data'!CD10</f>
        <v>30</v>
      </c>
      <c r="I10" s="18">
        <f>'Monthly Data'!K10</f>
        <v>4033</v>
      </c>
      <c r="K10" s="18">
        <f>'GS&lt;50 Predicted Monthly'!$V$8</f>
        <v>-5629453.6994364997</v>
      </c>
      <c r="L10" s="18">
        <f>E10*'GS&lt;50 Predicted Monthly'!$V$9</f>
        <v>100973.70215927904</v>
      </c>
      <c r="M10" s="18">
        <f>F10*'GS&lt;50 Predicted Monthly'!$V$10</f>
        <v>1702563.2103462894</v>
      </c>
      <c r="N10" s="18">
        <f>G10*'GS&lt;50 Predicted Monthly'!$V$11</f>
        <v>0</v>
      </c>
      <c r="O10" s="18">
        <f>H10*'GS&lt;50 Predicted Monthly'!$V$12</f>
        <v>8079876.2161811106</v>
      </c>
      <c r="P10" s="18">
        <f>I10*'GS&lt;50 Predicted Monthly'!$V$13</f>
        <v>6156059.7231646208</v>
      </c>
      <c r="Q10" s="18">
        <f t="shared" si="2"/>
        <v>10410019.152414799</v>
      </c>
      <c r="R10" s="18">
        <f t="shared" si="3"/>
        <v>-388329.58916011639</v>
      </c>
      <c r="S10" s="279">
        <f t="shared" si="4"/>
        <v>3.5961941816622545E-2</v>
      </c>
      <c r="U10" s="1" t="s">
        <v>58</v>
      </c>
      <c r="V10" s="1">
        <v>12618.422660357101</v>
      </c>
      <c r="W10" s="1">
        <v>695.367719737583</v>
      </c>
      <c r="X10" s="1">
        <v>18.146402690534799</v>
      </c>
      <c r="Y10" s="283">
        <v>2.0799805890420799E-35</v>
      </c>
    </row>
    <row r="11" spans="1:25" x14ac:dyDescent="0.25">
      <c r="A11" s="3">
        <f>'Monthly Data'!A11</f>
        <v>42278</v>
      </c>
      <c r="B11" s="1">
        <f t="shared" si="0"/>
        <v>2015</v>
      </c>
      <c r="C11" s="1">
        <f t="shared" si="1"/>
        <v>10</v>
      </c>
      <c r="D11" s="24">
        <f>'Monthly Data'!J11</f>
        <v>10006451.417295149</v>
      </c>
      <c r="E11" s="278">
        <f>'Monthly Data'!BD11</f>
        <v>215.98749999999998</v>
      </c>
      <c r="F11" s="278">
        <f>'Monthly Data'!BG11</f>
        <v>4.3583333333333325</v>
      </c>
      <c r="G11" s="4">
        <f>'Monthly Data'!CG11</f>
        <v>0</v>
      </c>
      <c r="H11" s="4">
        <f>'Monthly Data'!CD11</f>
        <v>31</v>
      </c>
      <c r="I11" s="18">
        <f>'Monthly Data'!K11</f>
        <v>4052</v>
      </c>
      <c r="K11" s="18">
        <f>'GS&lt;50 Predicted Monthly'!$V$8</f>
        <v>-5629453.6994364997</v>
      </c>
      <c r="L11" s="18">
        <f>E11*'GS&lt;50 Predicted Monthly'!$V$9</f>
        <v>1166519.6788122461</v>
      </c>
      <c r="M11" s="18">
        <f>F11*'GS&lt;50 Predicted Monthly'!$V$10</f>
        <v>54995.292094723016</v>
      </c>
      <c r="N11" s="18">
        <f>G11*'GS&lt;50 Predicted Monthly'!$V$11</f>
        <v>0</v>
      </c>
      <c r="O11" s="18">
        <f>H11*'GS&lt;50 Predicted Monthly'!$V$12</f>
        <v>8349205.4233871475</v>
      </c>
      <c r="P11" s="18">
        <f>I11*'GS&lt;50 Predicted Monthly'!$V$13</f>
        <v>6185061.7402090365</v>
      </c>
      <c r="Q11" s="18">
        <f t="shared" si="2"/>
        <v>10126328.435066653</v>
      </c>
      <c r="R11" s="18">
        <f t="shared" si="3"/>
        <v>119877.01777150482</v>
      </c>
      <c r="S11" s="279">
        <f t="shared" si="4"/>
        <v>1.1979972996651881E-2</v>
      </c>
      <c r="U11" s="1" t="s">
        <v>84</v>
      </c>
      <c r="V11" s="1">
        <v>-1579307.60597169</v>
      </c>
      <c r="W11" s="1">
        <v>323895.99412113702</v>
      </c>
      <c r="X11" s="1">
        <v>-4.8759714063676602</v>
      </c>
      <c r="Y11" s="283">
        <v>3.53580200344461E-6</v>
      </c>
    </row>
    <row r="12" spans="1:25" x14ac:dyDescent="0.25">
      <c r="A12" s="3">
        <f>'Monthly Data'!A12</f>
        <v>42309</v>
      </c>
      <c r="B12" s="1">
        <f t="shared" si="0"/>
        <v>2015</v>
      </c>
      <c r="C12" s="1">
        <f t="shared" si="1"/>
        <v>11</v>
      </c>
      <c r="D12" s="24">
        <f>'Monthly Data'!J12</f>
        <v>10647674.270384375</v>
      </c>
      <c r="E12" s="278">
        <f>'Monthly Data'!BD12</f>
        <v>311.77083333333331</v>
      </c>
      <c r="F12" s="278">
        <f>'Monthly Data'!BG12</f>
        <v>0.27083333333333393</v>
      </c>
      <c r="G12" s="4">
        <f>'Monthly Data'!CG12</f>
        <v>0</v>
      </c>
      <c r="H12" s="4">
        <f>'Monthly Data'!CD12</f>
        <v>30</v>
      </c>
      <c r="I12" s="18">
        <f>'Monthly Data'!K12</f>
        <v>4065</v>
      </c>
      <c r="K12" s="18">
        <f>'GS&lt;50 Predicted Monthly'!$V$8</f>
        <v>-5629453.6994364997</v>
      </c>
      <c r="L12" s="18">
        <f>E12*'GS&lt;50 Predicted Monthly'!$V$9</f>
        <v>1683832.6864426241</v>
      </c>
      <c r="M12" s="18">
        <f>F12*'GS&lt;50 Predicted Monthly'!$V$10</f>
        <v>3417.4894705133888</v>
      </c>
      <c r="N12" s="18">
        <f>G12*'GS&lt;50 Predicted Monthly'!$V$11</f>
        <v>0</v>
      </c>
      <c r="O12" s="18">
        <f>H12*'GS&lt;50 Predicted Monthly'!$V$12</f>
        <v>8079876.2161811106</v>
      </c>
      <c r="P12" s="18">
        <f>I12*'GS&lt;50 Predicted Monthly'!$V$13</f>
        <v>6204905.225555216</v>
      </c>
      <c r="Q12" s="18">
        <f t="shared" si="2"/>
        <v>10342577.918212965</v>
      </c>
      <c r="R12" s="18">
        <f t="shared" si="3"/>
        <v>-305096.35217140988</v>
      </c>
      <c r="S12" s="279">
        <f t="shared" si="4"/>
        <v>2.8653802175373652E-2</v>
      </c>
      <c r="U12" s="1" t="s">
        <v>203</v>
      </c>
      <c r="V12" s="1">
        <v>269329.20720603701</v>
      </c>
      <c r="W12" s="1">
        <v>30464.154382013301</v>
      </c>
      <c r="X12" s="1">
        <v>8.84085616914596</v>
      </c>
      <c r="Y12" s="283">
        <v>1.37171079231514E-14</v>
      </c>
    </row>
    <row r="13" spans="1:25" x14ac:dyDescent="0.25">
      <c r="A13" s="3">
        <f>'Monthly Data'!A13</f>
        <v>42339</v>
      </c>
      <c r="B13" s="1">
        <f t="shared" si="0"/>
        <v>2015</v>
      </c>
      <c r="C13" s="1">
        <f t="shared" si="1"/>
        <v>12</v>
      </c>
      <c r="D13" s="24">
        <f>'Monthly Data'!J13</f>
        <v>11180504.450672537</v>
      </c>
      <c r="E13" s="278">
        <f>'Monthly Data'!BD13</f>
        <v>375.6259057971015</v>
      </c>
      <c r="F13" s="278">
        <f>'Monthly Data'!BG13</f>
        <v>0</v>
      </c>
      <c r="G13" s="4">
        <f>'Monthly Data'!CG13</f>
        <v>0</v>
      </c>
      <c r="H13" s="4">
        <f>'Monthly Data'!CD13</f>
        <v>31</v>
      </c>
      <c r="I13" s="18">
        <f>'Monthly Data'!K13</f>
        <v>4074</v>
      </c>
      <c r="K13" s="18">
        <f>'GS&lt;50 Predicted Monthly'!$V$8</f>
        <v>-5629453.6994364997</v>
      </c>
      <c r="L13" s="18">
        <f>E13*'GS&lt;50 Predicted Monthly'!$V$9</f>
        <v>2028705.415748568</v>
      </c>
      <c r="M13" s="18">
        <f>F13*'GS&lt;50 Predicted Monthly'!$V$10</f>
        <v>0</v>
      </c>
      <c r="N13" s="18">
        <f>G13*'GS&lt;50 Predicted Monthly'!$V$11</f>
        <v>0</v>
      </c>
      <c r="O13" s="18">
        <f>H13*'GS&lt;50 Predicted Monthly'!$V$12</f>
        <v>8349205.4233871475</v>
      </c>
      <c r="P13" s="18">
        <f>I13*'GS&lt;50 Predicted Monthly'!$V$13</f>
        <v>6218643.0231025703</v>
      </c>
      <c r="Q13" s="18">
        <f t="shared" si="2"/>
        <v>10967100.162801787</v>
      </c>
      <c r="R13" s="18">
        <f t="shared" si="3"/>
        <v>-213404.28787074983</v>
      </c>
      <c r="S13" s="279">
        <f t="shared" si="4"/>
        <v>1.9087178830997469E-2</v>
      </c>
      <c r="U13" s="1" t="s">
        <v>10</v>
      </c>
      <c r="V13" s="1">
        <v>1526.4219497060801</v>
      </c>
      <c r="W13" s="1">
        <v>715.02147966096504</v>
      </c>
      <c r="X13" s="1">
        <v>2.1347917414031299</v>
      </c>
      <c r="Y13" s="283">
        <v>3.4919490369865101E-2</v>
      </c>
    </row>
    <row r="14" spans="1:25" x14ac:dyDescent="0.25">
      <c r="A14" s="3">
        <f>'Monthly Data'!A14</f>
        <v>42370</v>
      </c>
      <c r="B14" s="1">
        <f t="shared" si="0"/>
        <v>2016</v>
      </c>
      <c r="C14" s="1">
        <f t="shared" si="1"/>
        <v>1</v>
      </c>
      <c r="D14" s="24">
        <f>'Monthly Data'!J14</f>
        <v>12581251.383190688</v>
      </c>
      <c r="E14" s="278">
        <f>'Monthly Data'!BD14</f>
        <v>613.87916666666683</v>
      </c>
      <c r="F14" s="278">
        <f>'Monthly Data'!BG14</f>
        <v>0</v>
      </c>
      <c r="G14" s="4">
        <f>'Monthly Data'!CG14</f>
        <v>0</v>
      </c>
      <c r="H14" s="4">
        <f>'Monthly Data'!CD14</f>
        <v>31</v>
      </c>
      <c r="I14" s="18">
        <f>'Monthly Data'!K14</f>
        <v>4082</v>
      </c>
      <c r="K14" s="18">
        <f>'GS&lt;50 Predicted Monthly'!$V$8</f>
        <v>-5629453.6994364997</v>
      </c>
      <c r="L14" s="18">
        <f>E14*'GS&lt;50 Predicted Monthly'!$V$9</f>
        <v>3315479.4991818019</v>
      </c>
      <c r="M14" s="18">
        <f>F14*'GS&lt;50 Predicted Monthly'!$V$10</f>
        <v>0</v>
      </c>
      <c r="N14" s="18">
        <f>G14*'GS&lt;50 Predicted Monthly'!$V$11</f>
        <v>0</v>
      </c>
      <c r="O14" s="18">
        <f>H14*'GS&lt;50 Predicted Monthly'!$V$12</f>
        <v>8349205.4233871475</v>
      </c>
      <c r="P14" s="18">
        <f>I14*'GS&lt;50 Predicted Monthly'!$V$13</f>
        <v>6230854.3987002186</v>
      </c>
      <c r="Q14" s="18">
        <f t="shared" si="2"/>
        <v>12266085.621832669</v>
      </c>
      <c r="R14" s="18">
        <f t="shared" si="3"/>
        <v>-315165.76135801896</v>
      </c>
      <c r="S14" s="279">
        <f t="shared" si="4"/>
        <v>2.5050430339473184E-2</v>
      </c>
    </row>
    <row r="15" spans="1:25" x14ac:dyDescent="0.25">
      <c r="A15" s="3">
        <f>'Monthly Data'!A15</f>
        <v>42401</v>
      </c>
      <c r="B15" s="1">
        <f t="shared" si="0"/>
        <v>2016</v>
      </c>
      <c r="C15" s="1">
        <f t="shared" si="1"/>
        <v>2</v>
      </c>
      <c r="D15" s="24">
        <f>'Monthly Data'!J15</f>
        <v>11589929.271759877</v>
      </c>
      <c r="E15" s="278">
        <f>'Monthly Data'!BD15</f>
        <v>545.70833333333337</v>
      </c>
      <c r="F15" s="278">
        <f>'Monthly Data'!BG15</f>
        <v>0</v>
      </c>
      <c r="G15" s="4">
        <f>'Monthly Data'!CG15</f>
        <v>0</v>
      </c>
      <c r="H15" s="4">
        <f>'Monthly Data'!CD15</f>
        <v>29</v>
      </c>
      <c r="I15" s="18">
        <f>'Monthly Data'!K15</f>
        <v>4129</v>
      </c>
      <c r="K15" s="18">
        <f>'GS&lt;50 Predicted Monthly'!$V$8</f>
        <v>-5629453.6994364997</v>
      </c>
      <c r="L15" s="18">
        <f>E15*'GS&lt;50 Predicted Monthly'!$V$9</f>
        <v>2947297.9210610157</v>
      </c>
      <c r="M15" s="18">
        <f>F15*'GS&lt;50 Predicted Monthly'!$V$10</f>
        <v>0</v>
      </c>
      <c r="N15" s="18">
        <f>G15*'GS&lt;50 Predicted Monthly'!$V$11</f>
        <v>0</v>
      </c>
      <c r="O15" s="18">
        <f>H15*'GS&lt;50 Predicted Monthly'!$V$12</f>
        <v>7810547.0089750737</v>
      </c>
      <c r="P15" s="18">
        <f>I15*'GS&lt;50 Predicted Monthly'!$V$13</f>
        <v>6302596.2303364044</v>
      </c>
      <c r="Q15" s="18">
        <f t="shared" si="2"/>
        <v>11430987.460935995</v>
      </c>
      <c r="R15" s="18">
        <f t="shared" si="3"/>
        <v>-158941.810823882</v>
      </c>
      <c r="S15" s="279">
        <f t="shared" si="4"/>
        <v>1.3713786089373384E-2</v>
      </c>
      <c r="U15" s="1" t="s">
        <v>153</v>
      </c>
    </row>
    <row r="16" spans="1:25" x14ac:dyDescent="0.25">
      <c r="A16" s="3">
        <f>'Monthly Data'!A16</f>
        <v>42430</v>
      </c>
      <c r="B16" s="1">
        <f t="shared" si="0"/>
        <v>2016</v>
      </c>
      <c r="C16" s="1">
        <f t="shared" si="1"/>
        <v>3</v>
      </c>
      <c r="D16" s="24">
        <f>'Monthly Data'!J16</f>
        <v>11679242.54237907</v>
      </c>
      <c r="E16" s="278">
        <f>'Monthly Data'!BD16</f>
        <v>453.07934782608692</v>
      </c>
      <c r="F16" s="278">
        <f>'Monthly Data'!BG16</f>
        <v>0</v>
      </c>
      <c r="G16" s="4">
        <f>'Monthly Data'!CG16</f>
        <v>0</v>
      </c>
      <c r="H16" s="4">
        <f>'Monthly Data'!CD16</f>
        <v>31</v>
      </c>
      <c r="I16" s="18">
        <f>'Monthly Data'!K16</f>
        <v>4147</v>
      </c>
      <c r="K16" s="18">
        <f>'GS&lt;50 Predicted Monthly'!$V$8</f>
        <v>-5629453.6994364997</v>
      </c>
      <c r="L16" s="18">
        <f>E16*'GS&lt;50 Predicted Monthly'!$V$9</f>
        <v>2447021.1253084037</v>
      </c>
      <c r="M16" s="18">
        <f>F16*'GS&lt;50 Predicted Monthly'!$V$10</f>
        <v>0</v>
      </c>
      <c r="N16" s="18">
        <f>G16*'GS&lt;50 Predicted Monthly'!$V$11</f>
        <v>0</v>
      </c>
      <c r="O16" s="18">
        <f>H16*'GS&lt;50 Predicted Monthly'!$V$12</f>
        <v>8349205.4233871475</v>
      </c>
      <c r="P16" s="18">
        <f>I16*'GS&lt;50 Predicted Monthly'!$V$13</f>
        <v>6330071.8254311141</v>
      </c>
      <c r="Q16" s="18">
        <f t="shared" si="2"/>
        <v>11496844.674690165</v>
      </c>
      <c r="R16" s="18">
        <f t="shared" si="3"/>
        <v>-182397.86768890545</v>
      </c>
      <c r="S16" s="279">
        <f t="shared" si="4"/>
        <v>1.5617268588015029E-2</v>
      </c>
      <c r="U16" s="1" t="s">
        <v>154</v>
      </c>
      <c r="V16" s="1">
        <v>16036486821458.801</v>
      </c>
      <c r="W16" s="1" t="s">
        <v>155</v>
      </c>
      <c r="X16" s="1">
        <v>375061.24437262199</v>
      </c>
    </row>
    <row r="17" spans="1:24" x14ac:dyDescent="0.25">
      <c r="A17" s="3">
        <f>'Monthly Data'!A17</f>
        <v>42461</v>
      </c>
      <c r="B17" s="1">
        <f t="shared" si="0"/>
        <v>2016</v>
      </c>
      <c r="C17" s="1">
        <f t="shared" si="1"/>
        <v>4</v>
      </c>
      <c r="D17" s="24">
        <f>'Monthly Data'!J17</f>
        <v>10411421.117584607</v>
      </c>
      <c r="E17" s="278">
        <f>'Monthly Data'!BD17</f>
        <v>345.98333333333335</v>
      </c>
      <c r="F17" s="278">
        <f>'Monthly Data'!BG17</f>
        <v>0.83333333333333393</v>
      </c>
      <c r="G17" s="4">
        <f>'Monthly Data'!CG17</f>
        <v>0</v>
      </c>
      <c r="H17" s="4">
        <f>'Monthly Data'!CD17</f>
        <v>30</v>
      </c>
      <c r="I17" s="18">
        <f>'Monthly Data'!K17</f>
        <v>4159</v>
      </c>
      <c r="K17" s="18">
        <f>'GS&lt;50 Predicted Monthly'!$V$8</f>
        <v>-5629453.6994364997</v>
      </c>
      <c r="L17" s="18">
        <f>E17*'GS&lt;50 Predicted Monthly'!$V$9</f>
        <v>1868609.8356358137</v>
      </c>
      <c r="M17" s="18">
        <f>F17*'GS&lt;50 Predicted Monthly'!$V$10</f>
        <v>10515.352216964258</v>
      </c>
      <c r="N17" s="18">
        <f>G17*'GS&lt;50 Predicted Monthly'!$V$11</f>
        <v>0</v>
      </c>
      <c r="O17" s="18">
        <f>H17*'GS&lt;50 Predicted Monthly'!$V$12</f>
        <v>8079876.2161811106</v>
      </c>
      <c r="P17" s="18">
        <f>I17*'GS&lt;50 Predicted Monthly'!$V$13</f>
        <v>6348388.8888275875</v>
      </c>
      <c r="Q17" s="18">
        <f t="shared" si="2"/>
        <v>10677936.593424976</v>
      </c>
      <c r="R17" s="18">
        <f t="shared" si="3"/>
        <v>266515.47584036924</v>
      </c>
      <c r="S17" s="279">
        <f t="shared" si="4"/>
        <v>2.5598376324460822E-2</v>
      </c>
      <c r="U17" s="1" t="s">
        <v>156</v>
      </c>
      <c r="V17" s="1">
        <v>0.88987266116731301</v>
      </c>
      <c r="W17" s="1" t="s">
        <v>157</v>
      </c>
      <c r="X17" s="1">
        <v>0.88504251472728301</v>
      </c>
    </row>
    <row r="18" spans="1:24" x14ac:dyDescent="0.25">
      <c r="A18" s="3">
        <f>'Monthly Data'!A18</f>
        <v>42491</v>
      </c>
      <c r="B18" s="1">
        <f t="shared" si="0"/>
        <v>2016</v>
      </c>
      <c r="C18" s="1">
        <f t="shared" si="1"/>
        <v>5</v>
      </c>
      <c r="D18" s="24">
        <f>'Monthly Data'!J18</f>
        <v>10228476.858936716</v>
      </c>
      <c r="E18" s="278">
        <f>'Monthly Data'!BD18</f>
        <v>111.69444444444443</v>
      </c>
      <c r="F18" s="278">
        <f>'Monthly Data'!BG18</f>
        <v>66.604166666666671</v>
      </c>
      <c r="G18" s="4">
        <f>'Monthly Data'!CG18</f>
        <v>0</v>
      </c>
      <c r="H18" s="4">
        <f>'Monthly Data'!CD18</f>
        <v>31</v>
      </c>
      <c r="I18" s="18">
        <f>'Monthly Data'!K18</f>
        <v>4156</v>
      </c>
      <c r="K18" s="18">
        <f>'GS&lt;50 Predicted Monthly'!$V$8</f>
        <v>-5629453.6994364997</v>
      </c>
      <c r="L18" s="18">
        <f>E18*'GS&lt;50 Predicted Monthly'!$V$9</f>
        <v>603246.79649723053</v>
      </c>
      <c r="M18" s="18">
        <f>F18*'GS&lt;50 Predicted Monthly'!$V$10</f>
        <v>840439.52594086772</v>
      </c>
      <c r="N18" s="18">
        <f>G18*'GS&lt;50 Predicted Monthly'!$V$11</f>
        <v>0</v>
      </c>
      <c r="O18" s="18">
        <f>H18*'GS&lt;50 Predicted Monthly'!$V$12</f>
        <v>8349205.4233871475</v>
      </c>
      <c r="P18" s="18">
        <f>I18*'GS&lt;50 Predicted Monthly'!$V$13</f>
        <v>6343809.6229784694</v>
      </c>
      <c r="Q18" s="18">
        <f t="shared" si="2"/>
        <v>10507247.669367215</v>
      </c>
      <c r="R18" s="18">
        <f t="shared" si="3"/>
        <v>278770.81043049879</v>
      </c>
      <c r="S18" s="279">
        <f t="shared" si="4"/>
        <v>2.7254381495416313E-2</v>
      </c>
      <c r="U18" s="1" t="s">
        <v>204</v>
      </c>
      <c r="V18" s="1">
        <v>180.872788692965</v>
      </c>
      <c r="W18" s="1" t="s">
        <v>159</v>
      </c>
      <c r="X18" s="283">
        <v>1.7437241377611E-52</v>
      </c>
    </row>
    <row r="19" spans="1:24" x14ac:dyDescent="0.25">
      <c r="A19" s="3">
        <f>'Monthly Data'!A19</f>
        <v>42522</v>
      </c>
      <c r="B19" s="1">
        <f t="shared" si="0"/>
        <v>2016</v>
      </c>
      <c r="C19" s="1">
        <f t="shared" si="1"/>
        <v>6</v>
      </c>
      <c r="D19" s="24">
        <f>'Monthly Data'!J19</f>
        <v>10465207.773663962</v>
      </c>
      <c r="E19" s="278">
        <f>'Monthly Data'!BD19</f>
        <v>14.133333333333335</v>
      </c>
      <c r="F19" s="278">
        <f>'Monthly Data'!BG19</f>
        <v>147.17916666666667</v>
      </c>
      <c r="G19" s="4">
        <f>'Monthly Data'!CG19</f>
        <v>0</v>
      </c>
      <c r="H19" s="4">
        <f>'Monthly Data'!CD19</f>
        <v>30</v>
      </c>
      <c r="I19" s="18">
        <f>'Monthly Data'!K19</f>
        <v>4153</v>
      </c>
      <c r="K19" s="18">
        <f>'GS&lt;50 Predicted Monthly'!$V$8</f>
        <v>-5629453.6994364997</v>
      </c>
      <c r="L19" s="18">
        <f>E19*'GS&lt;50 Predicted Monthly'!$V$9</f>
        <v>76332.248211338214</v>
      </c>
      <c r="M19" s="18">
        <f>F19*'GS&lt;50 Predicted Monthly'!$V$10</f>
        <v>1857168.9317991412</v>
      </c>
      <c r="N19" s="18">
        <f>G19*'GS&lt;50 Predicted Monthly'!$V$11</f>
        <v>0</v>
      </c>
      <c r="O19" s="18">
        <f>H19*'GS&lt;50 Predicted Monthly'!$V$12</f>
        <v>8079876.2161811106</v>
      </c>
      <c r="P19" s="18">
        <f>I19*'GS&lt;50 Predicted Monthly'!$V$13</f>
        <v>6339230.3571293503</v>
      </c>
      <c r="Q19" s="18">
        <f t="shared" si="2"/>
        <v>10723154.053884441</v>
      </c>
      <c r="R19" s="18">
        <f t="shared" si="3"/>
        <v>257946.28022047877</v>
      </c>
      <c r="S19" s="279">
        <f t="shared" si="4"/>
        <v>2.464798461714339E-2</v>
      </c>
      <c r="U19" s="1" t="s">
        <v>160</v>
      </c>
      <c r="V19" s="1">
        <v>-0.13189550997803001</v>
      </c>
      <c r="W19" s="1" t="s">
        <v>161</v>
      </c>
      <c r="X19" s="1">
        <v>2.18096736370142</v>
      </c>
    </row>
    <row r="20" spans="1:24" x14ac:dyDescent="0.25">
      <c r="A20" s="3">
        <f>'Monthly Data'!A20</f>
        <v>42552</v>
      </c>
      <c r="B20" s="1">
        <f t="shared" si="0"/>
        <v>2016</v>
      </c>
      <c r="C20" s="1">
        <f t="shared" si="1"/>
        <v>7</v>
      </c>
      <c r="D20" s="24">
        <f>'Monthly Data'!J20</f>
        <v>11859424.861319741</v>
      </c>
      <c r="E20" s="278">
        <f>'Monthly Data'!BD20</f>
        <v>0</v>
      </c>
      <c r="F20" s="278">
        <f>'Monthly Data'!BG20</f>
        <v>251.2291666666666</v>
      </c>
      <c r="G20" s="4">
        <f>'Monthly Data'!CG20</f>
        <v>0</v>
      </c>
      <c r="H20" s="4">
        <f>'Monthly Data'!CD20</f>
        <v>31</v>
      </c>
      <c r="I20" s="18">
        <f>'Monthly Data'!K20</f>
        <v>4177</v>
      </c>
      <c r="K20" s="18">
        <f>'GS&lt;50 Predicted Monthly'!$V$8</f>
        <v>-5629453.6994364997</v>
      </c>
      <c r="L20" s="18">
        <f>E20*'GS&lt;50 Predicted Monthly'!$V$9</f>
        <v>0</v>
      </c>
      <c r="M20" s="18">
        <f>F20*'GS&lt;50 Predicted Monthly'!$V$10</f>
        <v>3170115.8096092967</v>
      </c>
      <c r="N20" s="18">
        <f>G20*'GS&lt;50 Predicted Monthly'!$V$11</f>
        <v>0</v>
      </c>
      <c r="O20" s="18">
        <f>H20*'GS&lt;50 Predicted Monthly'!$V$12</f>
        <v>8349205.4233871475</v>
      </c>
      <c r="P20" s="18">
        <f>I20*'GS&lt;50 Predicted Monthly'!$V$13</f>
        <v>6375864.4839222962</v>
      </c>
      <c r="Q20" s="18">
        <f t="shared" si="2"/>
        <v>12265732.01748224</v>
      </c>
      <c r="R20" s="18">
        <f t="shared" si="3"/>
        <v>406307.15616249852</v>
      </c>
      <c r="S20" s="279">
        <f t="shared" si="4"/>
        <v>3.4260274921737124E-2</v>
      </c>
    </row>
    <row r="21" spans="1:24" x14ac:dyDescent="0.25">
      <c r="A21" s="3">
        <f>'Monthly Data'!A21</f>
        <v>42583</v>
      </c>
      <c r="B21" s="1">
        <f t="shared" si="0"/>
        <v>2016</v>
      </c>
      <c r="C21" s="1">
        <f t="shared" si="1"/>
        <v>8</v>
      </c>
      <c r="D21" s="24">
        <f>'Monthly Data'!J21</f>
        <v>12306932.672611248</v>
      </c>
      <c r="E21" s="278">
        <f>'Monthly Data'!BD21</f>
        <v>0</v>
      </c>
      <c r="F21" s="278">
        <f>'Monthly Data'!BG21</f>
        <v>266.02500000000003</v>
      </c>
      <c r="G21" s="4">
        <f>'Monthly Data'!CG21</f>
        <v>0</v>
      </c>
      <c r="H21" s="4">
        <f>'Monthly Data'!CD21</f>
        <v>31</v>
      </c>
      <c r="I21" s="18">
        <f>'Monthly Data'!K21</f>
        <v>4165</v>
      </c>
      <c r="K21" s="18">
        <f>'GS&lt;50 Predicted Monthly'!$V$8</f>
        <v>-5629453.6994364997</v>
      </c>
      <c r="L21" s="18">
        <f>E21*'GS&lt;50 Predicted Monthly'!$V$9</f>
        <v>0</v>
      </c>
      <c r="M21" s="18">
        <f>F21*'GS&lt;50 Predicted Monthly'!$V$10</f>
        <v>3356815.8882214981</v>
      </c>
      <c r="N21" s="18">
        <f>G21*'GS&lt;50 Predicted Monthly'!$V$11</f>
        <v>0</v>
      </c>
      <c r="O21" s="18">
        <f>H21*'GS&lt;50 Predicted Monthly'!$V$12</f>
        <v>8349205.4233871475</v>
      </c>
      <c r="P21" s="18">
        <f>I21*'GS&lt;50 Predicted Monthly'!$V$13</f>
        <v>6357547.4205258237</v>
      </c>
      <c r="Q21" s="18">
        <f t="shared" si="2"/>
        <v>12434115.032697968</v>
      </c>
      <c r="R21" s="18">
        <f t="shared" si="3"/>
        <v>127182.36008672044</v>
      </c>
      <c r="S21" s="279">
        <f t="shared" si="4"/>
        <v>1.0334204587773638E-2</v>
      </c>
      <c r="U21" s="1" t="s">
        <v>162</v>
      </c>
    </row>
    <row r="22" spans="1:24" x14ac:dyDescent="0.25">
      <c r="A22" s="3">
        <f>'Monthly Data'!A22</f>
        <v>42614</v>
      </c>
      <c r="B22" s="1">
        <f t="shared" si="0"/>
        <v>2016</v>
      </c>
      <c r="C22" s="1">
        <f t="shared" si="1"/>
        <v>9</v>
      </c>
      <c r="D22" s="24">
        <f>'Monthly Data'!J22</f>
        <v>10662137.575885922</v>
      </c>
      <c r="E22" s="278">
        <f>'Monthly Data'!BD22</f>
        <v>15.7875</v>
      </c>
      <c r="F22" s="278">
        <f>'Monthly Data'!BG22</f>
        <v>120.65416666666664</v>
      </c>
      <c r="G22" s="4">
        <f>'Monthly Data'!CG22</f>
        <v>0</v>
      </c>
      <c r="H22" s="4">
        <f>'Monthly Data'!CD22</f>
        <v>30</v>
      </c>
      <c r="I22" s="18">
        <f>'Monthly Data'!K22</f>
        <v>4177</v>
      </c>
      <c r="K22" s="18">
        <f>'GS&lt;50 Predicted Monthly'!$V$8</f>
        <v>-5629453.6994364997</v>
      </c>
      <c r="L22" s="18">
        <f>E22*'GS&lt;50 Predicted Monthly'!$V$9</f>
        <v>85266.181743148714</v>
      </c>
      <c r="M22" s="18">
        <f>F22*'GS&lt;50 Predicted Monthly'!$V$10</f>
        <v>1522465.2707331686</v>
      </c>
      <c r="N22" s="18">
        <f>G22*'GS&lt;50 Predicted Monthly'!$V$11</f>
        <v>0</v>
      </c>
      <c r="O22" s="18">
        <f>H22*'GS&lt;50 Predicted Monthly'!$V$12</f>
        <v>8079876.2161811106</v>
      </c>
      <c r="P22" s="18">
        <f>I22*'GS&lt;50 Predicted Monthly'!$V$13</f>
        <v>6375864.4839222962</v>
      </c>
      <c r="Q22" s="18">
        <f t="shared" si="2"/>
        <v>10434018.453143224</v>
      </c>
      <c r="R22" s="18">
        <f t="shared" si="3"/>
        <v>-228119.1227426976</v>
      </c>
      <c r="S22" s="279">
        <f t="shared" si="4"/>
        <v>2.139525222959272E-2</v>
      </c>
      <c r="U22" s="1" t="s">
        <v>163</v>
      </c>
      <c r="V22" s="1">
        <v>11045708.182347599</v>
      </c>
      <c r="W22" s="1" t="s">
        <v>164</v>
      </c>
      <c r="X22" s="1">
        <v>1096152.3214763501</v>
      </c>
    </row>
    <row r="23" spans="1:24" x14ac:dyDescent="0.25">
      <c r="A23" s="3">
        <f>'Monthly Data'!A23</f>
        <v>42644</v>
      </c>
      <c r="B23" s="1">
        <f t="shared" si="0"/>
        <v>2016</v>
      </c>
      <c r="C23" s="1">
        <f t="shared" si="1"/>
        <v>10</v>
      </c>
      <c r="D23" s="24">
        <f>'Monthly Data'!J23</f>
        <v>10050178.546894442</v>
      </c>
      <c r="E23" s="278">
        <f>'Monthly Data'!BD23</f>
        <v>166.45</v>
      </c>
      <c r="F23" s="278">
        <f>'Monthly Data'!BG23</f>
        <v>24.770833333333336</v>
      </c>
      <c r="G23" s="4">
        <f>'Monthly Data'!CG23</f>
        <v>0</v>
      </c>
      <c r="H23" s="4">
        <f>'Monthly Data'!CD23</f>
        <v>31</v>
      </c>
      <c r="I23" s="18">
        <f>'Monthly Data'!K23</f>
        <v>4154</v>
      </c>
      <c r="K23" s="18">
        <f>'GS&lt;50 Predicted Monthly'!$V$8</f>
        <v>-5629453.6994364997</v>
      </c>
      <c r="L23" s="18">
        <f>E23*'GS&lt;50 Predicted Monthly'!$V$9</f>
        <v>898974.24868706916</v>
      </c>
      <c r="M23" s="18">
        <f>F23*'GS&lt;50 Predicted Monthly'!$V$10</f>
        <v>312568.84464926238</v>
      </c>
      <c r="N23" s="18">
        <f>G23*'GS&lt;50 Predicted Monthly'!$V$11</f>
        <v>0</v>
      </c>
      <c r="O23" s="18">
        <f>H23*'GS&lt;50 Predicted Monthly'!$V$12</f>
        <v>8349205.4233871475</v>
      </c>
      <c r="P23" s="18">
        <f>I23*'GS&lt;50 Predicted Monthly'!$V$13</f>
        <v>6340756.7790790563</v>
      </c>
      <c r="Q23" s="18">
        <f t="shared" si="2"/>
        <v>10272051.596366037</v>
      </c>
      <c r="R23" s="18">
        <f t="shared" si="3"/>
        <v>221873.04947159439</v>
      </c>
      <c r="S23" s="279">
        <f t="shared" si="4"/>
        <v>2.2076528136920941E-2</v>
      </c>
      <c r="V23" s="18"/>
      <c r="X23" s="18"/>
    </row>
    <row r="24" spans="1:24" x14ac:dyDescent="0.25">
      <c r="A24" s="3">
        <f>'Monthly Data'!A24</f>
        <v>42675</v>
      </c>
      <c r="B24" s="1">
        <f t="shared" si="0"/>
        <v>2016</v>
      </c>
      <c r="C24" s="1">
        <f t="shared" si="1"/>
        <v>11</v>
      </c>
      <c r="D24" s="24">
        <f>'Monthly Data'!J24</f>
        <v>10467644.593618168</v>
      </c>
      <c r="E24" s="278">
        <f>'Monthly Data'!BD24</f>
        <v>317.335119047619</v>
      </c>
      <c r="F24" s="278">
        <f>'Monthly Data'!BG24</f>
        <v>0</v>
      </c>
      <c r="G24" s="4">
        <f>'Monthly Data'!CG24</f>
        <v>0</v>
      </c>
      <c r="H24" s="4">
        <f>'Monthly Data'!CD24</f>
        <v>30</v>
      </c>
      <c r="I24" s="18">
        <f>'Monthly Data'!K24</f>
        <v>4148</v>
      </c>
      <c r="K24" s="18">
        <f>'GS&lt;50 Predicted Monthly'!$V$8</f>
        <v>-5629453.6994364997</v>
      </c>
      <c r="L24" s="18">
        <f>E24*'GS&lt;50 Predicted Monthly'!$V$9</f>
        <v>1713884.6514139678</v>
      </c>
      <c r="M24" s="18">
        <f>F24*'GS&lt;50 Predicted Monthly'!$V$10</f>
        <v>0</v>
      </c>
      <c r="N24" s="18">
        <f>G24*'GS&lt;50 Predicted Monthly'!$V$11</f>
        <v>0</v>
      </c>
      <c r="O24" s="18">
        <f>H24*'GS&lt;50 Predicted Monthly'!$V$12</f>
        <v>8079876.2161811106</v>
      </c>
      <c r="P24" s="18">
        <f>I24*'GS&lt;50 Predicted Monthly'!$V$13</f>
        <v>6331598.2473808201</v>
      </c>
      <c r="Q24" s="18">
        <f t="shared" si="2"/>
        <v>10495905.415539399</v>
      </c>
      <c r="R24" s="18">
        <f t="shared" si="3"/>
        <v>28260.821921231225</v>
      </c>
      <c r="S24" s="279">
        <f t="shared" si="4"/>
        <v>2.6998262759571588E-3</v>
      </c>
    </row>
    <row r="25" spans="1:24" x14ac:dyDescent="0.25">
      <c r="A25" s="3">
        <f>'Monthly Data'!A25</f>
        <v>42705</v>
      </c>
      <c r="B25" s="1">
        <f t="shared" si="0"/>
        <v>2016</v>
      </c>
      <c r="C25" s="1">
        <f t="shared" si="1"/>
        <v>12</v>
      </c>
      <c r="D25" s="24">
        <f>'Monthly Data'!J25</f>
        <v>11890572.967155561</v>
      </c>
      <c r="E25" s="278">
        <f>'Monthly Data'!BD25</f>
        <v>554.67083333333346</v>
      </c>
      <c r="F25" s="278">
        <f>'Monthly Data'!BG25</f>
        <v>0</v>
      </c>
      <c r="G25" s="4">
        <f>'Monthly Data'!CG25</f>
        <v>0</v>
      </c>
      <c r="H25" s="4">
        <f>'Monthly Data'!CD25</f>
        <v>31</v>
      </c>
      <c r="I25" s="18">
        <f>'Monthly Data'!K25</f>
        <v>4150</v>
      </c>
      <c r="K25" s="18">
        <f>'GS&lt;50 Predicted Monthly'!$V$8</f>
        <v>-5629453.6994364997</v>
      </c>
      <c r="L25" s="18">
        <f>E25*'GS&lt;50 Predicted Monthly'!$V$9</f>
        <v>2995703.1881313547</v>
      </c>
      <c r="M25" s="18">
        <f>F25*'GS&lt;50 Predicted Monthly'!$V$10</f>
        <v>0</v>
      </c>
      <c r="N25" s="18">
        <f>G25*'GS&lt;50 Predicted Monthly'!$V$11</f>
        <v>0</v>
      </c>
      <c r="O25" s="18">
        <f>H25*'GS&lt;50 Predicted Monthly'!$V$12</f>
        <v>8349205.4233871475</v>
      </c>
      <c r="P25" s="18">
        <f>I25*'GS&lt;50 Predicted Monthly'!$V$13</f>
        <v>6334651.0912802322</v>
      </c>
      <c r="Q25" s="18">
        <f t="shared" si="2"/>
        <v>12050106.003362235</v>
      </c>
      <c r="R25" s="18">
        <f t="shared" si="3"/>
        <v>159533.03620667383</v>
      </c>
      <c r="S25" s="279">
        <f t="shared" si="4"/>
        <v>1.3416766092545749E-2</v>
      </c>
    </row>
    <row r="26" spans="1:24" x14ac:dyDescent="0.25">
      <c r="A26" s="3">
        <f>'Monthly Data'!A26</f>
        <v>42736</v>
      </c>
      <c r="B26" s="1">
        <f t="shared" si="0"/>
        <v>2017</v>
      </c>
      <c r="C26" s="1">
        <f t="shared" si="1"/>
        <v>1</v>
      </c>
      <c r="D26" s="24">
        <f>'Monthly Data'!J26</f>
        <v>12355535.106722897</v>
      </c>
      <c r="E26" s="278">
        <f>'Monthly Data'!BD26</f>
        <v>558.21666666666658</v>
      </c>
      <c r="F26" s="278">
        <f>'Monthly Data'!BG26</f>
        <v>0</v>
      </c>
      <c r="G26" s="4">
        <f>'Monthly Data'!CG26</f>
        <v>0</v>
      </c>
      <c r="H26" s="4">
        <f>'Monthly Data'!CD26</f>
        <v>31</v>
      </c>
      <c r="I26" s="18">
        <f>'Monthly Data'!K26</f>
        <v>4150</v>
      </c>
      <c r="K26" s="18">
        <f>'GS&lt;50 Predicted Monthly'!$V$8</f>
        <v>-5629453.6994364997</v>
      </c>
      <c r="L26" s="18">
        <f>E26*'GS&lt;50 Predicted Monthly'!$V$9</f>
        <v>3014853.7610169225</v>
      </c>
      <c r="M26" s="18">
        <f>F26*'GS&lt;50 Predicted Monthly'!$V$10</f>
        <v>0</v>
      </c>
      <c r="N26" s="18">
        <f>G26*'GS&lt;50 Predicted Monthly'!$V$11</f>
        <v>0</v>
      </c>
      <c r="O26" s="18">
        <f>H26*'GS&lt;50 Predicted Monthly'!$V$12</f>
        <v>8349205.4233871475</v>
      </c>
      <c r="P26" s="18">
        <f>I26*'GS&lt;50 Predicted Monthly'!$V$13</f>
        <v>6334651.0912802322</v>
      </c>
      <c r="Q26" s="18">
        <f t="shared" si="2"/>
        <v>12069256.576247804</v>
      </c>
      <c r="R26" s="18">
        <f t="shared" si="3"/>
        <v>-286278.53047509305</v>
      </c>
      <c r="S26" s="279">
        <f t="shared" si="4"/>
        <v>2.3170063295706481E-2</v>
      </c>
    </row>
    <row r="27" spans="1:24" x14ac:dyDescent="0.25">
      <c r="A27" s="3">
        <f>'Monthly Data'!A27</f>
        <v>42767</v>
      </c>
      <c r="B27" s="1">
        <f t="shared" si="0"/>
        <v>2017</v>
      </c>
      <c r="C27" s="1">
        <f t="shared" si="1"/>
        <v>2</v>
      </c>
      <c r="D27" s="24">
        <f>'Monthly Data'!J27</f>
        <v>11059039.500129096</v>
      </c>
      <c r="E27" s="278">
        <f>'Monthly Data'!BD27</f>
        <v>474.08333333333337</v>
      </c>
      <c r="F27" s="278">
        <f>'Monthly Data'!BG27</f>
        <v>0</v>
      </c>
      <c r="G27" s="4">
        <f>'Monthly Data'!CG27</f>
        <v>0</v>
      </c>
      <c r="H27" s="4">
        <f>'Monthly Data'!CD27</f>
        <v>28</v>
      </c>
      <c r="I27" s="18">
        <f>'Monthly Data'!K27</f>
        <v>4144</v>
      </c>
      <c r="K27" s="18">
        <f>'GS&lt;50 Predicted Monthly'!$V$8</f>
        <v>-5629453.6994364997</v>
      </c>
      <c r="L27" s="18">
        <f>E27*'GS&lt;50 Predicted Monthly'!$V$9</f>
        <v>2560460.8494947115</v>
      </c>
      <c r="M27" s="18">
        <f>F27*'GS&lt;50 Predicted Monthly'!$V$10</f>
        <v>0</v>
      </c>
      <c r="N27" s="18">
        <f>G27*'GS&lt;50 Predicted Monthly'!$V$11</f>
        <v>0</v>
      </c>
      <c r="O27" s="18">
        <f>H27*'GS&lt;50 Predicted Monthly'!$V$12</f>
        <v>7541217.8017690368</v>
      </c>
      <c r="P27" s="18">
        <f>I27*'GS&lt;50 Predicted Monthly'!$V$13</f>
        <v>6325492.5595819959</v>
      </c>
      <c r="Q27" s="18">
        <f t="shared" si="2"/>
        <v>10797717.511409245</v>
      </c>
      <c r="R27" s="18">
        <f t="shared" si="3"/>
        <v>-261321.98871985078</v>
      </c>
      <c r="S27" s="279">
        <f t="shared" si="4"/>
        <v>2.3629718359971522E-2</v>
      </c>
    </row>
    <row r="28" spans="1:24" x14ac:dyDescent="0.25">
      <c r="A28" s="3">
        <f>'Monthly Data'!A28</f>
        <v>42795</v>
      </c>
      <c r="B28" s="1">
        <f t="shared" si="0"/>
        <v>2017</v>
      </c>
      <c r="C28" s="1">
        <f t="shared" si="1"/>
        <v>3</v>
      </c>
      <c r="D28" s="24">
        <f>'Monthly Data'!J28</f>
        <v>12183406.064573791</v>
      </c>
      <c r="E28" s="278">
        <f>'Monthly Data'!BD28</f>
        <v>537.67916666666656</v>
      </c>
      <c r="F28" s="278">
        <f>'Monthly Data'!BG28</f>
        <v>0</v>
      </c>
      <c r="G28" s="4">
        <f>'Monthly Data'!CG28</f>
        <v>0</v>
      </c>
      <c r="H28" s="4">
        <f>'Monthly Data'!CD28</f>
        <v>31</v>
      </c>
      <c r="I28" s="18">
        <f>'Monthly Data'!K28</f>
        <v>4150</v>
      </c>
      <c r="K28" s="18">
        <f>'GS&lt;50 Predicted Monthly'!$V$8</f>
        <v>-5629453.6994364997</v>
      </c>
      <c r="L28" s="18">
        <f>E28*'GS&lt;50 Predicted Monthly'!$V$9</f>
        <v>2903933.4628348215</v>
      </c>
      <c r="M28" s="18">
        <f>F28*'GS&lt;50 Predicted Monthly'!$V$10</f>
        <v>0</v>
      </c>
      <c r="N28" s="18">
        <f>G28*'GS&lt;50 Predicted Monthly'!$V$11</f>
        <v>0</v>
      </c>
      <c r="O28" s="18">
        <f>H28*'GS&lt;50 Predicted Monthly'!$V$12</f>
        <v>8349205.4233871475</v>
      </c>
      <c r="P28" s="18">
        <f>I28*'GS&lt;50 Predicted Monthly'!$V$13</f>
        <v>6334651.0912802322</v>
      </c>
      <c r="Q28" s="18">
        <f t="shared" si="2"/>
        <v>11958336.2780657</v>
      </c>
      <c r="R28" s="18">
        <f t="shared" si="3"/>
        <v>-225069.78650809079</v>
      </c>
      <c r="S28" s="279">
        <f t="shared" si="4"/>
        <v>1.8473470006268262E-2</v>
      </c>
    </row>
    <row r="29" spans="1:24" x14ac:dyDescent="0.25">
      <c r="A29" s="3">
        <f>'Monthly Data'!A29</f>
        <v>42826</v>
      </c>
      <c r="B29" s="1">
        <f t="shared" si="0"/>
        <v>2017</v>
      </c>
      <c r="C29" s="1">
        <f t="shared" si="1"/>
        <v>4</v>
      </c>
      <c r="D29" s="24">
        <f>'Monthly Data'!J29</f>
        <v>10307837.783077231</v>
      </c>
      <c r="E29" s="278">
        <f>'Monthly Data'!BD29</f>
        <v>230.73333333333338</v>
      </c>
      <c r="F29" s="278">
        <f>'Monthly Data'!BG29</f>
        <v>5.6500000000000057</v>
      </c>
      <c r="G29" s="4">
        <f>'Monthly Data'!CG29</f>
        <v>0</v>
      </c>
      <c r="H29" s="4">
        <f>'Monthly Data'!CD29</f>
        <v>30</v>
      </c>
      <c r="I29" s="18">
        <f>'Monthly Data'!K29</f>
        <v>4151</v>
      </c>
      <c r="K29" s="18">
        <f>'GS&lt;50 Predicted Monthly'!$V$8</f>
        <v>-5629453.6994364997</v>
      </c>
      <c r="L29" s="18">
        <f>E29*'GS&lt;50 Predicted Monthly'!$V$9</f>
        <v>1246159.9578275546</v>
      </c>
      <c r="M29" s="18">
        <f>F29*'GS&lt;50 Predicted Monthly'!$V$10</f>
        <v>71294.088031017687</v>
      </c>
      <c r="N29" s="18">
        <f>G29*'GS&lt;50 Predicted Monthly'!$V$11</f>
        <v>0</v>
      </c>
      <c r="O29" s="18">
        <f>H29*'GS&lt;50 Predicted Monthly'!$V$12</f>
        <v>8079876.2161811106</v>
      </c>
      <c r="P29" s="18">
        <f>I29*'GS&lt;50 Predicted Monthly'!$V$13</f>
        <v>6336177.5132299382</v>
      </c>
      <c r="Q29" s="18">
        <f t="shared" si="2"/>
        <v>10104054.075833121</v>
      </c>
      <c r="R29" s="18">
        <f t="shared" si="3"/>
        <v>-203783.70724410936</v>
      </c>
      <c r="S29" s="279">
        <f t="shared" si="4"/>
        <v>1.9769782134005719E-2</v>
      </c>
    </row>
    <row r="30" spans="1:24" x14ac:dyDescent="0.25">
      <c r="A30" s="3">
        <f>'Monthly Data'!A30</f>
        <v>42856</v>
      </c>
      <c r="B30" s="1">
        <f t="shared" si="0"/>
        <v>2017</v>
      </c>
      <c r="C30" s="1">
        <f t="shared" si="1"/>
        <v>5</v>
      </c>
      <c r="D30" s="24">
        <f>'Monthly Data'!J30</f>
        <v>10255191.139574682</v>
      </c>
      <c r="E30" s="278">
        <f>'Monthly Data'!BD30</f>
        <v>134.83333333333331</v>
      </c>
      <c r="F30" s="278">
        <f>'Monthly Data'!BG30</f>
        <v>28.370833333333344</v>
      </c>
      <c r="G30" s="4">
        <f>'Monthly Data'!CG30</f>
        <v>0</v>
      </c>
      <c r="H30" s="4">
        <f>'Monthly Data'!CD30</f>
        <v>31</v>
      </c>
      <c r="I30" s="18">
        <f>'Monthly Data'!K30</f>
        <v>4160</v>
      </c>
      <c r="K30" s="18">
        <f>'GS&lt;50 Predicted Monthly'!$V$8</f>
        <v>-5629453.6994364997</v>
      </c>
      <c r="L30" s="18">
        <f>E30*'GS&lt;50 Predicted Monthly'!$V$9</f>
        <v>728216.84909165802</v>
      </c>
      <c r="M30" s="18">
        <f>F30*'GS&lt;50 Predicted Monthly'!$V$10</f>
        <v>357995.16622654803</v>
      </c>
      <c r="N30" s="18">
        <f>G30*'GS&lt;50 Predicted Monthly'!$V$11</f>
        <v>0</v>
      </c>
      <c r="O30" s="18">
        <f>H30*'GS&lt;50 Predicted Monthly'!$V$12</f>
        <v>8349205.4233871475</v>
      </c>
      <c r="P30" s="18">
        <f>I30*'GS&lt;50 Predicted Monthly'!$V$13</f>
        <v>6349915.3107772935</v>
      </c>
      <c r="Q30" s="18">
        <f t="shared" si="2"/>
        <v>10155879.050046148</v>
      </c>
      <c r="R30" s="18">
        <f t="shared" si="3"/>
        <v>-99312.089528534561</v>
      </c>
      <c r="S30" s="279">
        <f t="shared" si="4"/>
        <v>9.6840798164443929E-3</v>
      </c>
    </row>
    <row r="31" spans="1:24" x14ac:dyDescent="0.25">
      <c r="A31" s="3">
        <f>'Monthly Data'!A31</f>
        <v>42887</v>
      </c>
      <c r="B31" s="1">
        <f t="shared" si="0"/>
        <v>2017</v>
      </c>
      <c r="C31" s="1">
        <f t="shared" si="1"/>
        <v>6</v>
      </c>
      <c r="D31" s="24">
        <f>'Monthly Data'!J31</f>
        <v>10271714.846599523</v>
      </c>
      <c r="E31" s="278">
        <f>'Monthly Data'!BD31</f>
        <v>20.287499999999987</v>
      </c>
      <c r="F31" s="278">
        <f>'Monthly Data'!BG31</f>
        <v>112.71333333333334</v>
      </c>
      <c r="G31" s="4">
        <f>'Monthly Data'!CG31</f>
        <v>0</v>
      </c>
      <c r="H31" s="4">
        <f>'Monthly Data'!CD31</f>
        <v>30</v>
      </c>
      <c r="I31" s="18">
        <f>'Monthly Data'!K31</f>
        <v>4154</v>
      </c>
      <c r="K31" s="18">
        <f>'GS&lt;50 Predicted Monthly'!$V$8</f>
        <v>-5629453.6994364997</v>
      </c>
      <c r="L31" s="18">
        <f>E31*'GS&lt;50 Predicted Monthly'!$V$9</f>
        <v>109570.08152741907</v>
      </c>
      <c r="M31" s="18">
        <f>F31*'GS&lt;50 Predicted Monthly'!$V$10</f>
        <v>1422264.4794577167</v>
      </c>
      <c r="N31" s="18">
        <f>G31*'GS&lt;50 Predicted Monthly'!$V$11</f>
        <v>0</v>
      </c>
      <c r="O31" s="18">
        <f>H31*'GS&lt;50 Predicted Monthly'!$V$12</f>
        <v>8079876.2161811106</v>
      </c>
      <c r="P31" s="18">
        <f>I31*'GS&lt;50 Predicted Monthly'!$V$13</f>
        <v>6340756.7790790563</v>
      </c>
      <c r="Q31" s="18">
        <f t="shared" si="2"/>
        <v>10323013.856808804</v>
      </c>
      <c r="R31" s="18">
        <f t="shared" si="3"/>
        <v>51299.010209280998</v>
      </c>
      <c r="S31" s="279">
        <f t="shared" si="4"/>
        <v>4.9942011607013864E-3</v>
      </c>
    </row>
    <row r="32" spans="1:24" x14ac:dyDescent="0.25">
      <c r="A32" s="3">
        <f>'Monthly Data'!A32</f>
        <v>42917</v>
      </c>
      <c r="B32" s="1">
        <f t="shared" si="0"/>
        <v>2017</v>
      </c>
      <c r="C32" s="1">
        <f t="shared" si="1"/>
        <v>7</v>
      </c>
      <c r="D32" s="24">
        <f>'Monthly Data'!J32</f>
        <v>11368071.321868924</v>
      </c>
      <c r="E32" s="278">
        <f>'Monthly Data'!BD32</f>
        <v>0</v>
      </c>
      <c r="F32" s="278">
        <f>'Monthly Data'!BG32</f>
        <v>198.16666666666666</v>
      </c>
      <c r="G32" s="4">
        <f>'Monthly Data'!CG32</f>
        <v>0</v>
      </c>
      <c r="H32" s="4">
        <f>'Monthly Data'!CD32</f>
        <v>31</v>
      </c>
      <c r="I32" s="18">
        <f>'Monthly Data'!K32</f>
        <v>4158</v>
      </c>
      <c r="K32" s="18">
        <f>'GS&lt;50 Predicted Monthly'!$V$8</f>
        <v>-5629453.6994364997</v>
      </c>
      <c r="L32" s="18">
        <f>E32*'GS&lt;50 Predicted Monthly'!$V$9</f>
        <v>0</v>
      </c>
      <c r="M32" s="18">
        <f>F32*'GS&lt;50 Predicted Monthly'!$V$10</f>
        <v>2500550.7571940986</v>
      </c>
      <c r="N32" s="18">
        <f>G32*'GS&lt;50 Predicted Monthly'!$V$11</f>
        <v>0</v>
      </c>
      <c r="O32" s="18">
        <f>H32*'GS&lt;50 Predicted Monthly'!$V$12</f>
        <v>8349205.4233871475</v>
      </c>
      <c r="P32" s="18">
        <f>I32*'GS&lt;50 Predicted Monthly'!$V$13</f>
        <v>6346862.4668778814</v>
      </c>
      <c r="Q32" s="18">
        <f t="shared" si="2"/>
        <v>11567164.948022628</v>
      </c>
      <c r="R32" s="18">
        <f t="shared" si="3"/>
        <v>199093.62615370378</v>
      </c>
      <c r="S32" s="279">
        <f t="shared" si="4"/>
        <v>1.7513404034570444E-2</v>
      </c>
    </row>
    <row r="33" spans="1:19" x14ac:dyDescent="0.25">
      <c r="A33" s="3">
        <f>'Monthly Data'!A33</f>
        <v>42948</v>
      </c>
      <c r="B33" s="1">
        <f t="shared" si="0"/>
        <v>2017</v>
      </c>
      <c r="C33" s="1">
        <f t="shared" si="1"/>
        <v>8</v>
      </c>
      <c r="D33" s="24">
        <f>'Monthly Data'!J33</f>
        <v>11009225.659270091</v>
      </c>
      <c r="E33" s="278">
        <f>'Monthly Data'!BD33</f>
        <v>3.6416666666666693</v>
      </c>
      <c r="F33" s="278">
        <f>'Monthly Data'!BG33</f>
        <v>155.42409420289857</v>
      </c>
      <c r="G33" s="4">
        <f>'Monthly Data'!CG33</f>
        <v>0</v>
      </c>
      <c r="H33" s="4">
        <f>'Monthly Data'!CD33</f>
        <v>31</v>
      </c>
      <c r="I33" s="18">
        <f>'Monthly Data'!K33</f>
        <v>4157</v>
      </c>
      <c r="K33" s="18">
        <f>'GS&lt;50 Predicted Monthly'!$V$8</f>
        <v>-5629453.6994364997</v>
      </c>
      <c r="L33" s="18">
        <f>E33*'GS&lt;50 Predicted Monthly'!$V$9</f>
        <v>19668.155936529965</v>
      </c>
      <c r="M33" s="18">
        <f>F33*'GS&lt;50 Predicted Monthly'!$V$10</f>
        <v>1961206.9122553321</v>
      </c>
      <c r="N33" s="18">
        <f>G33*'GS&lt;50 Predicted Monthly'!$V$11</f>
        <v>0</v>
      </c>
      <c r="O33" s="18">
        <f>H33*'GS&lt;50 Predicted Monthly'!$V$12</f>
        <v>8349205.4233871475</v>
      </c>
      <c r="P33" s="18">
        <f>I33*'GS&lt;50 Predicted Monthly'!$V$13</f>
        <v>6345336.0449281754</v>
      </c>
      <c r="Q33" s="18">
        <f t="shared" si="2"/>
        <v>11045962.837070685</v>
      </c>
      <c r="R33" s="18">
        <f t="shared" si="3"/>
        <v>36737.177800593898</v>
      </c>
      <c r="S33" s="279">
        <f t="shared" si="4"/>
        <v>3.3369447532088795E-3</v>
      </c>
    </row>
    <row r="34" spans="1:19" x14ac:dyDescent="0.25">
      <c r="A34" s="3">
        <f>'Monthly Data'!A34</f>
        <v>42979</v>
      </c>
      <c r="B34" s="1">
        <f t="shared" si="0"/>
        <v>2017</v>
      </c>
      <c r="C34" s="1">
        <f t="shared" si="1"/>
        <v>9</v>
      </c>
      <c r="D34" s="24">
        <f>'Monthly Data'!J34</f>
        <v>10614412.668142477</v>
      </c>
      <c r="E34" s="278">
        <f>'Monthly Data'!BD34</f>
        <v>37.391666666666666</v>
      </c>
      <c r="F34" s="278">
        <f>'Monthly Data'!BG34</f>
        <v>112.67916666666666</v>
      </c>
      <c r="G34" s="4">
        <f>'Monthly Data'!CG34</f>
        <v>0</v>
      </c>
      <c r="H34" s="4">
        <f>'Monthly Data'!CD34</f>
        <v>30</v>
      </c>
      <c r="I34" s="18">
        <f>'Monthly Data'!K34</f>
        <v>4169</v>
      </c>
      <c r="K34" s="18">
        <f>'GS&lt;50 Predicted Monthly'!$V$8</f>
        <v>-5629453.6994364997</v>
      </c>
      <c r="L34" s="18">
        <f>E34*'GS&lt;50 Predicted Monthly'!$V$9</f>
        <v>201947.40431855808</v>
      </c>
      <c r="M34" s="18">
        <f>F34*'GS&lt;50 Predicted Monthly'!$V$10</f>
        <v>1421833.3500168209</v>
      </c>
      <c r="N34" s="18">
        <f>G34*'GS&lt;50 Predicted Monthly'!$V$11</f>
        <v>0</v>
      </c>
      <c r="O34" s="18">
        <f>H34*'GS&lt;50 Predicted Monthly'!$V$12</f>
        <v>8079876.2161811106</v>
      </c>
      <c r="P34" s="18">
        <f>I34*'GS&lt;50 Predicted Monthly'!$V$13</f>
        <v>6363653.1083246479</v>
      </c>
      <c r="Q34" s="18">
        <f t="shared" ref="Q34:Q65" si="5">SUM(K34:P34)</f>
        <v>10437856.379404638</v>
      </c>
      <c r="R34" s="18">
        <f t="shared" ref="R34:R65" si="6">Q34-D34</f>
        <v>-176556.28873783909</v>
      </c>
      <c r="S34" s="279">
        <f t="shared" ref="S34:S65" si="7">ABS(R34/D34)</f>
        <v>1.6633637136395266E-2</v>
      </c>
    </row>
    <row r="35" spans="1:19" x14ac:dyDescent="0.25">
      <c r="A35" s="3">
        <f>'Monthly Data'!A35</f>
        <v>43009</v>
      </c>
      <c r="B35" s="1">
        <f t="shared" si="0"/>
        <v>2017</v>
      </c>
      <c r="C35" s="1">
        <f t="shared" si="1"/>
        <v>10</v>
      </c>
      <c r="D35" s="24">
        <f>'Monthly Data'!J35</f>
        <v>10086644.014943147</v>
      </c>
      <c r="E35" s="278">
        <f>'Monthly Data'!BD35</f>
        <v>124.7625</v>
      </c>
      <c r="F35" s="278">
        <f>'Monthly Data'!BG35</f>
        <v>29.654166666666669</v>
      </c>
      <c r="G35" s="4">
        <f>'Monthly Data'!CG35</f>
        <v>0</v>
      </c>
      <c r="H35" s="4">
        <f>'Monthly Data'!CD35</f>
        <v>31</v>
      </c>
      <c r="I35" s="18">
        <f>'Monthly Data'!K35</f>
        <v>4175</v>
      </c>
      <c r="K35" s="18">
        <f>'GS&lt;50 Predicted Monthly'!$V$8</f>
        <v>-5629453.6994364997</v>
      </c>
      <c r="L35" s="18">
        <f>E35*'GS&lt;50 Predicted Monthly'!$V$9</f>
        <v>673825.62151889736</v>
      </c>
      <c r="M35" s="18">
        <f>F35*'GS&lt;50 Predicted Monthly'!$V$10</f>
        <v>374188.80864067288</v>
      </c>
      <c r="N35" s="18">
        <f>G35*'GS&lt;50 Predicted Monthly'!$V$11</f>
        <v>0</v>
      </c>
      <c r="O35" s="18">
        <f>H35*'GS&lt;50 Predicted Monthly'!$V$12</f>
        <v>8349205.4233871475</v>
      </c>
      <c r="P35" s="18">
        <f>I35*'GS&lt;50 Predicted Monthly'!$V$13</f>
        <v>6372811.6400228841</v>
      </c>
      <c r="Q35" s="18">
        <f t="shared" si="5"/>
        <v>10140577.794133103</v>
      </c>
      <c r="R35" s="18">
        <f t="shared" si="6"/>
        <v>53933.779189955443</v>
      </c>
      <c r="S35" s="279">
        <f t="shared" si="7"/>
        <v>5.3470489401681769E-3</v>
      </c>
    </row>
    <row r="36" spans="1:19" x14ac:dyDescent="0.25">
      <c r="A36" s="3">
        <f>'Monthly Data'!A36</f>
        <v>43040</v>
      </c>
      <c r="B36" s="1">
        <f t="shared" si="0"/>
        <v>2017</v>
      </c>
      <c r="C36" s="1">
        <f t="shared" si="1"/>
        <v>11</v>
      </c>
      <c r="D36" s="24">
        <f>'Monthly Data'!J36</f>
        <v>11102990.29685051</v>
      </c>
      <c r="E36" s="278">
        <f>'Monthly Data'!BD36</f>
        <v>382.61174242424244</v>
      </c>
      <c r="F36" s="278">
        <f>'Monthly Data'!BG36</f>
        <v>0</v>
      </c>
      <c r="G36" s="4">
        <f>'Monthly Data'!CG36</f>
        <v>0</v>
      </c>
      <c r="H36" s="4">
        <f>'Monthly Data'!CD36</f>
        <v>30</v>
      </c>
      <c r="I36" s="18">
        <f>'Monthly Data'!K36</f>
        <v>4189</v>
      </c>
      <c r="K36" s="18">
        <f>'GS&lt;50 Predicted Monthly'!$V$8</f>
        <v>-5629453.6994364997</v>
      </c>
      <c r="L36" s="18">
        <f>E36*'GS&lt;50 Predicted Monthly'!$V$9</f>
        <v>2066434.9875919723</v>
      </c>
      <c r="M36" s="18">
        <f>F36*'GS&lt;50 Predicted Monthly'!$V$10</f>
        <v>0</v>
      </c>
      <c r="N36" s="18">
        <f>G36*'GS&lt;50 Predicted Monthly'!$V$11</f>
        <v>0</v>
      </c>
      <c r="O36" s="18">
        <f>H36*'GS&lt;50 Predicted Monthly'!$V$12</f>
        <v>8079876.2161811106</v>
      </c>
      <c r="P36" s="18">
        <f>I36*'GS&lt;50 Predicted Monthly'!$V$13</f>
        <v>6394181.5473187696</v>
      </c>
      <c r="Q36" s="18">
        <f t="shared" si="5"/>
        <v>10911039.051655352</v>
      </c>
      <c r="R36" s="18">
        <f t="shared" si="6"/>
        <v>-191951.24519515783</v>
      </c>
      <c r="S36" s="279">
        <f t="shared" si="7"/>
        <v>1.7288247585842437E-2</v>
      </c>
    </row>
    <row r="37" spans="1:19" x14ac:dyDescent="0.25">
      <c r="A37" s="3">
        <f>'Monthly Data'!A37</f>
        <v>43070</v>
      </c>
      <c r="B37" s="1">
        <f t="shared" si="0"/>
        <v>2017</v>
      </c>
      <c r="C37" s="1">
        <f t="shared" si="1"/>
        <v>12</v>
      </c>
      <c r="D37" s="24">
        <f>'Monthly Data'!J37</f>
        <v>12738018.510544082</v>
      </c>
      <c r="E37" s="278">
        <f>'Monthly Data'!BD37</f>
        <v>674.31250000000011</v>
      </c>
      <c r="F37" s="278">
        <f>'Monthly Data'!BG37</f>
        <v>0</v>
      </c>
      <c r="G37" s="4">
        <f>'Monthly Data'!CG37</f>
        <v>0</v>
      </c>
      <c r="H37" s="4">
        <f>'Monthly Data'!CD37</f>
        <v>31</v>
      </c>
      <c r="I37" s="18">
        <f>'Monthly Data'!K37</f>
        <v>4186</v>
      </c>
      <c r="K37" s="18">
        <f>'GS&lt;50 Predicted Monthly'!$V$8</f>
        <v>-5629453.6994364997</v>
      </c>
      <c r="L37" s="18">
        <f>E37*'GS&lt;50 Predicted Monthly'!$V$9</f>
        <v>3641871.8718401887</v>
      </c>
      <c r="M37" s="18">
        <f>F37*'GS&lt;50 Predicted Monthly'!$V$10</f>
        <v>0</v>
      </c>
      <c r="N37" s="18">
        <f>G37*'GS&lt;50 Predicted Monthly'!$V$11</f>
        <v>0</v>
      </c>
      <c r="O37" s="18">
        <f>H37*'GS&lt;50 Predicted Monthly'!$V$12</f>
        <v>8349205.4233871475</v>
      </c>
      <c r="P37" s="18">
        <f>I37*'GS&lt;50 Predicted Monthly'!$V$13</f>
        <v>6389602.2814696515</v>
      </c>
      <c r="Q37" s="18">
        <f t="shared" si="5"/>
        <v>12751225.877260488</v>
      </c>
      <c r="R37" s="18">
        <f t="shared" si="6"/>
        <v>13207.366716405377</v>
      </c>
      <c r="S37" s="279">
        <f t="shared" si="7"/>
        <v>1.0368462493183523E-3</v>
      </c>
    </row>
    <row r="38" spans="1:19" x14ac:dyDescent="0.25">
      <c r="A38" s="3">
        <f>'Monthly Data'!A38</f>
        <v>43101</v>
      </c>
      <c r="B38" s="1">
        <f t="shared" si="0"/>
        <v>2018</v>
      </c>
      <c r="C38" s="1">
        <f t="shared" si="1"/>
        <v>1</v>
      </c>
      <c r="D38" s="24">
        <f>'Monthly Data'!J38</f>
        <v>13743847.236236988</v>
      </c>
      <c r="E38" s="278">
        <f>'Monthly Data'!BD38</f>
        <v>688.53749999999991</v>
      </c>
      <c r="F38" s="278">
        <f>'Monthly Data'!BG38</f>
        <v>0</v>
      </c>
      <c r="G38" s="4">
        <f>'Monthly Data'!CG38</f>
        <v>0</v>
      </c>
      <c r="H38" s="4">
        <f>'Monthly Data'!CD38</f>
        <v>31</v>
      </c>
      <c r="I38" s="18">
        <f>'Monthly Data'!K38</f>
        <v>4200</v>
      </c>
      <c r="K38" s="18">
        <f>'GS&lt;50 Predicted Monthly'!$V$8</f>
        <v>-5629453.6994364997</v>
      </c>
      <c r="L38" s="18">
        <f>E38*'GS&lt;50 Predicted Monthly'!$V$9</f>
        <v>3718699.1994915758</v>
      </c>
      <c r="M38" s="18">
        <f>F38*'GS&lt;50 Predicted Monthly'!$V$10</f>
        <v>0</v>
      </c>
      <c r="N38" s="18">
        <f>G38*'GS&lt;50 Predicted Monthly'!$V$11</f>
        <v>0</v>
      </c>
      <c r="O38" s="18">
        <f>H38*'GS&lt;50 Predicted Monthly'!$V$12</f>
        <v>8349205.4233871475</v>
      </c>
      <c r="P38" s="18">
        <f>I38*'GS&lt;50 Predicted Monthly'!$V$13</f>
        <v>6410972.1887655361</v>
      </c>
      <c r="Q38" s="18">
        <f t="shared" si="5"/>
        <v>12849423.112207759</v>
      </c>
      <c r="R38" s="18">
        <f t="shared" si="6"/>
        <v>-894424.12402922846</v>
      </c>
      <c r="S38" s="279">
        <f t="shared" si="7"/>
        <v>6.5078147963620575E-2</v>
      </c>
    </row>
    <row r="39" spans="1:19" x14ac:dyDescent="0.25">
      <c r="A39" s="3">
        <f>'Monthly Data'!A39</f>
        <v>43132</v>
      </c>
      <c r="B39" s="1">
        <f t="shared" si="0"/>
        <v>2018</v>
      </c>
      <c r="C39" s="1">
        <f t="shared" si="1"/>
        <v>2</v>
      </c>
      <c r="D39" s="24">
        <f>'Monthly Data'!J39</f>
        <v>11791318.027232353</v>
      </c>
      <c r="E39" s="278">
        <f>'Monthly Data'!BD39</f>
        <v>520.49583333333328</v>
      </c>
      <c r="F39" s="278">
        <f>'Monthly Data'!BG39</f>
        <v>0</v>
      </c>
      <c r="G39" s="4">
        <f>'Monthly Data'!CG39</f>
        <v>0</v>
      </c>
      <c r="H39" s="4">
        <f>'Monthly Data'!CD39</f>
        <v>28</v>
      </c>
      <c r="I39" s="18">
        <f>'Monthly Data'!K39</f>
        <v>4210</v>
      </c>
      <c r="K39" s="18">
        <f>'GS&lt;50 Predicted Monthly'!$V$8</f>
        <v>-5629453.6994364997</v>
      </c>
      <c r="L39" s="18">
        <f>E39*'GS&lt;50 Predicted Monthly'!$V$9</f>
        <v>2811128.571436367</v>
      </c>
      <c r="M39" s="18">
        <f>F39*'GS&lt;50 Predicted Monthly'!$V$10</f>
        <v>0</v>
      </c>
      <c r="N39" s="18">
        <f>G39*'GS&lt;50 Predicted Monthly'!$V$11</f>
        <v>0</v>
      </c>
      <c r="O39" s="18">
        <f>H39*'GS&lt;50 Predicted Monthly'!$V$12</f>
        <v>7541217.8017690368</v>
      </c>
      <c r="P39" s="18">
        <f>I39*'GS&lt;50 Predicted Monthly'!$V$13</f>
        <v>6426236.4082625974</v>
      </c>
      <c r="Q39" s="18">
        <f t="shared" si="5"/>
        <v>11149129.082031501</v>
      </c>
      <c r="R39" s="18">
        <f t="shared" si="6"/>
        <v>-642188.94520085119</v>
      </c>
      <c r="S39" s="279">
        <f t="shared" si="7"/>
        <v>5.4462863584689963E-2</v>
      </c>
    </row>
    <row r="40" spans="1:19" x14ac:dyDescent="0.25">
      <c r="A40" s="3">
        <f>'Monthly Data'!A40</f>
        <v>43160</v>
      </c>
      <c r="B40" s="1">
        <f t="shared" si="0"/>
        <v>2018</v>
      </c>
      <c r="C40" s="1">
        <f t="shared" si="1"/>
        <v>3</v>
      </c>
      <c r="D40" s="24">
        <f>'Monthly Data'!J40</f>
        <v>12122391.504287651</v>
      </c>
      <c r="E40" s="278">
        <f>'Monthly Data'!BD40</f>
        <v>505.2791666666667</v>
      </c>
      <c r="F40" s="278">
        <f>'Monthly Data'!BG40</f>
        <v>0</v>
      </c>
      <c r="G40" s="4">
        <f>'Monthly Data'!CG40</f>
        <v>0</v>
      </c>
      <c r="H40" s="4">
        <f>'Monthly Data'!CD40</f>
        <v>31</v>
      </c>
      <c r="I40" s="18">
        <f>'Monthly Data'!K40</f>
        <v>4215</v>
      </c>
      <c r="K40" s="18">
        <f>'GS&lt;50 Predicted Monthly'!$V$8</f>
        <v>-5629453.6994364997</v>
      </c>
      <c r="L40" s="18">
        <f>E40*'GS&lt;50 Predicted Monthly'!$V$9</f>
        <v>2728945.3843880752</v>
      </c>
      <c r="M40" s="18">
        <f>F40*'GS&lt;50 Predicted Monthly'!$V$10</f>
        <v>0</v>
      </c>
      <c r="N40" s="18">
        <f>G40*'GS&lt;50 Predicted Monthly'!$V$11</f>
        <v>0</v>
      </c>
      <c r="O40" s="18">
        <f>H40*'GS&lt;50 Predicted Monthly'!$V$12</f>
        <v>8349205.4233871475</v>
      </c>
      <c r="P40" s="18">
        <f>I40*'GS&lt;50 Predicted Monthly'!$V$13</f>
        <v>6433868.5180111276</v>
      </c>
      <c r="Q40" s="18">
        <f t="shared" si="5"/>
        <v>11882565.626349851</v>
      </c>
      <c r="R40" s="18">
        <f t="shared" si="6"/>
        <v>-239825.87793779932</v>
      </c>
      <c r="S40" s="279">
        <f t="shared" si="7"/>
        <v>1.9783709992617686E-2</v>
      </c>
    </row>
    <row r="41" spans="1:19" x14ac:dyDescent="0.25">
      <c r="A41" s="3">
        <f>'Monthly Data'!A41</f>
        <v>43191</v>
      </c>
      <c r="B41" s="1">
        <f t="shared" si="0"/>
        <v>2018</v>
      </c>
      <c r="C41" s="1">
        <f t="shared" si="1"/>
        <v>4</v>
      </c>
      <c r="D41" s="24">
        <f>'Monthly Data'!J41</f>
        <v>11217887.058367977</v>
      </c>
      <c r="E41" s="278">
        <f>'Monthly Data'!BD41</f>
        <v>392.51666666666677</v>
      </c>
      <c r="F41" s="278">
        <f>'Monthly Data'!BG41</f>
        <v>0</v>
      </c>
      <c r="G41" s="4">
        <f>'Monthly Data'!CG41</f>
        <v>0</v>
      </c>
      <c r="H41" s="4">
        <f>'Monthly Data'!CD41</f>
        <v>30</v>
      </c>
      <c r="I41" s="18">
        <f>'Monthly Data'!K41</f>
        <v>4218</v>
      </c>
      <c r="K41" s="18">
        <f>'GS&lt;50 Predicted Monthly'!$V$8</f>
        <v>-5629453.6994364997</v>
      </c>
      <c r="L41" s="18">
        <f>E41*'GS&lt;50 Predicted Monthly'!$V$9</f>
        <v>2119930.1622938993</v>
      </c>
      <c r="M41" s="18">
        <f>F41*'GS&lt;50 Predicted Monthly'!$V$10</f>
        <v>0</v>
      </c>
      <c r="N41" s="18">
        <f>G41*'GS&lt;50 Predicted Monthly'!$V$11</f>
        <v>0</v>
      </c>
      <c r="O41" s="18">
        <f>H41*'GS&lt;50 Predicted Monthly'!$V$12</f>
        <v>8079876.2161811106</v>
      </c>
      <c r="P41" s="18">
        <f>I41*'GS&lt;50 Predicted Monthly'!$V$13</f>
        <v>6438447.7838602457</v>
      </c>
      <c r="Q41" s="18">
        <f t="shared" si="5"/>
        <v>11008800.462898755</v>
      </c>
      <c r="R41" s="18">
        <f t="shared" si="6"/>
        <v>-209086.59546922147</v>
      </c>
      <c r="S41" s="279">
        <f t="shared" si="7"/>
        <v>1.863867895810677E-2</v>
      </c>
    </row>
    <row r="42" spans="1:19" x14ac:dyDescent="0.25">
      <c r="A42" s="3">
        <f>'Monthly Data'!A42</f>
        <v>43221</v>
      </c>
      <c r="B42" s="1">
        <f t="shared" si="0"/>
        <v>2018</v>
      </c>
      <c r="C42" s="1">
        <f t="shared" si="1"/>
        <v>5</v>
      </c>
      <c r="D42" s="24">
        <f>'Monthly Data'!J42</f>
        <v>10536315.185701128</v>
      </c>
      <c r="E42" s="278">
        <f>'Monthly Data'!BD42</f>
        <v>53.462500000000013</v>
      </c>
      <c r="F42" s="278">
        <f>'Monthly Data'!BG42</f>
        <v>80.600541125541127</v>
      </c>
      <c r="G42" s="4">
        <f>'Monthly Data'!CG42</f>
        <v>0</v>
      </c>
      <c r="H42" s="4">
        <f>'Monthly Data'!CD42</f>
        <v>31</v>
      </c>
      <c r="I42" s="18">
        <f>'Monthly Data'!K42</f>
        <v>4162</v>
      </c>
      <c r="K42" s="18">
        <f>'GS&lt;50 Predicted Monthly'!$V$8</f>
        <v>-5629453.6994364997</v>
      </c>
      <c r="L42" s="18">
        <f>E42*'GS&lt;50 Predicted Monthly'!$V$9</f>
        <v>288743.83160367946</v>
      </c>
      <c r="M42" s="18">
        <f>F42*'GS&lt;50 Predicted Monthly'!$V$10</f>
        <v>1017051.6945755726</v>
      </c>
      <c r="N42" s="18">
        <f>G42*'GS&lt;50 Predicted Monthly'!$V$11</f>
        <v>0</v>
      </c>
      <c r="O42" s="18">
        <f>H42*'GS&lt;50 Predicted Monthly'!$V$12</f>
        <v>8349205.4233871475</v>
      </c>
      <c r="P42" s="18">
        <f>I42*'GS&lt;50 Predicted Monthly'!$V$13</f>
        <v>6352968.1546767056</v>
      </c>
      <c r="Q42" s="18">
        <f t="shared" si="5"/>
        <v>10378515.404806606</v>
      </c>
      <c r="R42" s="18">
        <f t="shared" si="6"/>
        <v>-157799.78089452162</v>
      </c>
      <c r="S42" s="279">
        <f t="shared" si="7"/>
        <v>1.4976752129498963E-2</v>
      </c>
    </row>
    <row r="43" spans="1:19" x14ac:dyDescent="0.25">
      <c r="A43" s="3">
        <f>'Monthly Data'!A43</f>
        <v>43252</v>
      </c>
      <c r="B43" s="1">
        <f t="shared" si="0"/>
        <v>2018</v>
      </c>
      <c r="C43" s="1">
        <f t="shared" si="1"/>
        <v>6</v>
      </c>
      <c r="D43" s="24">
        <f>'Monthly Data'!J43</f>
        <v>10734643.372216791</v>
      </c>
      <c r="E43" s="278">
        <f>'Monthly Data'!BD43</f>
        <v>7.645833333333325</v>
      </c>
      <c r="F43" s="278">
        <f>'Monthly Data'!BG43</f>
        <v>141.51477272727271</v>
      </c>
      <c r="G43" s="4">
        <f>'Monthly Data'!CG43</f>
        <v>0</v>
      </c>
      <c r="H43" s="4">
        <f>'Monthly Data'!CD43</f>
        <v>30</v>
      </c>
      <c r="I43" s="18">
        <f>'Monthly Data'!K43</f>
        <v>4160</v>
      </c>
      <c r="K43" s="18">
        <f>'GS&lt;50 Predicted Monthly'!$V$8</f>
        <v>-5629453.6994364997</v>
      </c>
      <c r="L43" s="18">
        <f>E43*'GS&lt;50 Predicted Monthly'!$V$9</f>
        <v>41294.126022348304</v>
      </c>
      <c r="M43" s="18">
        <f>F43*'GS&lt;50 Predicted Monthly'!$V$10</f>
        <v>1785693.2149571029</v>
      </c>
      <c r="N43" s="18">
        <f>G43*'GS&lt;50 Predicted Monthly'!$V$11</f>
        <v>0</v>
      </c>
      <c r="O43" s="18">
        <f>H43*'GS&lt;50 Predicted Monthly'!$V$12</f>
        <v>8079876.2161811106</v>
      </c>
      <c r="P43" s="18">
        <f>I43*'GS&lt;50 Predicted Monthly'!$V$13</f>
        <v>6349915.3107772935</v>
      </c>
      <c r="Q43" s="18">
        <f t="shared" si="5"/>
        <v>10627325.168501355</v>
      </c>
      <c r="R43" s="18">
        <f t="shared" si="6"/>
        <v>-107318.20371543616</v>
      </c>
      <c r="S43" s="279">
        <f t="shared" si="7"/>
        <v>9.9973701961254893E-3</v>
      </c>
    </row>
    <row r="44" spans="1:19" x14ac:dyDescent="0.25">
      <c r="A44" s="3">
        <f>'Monthly Data'!A44</f>
        <v>43282</v>
      </c>
      <c r="B44" s="1">
        <f t="shared" si="0"/>
        <v>2018</v>
      </c>
      <c r="C44" s="1">
        <f t="shared" si="1"/>
        <v>7</v>
      </c>
      <c r="D44" s="24">
        <f>'Monthly Data'!J44</f>
        <v>12267261.026286196</v>
      </c>
      <c r="E44" s="278">
        <f>'Monthly Data'!BD44</f>
        <v>0</v>
      </c>
      <c r="F44" s="278">
        <f>'Monthly Data'!BG44</f>
        <v>256.39861424807077</v>
      </c>
      <c r="G44" s="4">
        <f>'Monthly Data'!CG44</f>
        <v>0</v>
      </c>
      <c r="H44" s="4">
        <f>'Monthly Data'!CD44</f>
        <v>31</v>
      </c>
      <c r="I44" s="18">
        <f>'Monthly Data'!K44</f>
        <v>4168</v>
      </c>
      <c r="K44" s="18">
        <f>'GS&lt;50 Predicted Monthly'!$V$8</f>
        <v>-5629453.6994364997</v>
      </c>
      <c r="L44" s="18">
        <f>E44*'GS&lt;50 Predicted Monthly'!$V$9</f>
        <v>0</v>
      </c>
      <c r="M44" s="18">
        <f>F44*'GS&lt;50 Predicted Monthly'!$V$10</f>
        <v>3235346.0841120151</v>
      </c>
      <c r="N44" s="18">
        <f>G44*'GS&lt;50 Predicted Monthly'!$V$11</f>
        <v>0</v>
      </c>
      <c r="O44" s="18">
        <f>H44*'GS&lt;50 Predicted Monthly'!$V$12</f>
        <v>8349205.4233871475</v>
      </c>
      <c r="P44" s="18">
        <f>I44*'GS&lt;50 Predicted Monthly'!$V$13</f>
        <v>6362126.6863749418</v>
      </c>
      <c r="Q44" s="18">
        <f t="shared" si="5"/>
        <v>12317224.494437605</v>
      </c>
      <c r="R44" s="18">
        <f t="shared" si="6"/>
        <v>49963.468151409179</v>
      </c>
      <c r="S44" s="279">
        <f t="shared" si="7"/>
        <v>4.072911470975292E-3</v>
      </c>
    </row>
    <row r="45" spans="1:19" x14ac:dyDescent="0.25">
      <c r="A45" s="3">
        <f>'Monthly Data'!A45</f>
        <v>43313</v>
      </c>
      <c r="B45" s="1">
        <f t="shared" si="0"/>
        <v>2018</v>
      </c>
      <c r="C45" s="1">
        <f t="shared" si="1"/>
        <v>8</v>
      </c>
      <c r="D45" s="24">
        <f>'Monthly Data'!J45</f>
        <v>12704659.584958429</v>
      </c>
      <c r="E45" s="278">
        <f>'Monthly Data'!BD45</f>
        <v>0</v>
      </c>
      <c r="F45" s="278">
        <f>'Monthly Data'!BG45</f>
        <v>252.24583333333339</v>
      </c>
      <c r="G45" s="4">
        <f>'Monthly Data'!CG45</f>
        <v>0</v>
      </c>
      <c r="H45" s="4">
        <f>'Monthly Data'!CD45</f>
        <v>31</v>
      </c>
      <c r="I45" s="18">
        <f>'Monthly Data'!K45</f>
        <v>4184</v>
      </c>
      <c r="K45" s="18">
        <f>'GS&lt;50 Predicted Monthly'!$V$8</f>
        <v>-5629453.6994364997</v>
      </c>
      <c r="L45" s="18">
        <f>E45*'GS&lt;50 Predicted Monthly'!$V$9</f>
        <v>0</v>
      </c>
      <c r="M45" s="18">
        <f>F45*'GS&lt;50 Predicted Monthly'!$V$10</f>
        <v>3182944.5393139943</v>
      </c>
      <c r="N45" s="18">
        <f>G45*'GS&lt;50 Predicted Monthly'!$V$11</f>
        <v>0</v>
      </c>
      <c r="O45" s="18">
        <f>H45*'GS&lt;50 Predicted Monthly'!$V$12</f>
        <v>8349205.4233871475</v>
      </c>
      <c r="P45" s="18">
        <f>I45*'GS&lt;50 Predicted Monthly'!$V$13</f>
        <v>6386549.4375702394</v>
      </c>
      <c r="Q45" s="18">
        <f t="shared" si="5"/>
        <v>12289245.700834882</v>
      </c>
      <c r="R45" s="18">
        <f t="shared" si="6"/>
        <v>-415413.884123547</v>
      </c>
      <c r="S45" s="279">
        <f t="shared" si="7"/>
        <v>3.2697757963965651E-2</v>
      </c>
    </row>
    <row r="46" spans="1:19" x14ac:dyDescent="0.25">
      <c r="A46" s="3">
        <f>'Monthly Data'!A46</f>
        <v>43344</v>
      </c>
      <c r="B46" s="1">
        <f t="shared" si="0"/>
        <v>2018</v>
      </c>
      <c r="C46" s="1">
        <f t="shared" si="1"/>
        <v>9</v>
      </c>
      <c r="D46" s="24">
        <f>'Monthly Data'!J46</f>
        <v>11179301.159690389</v>
      </c>
      <c r="E46" s="278">
        <f>'Monthly Data'!BD46</f>
        <v>33.279166666666669</v>
      </c>
      <c r="F46" s="278">
        <f>'Monthly Data'!BG46</f>
        <v>135.06250000000003</v>
      </c>
      <c r="G46" s="4">
        <f>'Monthly Data'!CG46</f>
        <v>0</v>
      </c>
      <c r="H46" s="4">
        <f>'Monthly Data'!CD46</f>
        <v>30</v>
      </c>
      <c r="I46" s="18">
        <f>'Monthly Data'!K46</f>
        <v>4221</v>
      </c>
      <c r="K46" s="18">
        <f>'GS&lt;50 Predicted Monthly'!$V$8</f>
        <v>-5629453.6994364997</v>
      </c>
      <c r="L46" s="18">
        <f>E46*'GS&lt;50 Predicted Monthly'!$V$9</f>
        <v>179736.3403490443</v>
      </c>
      <c r="M46" s="18">
        <f>F46*'GS&lt;50 Predicted Monthly'!$V$10</f>
        <v>1704275.7105644813</v>
      </c>
      <c r="N46" s="18">
        <f>G46*'GS&lt;50 Predicted Monthly'!$V$11</f>
        <v>0</v>
      </c>
      <c r="O46" s="18">
        <f>H46*'GS&lt;50 Predicted Monthly'!$V$12</f>
        <v>8079876.2161811106</v>
      </c>
      <c r="P46" s="18">
        <f>I46*'GS&lt;50 Predicted Monthly'!$V$13</f>
        <v>6443027.0497093638</v>
      </c>
      <c r="Q46" s="18">
        <f t="shared" si="5"/>
        <v>10777461.6173675</v>
      </c>
      <c r="R46" s="18">
        <f t="shared" si="6"/>
        <v>-401839.54232288897</v>
      </c>
      <c r="S46" s="279">
        <f t="shared" si="7"/>
        <v>3.594496083277695E-2</v>
      </c>
    </row>
    <row r="47" spans="1:19" x14ac:dyDescent="0.25">
      <c r="A47" s="3">
        <f>'Monthly Data'!A47</f>
        <v>43374</v>
      </c>
      <c r="B47" s="1">
        <f t="shared" si="0"/>
        <v>2018</v>
      </c>
      <c r="C47" s="1">
        <f t="shared" si="1"/>
        <v>10</v>
      </c>
      <c r="D47" s="24">
        <f>'Monthly Data'!J47</f>
        <v>11018001.264524272</v>
      </c>
      <c r="E47" s="278">
        <f>'Monthly Data'!BD47</f>
        <v>248.88749999999993</v>
      </c>
      <c r="F47" s="278">
        <f>'Monthly Data'!BG47</f>
        <v>15.387500000000001</v>
      </c>
      <c r="G47" s="4">
        <f>'Monthly Data'!CG47</f>
        <v>0</v>
      </c>
      <c r="H47" s="4">
        <f>'Monthly Data'!CD47</f>
        <v>31</v>
      </c>
      <c r="I47" s="18">
        <f>'Monthly Data'!K47</f>
        <v>4238</v>
      </c>
      <c r="K47" s="18">
        <f>'GS&lt;50 Predicted Monthly'!$V$8</f>
        <v>-5629453.6994364997</v>
      </c>
      <c r="L47" s="18">
        <f>E47*'GS&lt;50 Predicted Monthly'!$V$9</f>
        <v>1344208.1905683561</v>
      </c>
      <c r="M47" s="18">
        <f>F47*'GS&lt;50 Predicted Monthly'!$V$10</f>
        <v>194165.9786862449</v>
      </c>
      <c r="N47" s="18">
        <f>G47*'GS&lt;50 Predicted Monthly'!$V$11</f>
        <v>0</v>
      </c>
      <c r="O47" s="18">
        <f>H47*'GS&lt;50 Predicted Monthly'!$V$12</f>
        <v>8349205.4233871475</v>
      </c>
      <c r="P47" s="18">
        <f>I47*'GS&lt;50 Predicted Monthly'!$V$13</f>
        <v>6468976.2228543675</v>
      </c>
      <c r="Q47" s="18">
        <f t="shared" si="5"/>
        <v>10727102.116059616</v>
      </c>
      <c r="R47" s="18">
        <f t="shared" si="6"/>
        <v>-290899.1484646555</v>
      </c>
      <c r="S47" s="279">
        <f t="shared" si="7"/>
        <v>2.6402170546239792E-2</v>
      </c>
    </row>
    <row r="48" spans="1:19" x14ac:dyDescent="0.25">
      <c r="A48" s="3">
        <f>'Monthly Data'!A48</f>
        <v>43405</v>
      </c>
      <c r="B48" s="1">
        <f t="shared" si="0"/>
        <v>2018</v>
      </c>
      <c r="C48" s="1">
        <f t="shared" si="1"/>
        <v>11</v>
      </c>
      <c r="D48" s="24">
        <f>'Monthly Data'!J48</f>
        <v>11411106.129039779</v>
      </c>
      <c r="E48" s="278">
        <f>'Monthly Data'!BD48</f>
        <v>443.52500000000003</v>
      </c>
      <c r="F48" s="278">
        <f>'Monthly Data'!BG48</f>
        <v>0</v>
      </c>
      <c r="G48" s="4">
        <f>'Monthly Data'!CG48</f>
        <v>0</v>
      </c>
      <c r="H48" s="4">
        <f>'Monthly Data'!CD48</f>
        <v>30</v>
      </c>
      <c r="I48" s="18">
        <f>'Monthly Data'!K48</f>
        <v>4206</v>
      </c>
      <c r="K48" s="18">
        <f>'GS&lt;50 Predicted Monthly'!$V$8</f>
        <v>-5629453.6994364997</v>
      </c>
      <c r="L48" s="18">
        <f>E48*'GS&lt;50 Predicted Monthly'!$V$9</f>
        <v>2395419.3670707862</v>
      </c>
      <c r="M48" s="18">
        <f>F48*'GS&lt;50 Predicted Monthly'!$V$10</f>
        <v>0</v>
      </c>
      <c r="N48" s="18">
        <f>G48*'GS&lt;50 Predicted Monthly'!$V$11</f>
        <v>0</v>
      </c>
      <c r="O48" s="18">
        <f>H48*'GS&lt;50 Predicted Monthly'!$V$12</f>
        <v>8079876.2161811106</v>
      </c>
      <c r="P48" s="18">
        <f>I48*'GS&lt;50 Predicted Monthly'!$V$13</f>
        <v>6420130.7204637732</v>
      </c>
      <c r="Q48" s="18">
        <f t="shared" si="5"/>
        <v>11265972.60427917</v>
      </c>
      <c r="R48" s="18">
        <f t="shared" si="6"/>
        <v>-145133.52476060949</v>
      </c>
      <c r="S48" s="279">
        <f t="shared" si="7"/>
        <v>1.2718620186281816E-2</v>
      </c>
    </row>
    <row r="49" spans="1:22" x14ac:dyDescent="0.25">
      <c r="A49" s="3">
        <f>'Monthly Data'!A49</f>
        <v>43435</v>
      </c>
      <c r="B49" s="1">
        <f t="shared" si="0"/>
        <v>2018</v>
      </c>
      <c r="C49" s="1">
        <f t="shared" si="1"/>
        <v>12</v>
      </c>
      <c r="D49" s="24">
        <f>'Monthly Data'!J49</f>
        <v>11879583.682943571</v>
      </c>
      <c r="E49" s="278">
        <f>'Monthly Data'!BD49</f>
        <v>522.91666666666663</v>
      </c>
      <c r="F49" s="278">
        <f>'Monthly Data'!BG49</f>
        <v>0</v>
      </c>
      <c r="G49" s="4">
        <f>'Monthly Data'!CG49</f>
        <v>0</v>
      </c>
      <c r="H49" s="4">
        <f>'Monthly Data'!CD49</f>
        <v>31</v>
      </c>
      <c r="I49" s="18">
        <f>'Monthly Data'!K49</f>
        <v>4210</v>
      </c>
      <c r="K49" s="18">
        <f>'GS&lt;50 Predicted Monthly'!$V$8</f>
        <v>-5629453.6994364997</v>
      </c>
      <c r="L49" s="18">
        <f>E49*'GS&lt;50 Predicted Monthly'!$V$9</f>
        <v>2824203.169375868</v>
      </c>
      <c r="M49" s="18">
        <f>F49*'GS&lt;50 Predicted Monthly'!$V$10</f>
        <v>0</v>
      </c>
      <c r="N49" s="18">
        <f>G49*'GS&lt;50 Predicted Monthly'!$V$11</f>
        <v>0</v>
      </c>
      <c r="O49" s="18">
        <f>H49*'GS&lt;50 Predicted Monthly'!$V$12</f>
        <v>8349205.4233871475</v>
      </c>
      <c r="P49" s="18">
        <f>I49*'GS&lt;50 Predicted Monthly'!$V$13</f>
        <v>6426236.4082625974</v>
      </c>
      <c r="Q49" s="18">
        <f t="shared" si="5"/>
        <v>11970191.301589113</v>
      </c>
      <c r="R49" s="18">
        <f t="shared" si="6"/>
        <v>90607.61864554137</v>
      </c>
      <c r="S49" s="279">
        <f t="shared" si="7"/>
        <v>7.6271712093441179E-3</v>
      </c>
    </row>
    <row r="50" spans="1:22" x14ac:dyDescent="0.25">
      <c r="A50" s="3">
        <f>'Monthly Data'!A50</f>
        <v>43466</v>
      </c>
      <c r="B50" s="1">
        <f t="shared" si="0"/>
        <v>2019</v>
      </c>
      <c r="C50" s="1">
        <f t="shared" si="1"/>
        <v>1</v>
      </c>
      <c r="D50" s="24">
        <f>'Monthly Data'!J50</f>
        <v>12427019.357755447</v>
      </c>
      <c r="E50" s="278">
        <f>'Monthly Data'!BD50</f>
        <v>717.93333333333339</v>
      </c>
      <c r="F50" s="278">
        <f>'Monthly Data'!BG50</f>
        <v>0</v>
      </c>
      <c r="G50" s="4">
        <f>'Monthly Data'!CG50</f>
        <v>0</v>
      </c>
      <c r="H50" s="4">
        <f>'Monthly Data'!CD50</f>
        <v>31</v>
      </c>
      <c r="I50" s="18">
        <f>'Monthly Data'!K50</f>
        <v>4216</v>
      </c>
      <c r="K50" s="18">
        <f>'GS&lt;50 Predicted Monthly'!$V$8</f>
        <v>-5629453.6994364997</v>
      </c>
      <c r="L50" s="18">
        <f>E50*'GS&lt;50 Predicted Monthly'!$V$9</f>
        <v>3877462.1744712321</v>
      </c>
      <c r="M50" s="18">
        <f>F50*'GS&lt;50 Predicted Monthly'!$V$10</f>
        <v>0</v>
      </c>
      <c r="N50" s="18">
        <f>G50*'GS&lt;50 Predicted Monthly'!$V$11</f>
        <v>0</v>
      </c>
      <c r="O50" s="18">
        <f>H50*'GS&lt;50 Predicted Monthly'!$V$12</f>
        <v>8349205.4233871475</v>
      </c>
      <c r="P50" s="18">
        <f>I50*'GS&lt;50 Predicted Monthly'!$V$13</f>
        <v>6435394.9399608336</v>
      </c>
      <c r="Q50" s="18">
        <f t="shared" si="5"/>
        <v>13032608.838382713</v>
      </c>
      <c r="R50" s="18">
        <f t="shared" si="6"/>
        <v>605589.48062726669</v>
      </c>
      <c r="S50" s="279">
        <f t="shared" si="7"/>
        <v>4.8731675970982595E-2</v>
      </c>
    </row>
    <row r="51" spans="1:22" x14ac:dyDescent="0.25">
      <c r="A51" s="3">
        <f>'Monthly Data'!A51</f>
        <v>43497</v>
      </c>
      <c r="B51" s="1">
        <f t="shared" si="0"/>
        <v>2019</v>
      </c>
      <c r="C51" s="1">
        <f t="shared" si="1"/>
        <v>2</v>
      </c>
      <c r="D51" s="24">
        <f>'Monthly Data'!J51</f>
        <v>10817934.01399897</v>
      </c>
      <c r="E51" s="278">
        <f>'Monthly Data'!BD51</f>
        <v>583.30416666666656</v>
      </c>
      <c r="F51" s="278">
        <f>'Monthly Data'!BG51</f>
        <v>0</v>
      </c>
      <c r="G51" s="4">
        <f>'Monthly Data'!CG51</f>
        <v>0</v>
      </c>
      <c r="H51" s="4">
        <f>'Monthly Data'!CD51</f>
        <v>28</v>
      </c>
      <c r="I51" s="18">
        <f>'Monthly Data'!K51</f>
        <v>4209</v>
      </c>
      <c r="K51" s="18">
        <f>'GS&lt;50 Predicted Monthly'!$V$8</f>
        <v>-5629453.6994364997</v>
      </c>
      <c r="L51" s="18">
        <f>E51*'GS&lt;50 Predicted Monthly'!$V$9</f>
        <v>3150348.00231423</v>
      </c>
      <c r="M51" s="18">
        <f>F51*'GS&lt;50 Predicted Monthly'!$V$10</f>
        <v>0</v>
      </c>
      <c r="N51" s="18">
        <f>G51*'GS&lt;50 Predicted Monthly'!$V$11</f>
        <v>0</v>
      </c>
      <c r="O51" s="18">
        <f>H51*'GS&lt;50 Predicted Monthly'!$V$12</f>
        <v>7541217.8017690368</v>
      </c>
      <c r="P51" s="18">
        <f>I51*'GS&lt;50 Predicted Monthly'!$V$13</f>
        <v>6424709.9863128914</v>
      </c>
      <c r="Q51" s="18">
        <f t="shared" si="5"/>
        <v>11486822.090959657</v>
      </c>
      <c r="R51" s="18">
        <f t="shared" si="6"/>
        <v>668888.07696068659</v>
      </c>
      <c r="S51" s="279">
        <f t="shared" si="7"/>
        <v>6.1831406634123537E-2</v>
      </c>
    </row>
    <row r="52" spans="1:22" x14ac:dyDescent="0.25">
      <c r="A52" s="3">
        <f>'Monthly Data'!A52</f>
        <v>43525</v>
      </c>
      <c r="B52" s="1">
        <f t="shared" si="0"/>
        <v>2019</v>
      </c>
      <c r="C52" s="1">
        <f t="shared" si="1"/>
        <v>3</v>
      </c>
      <c r="D52" s="24">
        <f>'Monthly Data'!J52</f>
        <v>11178126.224762458</v>
      </c>
      <c r="E52" s="278">
        <f>'Monthly Data'!BD52</f>
        <v>549.45833333333326</v>
      </c>
      <c r="F52" s="278">
        <f>'Monthly Data'!BG52</f>
        <v>0</v>
      </c>
      <c r="G52" s="4">
        <f>'Monthly Data'!CG52</f>
        <v>0</v>
      </c>
      <c r="H52" s="4">
        <f>'Monthly Data'!CD52</f>
        <v>31</v>
      </c>
      <c r="I52" s="18">
        <f>'Monthly Data'!K52</f>
        <v>4202</v>
      </c>
      <c r="K52" s="18">
        <f>'GS&lt;50 Predicted Monthly'!$V$8</f>
        <v>-5629453.6994364997</v>
      </c>
      <c r="L52" s="18">
        <f>E52*'GS&lt;50 Predicted Monthly'!$V$9</f>
        <v>2967551.1708812406</v>
      </c>
      <c r="M52" s="18">
        <f>F52*'GS&lt;50 Predicted Monthly'!$V$10</f>
        <v>0</v>
      </c>
      <c r="N52" s="18">
        <f>G52*'GS&lt;50 Predicted Monthly'!$V$11</f>
        <v>0</v>
      </c>
      <c r="O52" s="18">
        <f>H52*'GS&lt;50 Predicted Monthly'!$V$12</f>
        <v>8349205.4233871475</v>
      </c>
      <c r="P52" s="18">
        <f>I52*'GS&lt;50 Predicted Monthly'!$V$13</f>
        <v>6414025.0326649491</v>
      </c>
      <c r="Q52" s="18">
        <f t="shared" si="5"/>
        <v>12101327.927496837</v>
      </c>
      <c r="R52" s="18">
        <f t="shared" si="6"/>
        <v>923201.7027343791</v>
      </c>
      <c r="S52" s="279">
        <f t="shared" si="7"/>
        <v>8.2590023065694781E-2</v>
      </c>
    </row>
    <row r="53" spans="1:22" x14ac:dyDescent="0.25">
      <c r="A53" s="3">
        <f>'Monthly Data'!A53</f>
        <v>43556</v>
      </c>
      <c r="B53" s="1">
        <f t="shared" si="0"/>
        <v>2019</v>
      </c>
      <c r="C53" s="1">
        <f t="shared" si="1"/>
        <v>4</v>
      </c>
      <c r="D53" s="24">
        <f>'Monthly Data'!J53</f>
        <v>9605223.0161340497</v>
      </c>
      <c r="E53" s="278">
        <f>'Monthly Data'!BD53</f>
        <v>306.65416666666664</v>
      </c>
      <c r="F53" s="278">
        <f>'Monthly Data'!BG53</f>
        <v>0</v>
      </c>
      <c r="G53" s="4">
        <f>'Monthly Data'!CG53</f>
        <v>0</v>
      </c>
      <c r="H53" s="4">
        <f>'Monthly Data'!CD53</f>
        <v>30</v>
      </c>
      <c r="I53" s="18">
        <f>'Monthly Data'!K53</f>
        <v>4202</v>
      </c>
      <c r="K53" s="18">
        <f>'GS&lt;50 Predicted Monthly'!$V$8</f>
        <v>-5629453.6994364997</v>
      </c>
      <c r="L53" s="18">
        <f>E53*'GS&lt;50 Predicted Monthly'!$V$9</f>
        <v>1656198.2522434723</v>
      </c>
      <c r="M53" s="18">
        <f>F53*'GS&lt;50 Predicted Monthly'!$V$10</f>
        <v>0</v>
      </c>
      <c r="N53" s="18">
        <f>G53*'GS&lt;50 Predicted Monthly'!$V$11</f>
        <v>0</v>
      </c>
      <c r="O53" s="18">
        <f>H53*'GS&lt;50 Predicted Monthly'!$V$12</f>
        <v>8079876.2161811106</v>
      </c>
      <c r="P53" s="18">
        <f>I53*'GS&lt;50 Predicted Monthly'!$V$13</f>
        <v>6414025.0326649491</v>
      </c>
      <c r="Q53" s="18">
        <f t="shared" si="5"/>
        <v>10520645.801653031</v>
      </c>
      <c r="R53" s="18">
        <f t="shared" si="6"/>
        <v>915422.78551898152</v>
      </c>
      <c r="S53" s="279">
        <f t="shared" si="7"/>
        <v>9.5304688291081935E-2</v>
      </c>
    </row>
    <row r="54" spans="1:22" x14ac:dyDescent="0.25">
      <c r="A54" s="3">
        <f>'Monthly Data'!A54</f>
        <v>43586</v>
      </c>
      <c r="B54" s="1">
        <f t="shared" si="0"/>
        <v>2019</v>
      </c>
      <c r="C54" s="1">
        <f t="shared" si="1"/>
        <v>5</v>
      </c>
      <c r="D54" s="24">
        <f>'Monthly Data'!J54</f>
        <v>9221277.1523471624</v>
      </c>
      <c r="E54" s="278">
        <f>'Monthly Data'!BD54</f>
        <v>145.93881578947367</v>
      </c>
      <c r="F54" s="278">
        <f>'Monthly Data'!BG54</f>
        <v>11.208333333333332</v>
      </c>
      <c r="G54" s="4">
        <f>'Monthly Data'!CG54</f>
        <v>0</v>
      </c>
      <c r="H54" s="4">
        <f>'Monthly Data'!CD54</f>
        <v>31</v>
      </c>
      <c r="I54" s="18">
        <f>'Monthly Data'!K54</f>
        <v>4196</v>
      </c>
      <c r="K54" s="18">
        <f>'GS&lt;50 Predicted Monthly'!$V$8</f>
        <v>-5629453.6994364997</v>
      </c>
      <c r="L54" s="18">
        <f>E54*'GS&lt;50 Predicted Monthly'!$V$9</f>
        <v>788196.07857388211</v>
      </c>
      <c r="M54" s="18">
        <f>F54*'GS&lt;50 Predicted Monthly'!$V$10</f>
        <v>141431.48731816915</v>
      </c>
      <c r="N54" s="18">
        <f>G54*'GS&lt;50 Predicted Monthly'!$V$11</f>
        <v>0</v>
      </c>
      <c r="O54" s="18">
        <f>H54*'GS&lt;50 Predicted Monthly'!$V$12</f>
        <v>8349205.4233871475</v>
      </c>
      <c r="P54" s="18">
        <f>I54*'GS&lt;50 Predicted Monthly'!$V$13</f>
        <v>6404866.5009667119</v>
      </c>
      <c r="Q54" s="18">
        <f t="shared" si="5"/>
        <v>10054245.790809412</v>
      </c>
      <c r="R54" s="18">
        <f t="shared" si="6"/>
        <v>832968.63846224919</v>
      </c>
      <c r="S54" s="279">
        <f t="shared" si="7"/>
        <v>9.0331157463391862E-2</v>
      </c>
    </row>
    <row r="55" spans="1:22" x14ac:dyDescent="0.25">
      <c r="A55" s="3">
        <f>'Monthly Data'!A55</f>
        <v>43617</v>
      </c>
      <c r="B55" s="1">
        <f t="shared" si="0"/>
        <v>2019</v>
      </c>
      <c r="C55" s="1">
        <f t="shared" si="1"/>
        <v>6</v>
      </c>
      <c r="D55" s="24">
        <f>'Monthly Data'!J55</f>
        <v>9417230.9671708588</v>
      </c>
      <c r="E55" s="278">
        <f>'Monthly Data'!BD55</f>
        <v>21.925000000000018</v>
      </c>
      <c r="F55" s="278">
        <f>'Monthly Data'!BG55</f>
        <v>118.81666666666663</v>
      </c>
      <c r="G55" s="4">
        <f>'Monthly Data'!CG55</f>
        <v>0</v>
      </c>
      <c r="H55" s="4">
        <f>'Monthly Data'!CD55</f>
        <v>30</v>
      </c>
      <c r="I55" s="18">
        <f>'Monthly Data'!K55</f>
        <v>4194</v>
      </c>
      <c r="K55" s="18">
        <f>'GS&lt;50 Predicted Monthly'!$V$8</f>
        <v>-5629453.6994364997</v>
      </c>
      <c r="L55" s="18">
        <f>E55*'GS&lt;50 Predicted Monthly'!$V$9</f>
        <v>118414.00061558431</v>
      </c>
      <c r="M55" s="18">
        <f>F55*'GS&lt;50 Predicted Monthly'!$V$10</f>
        <v>1499278.9190947625</v>
      </c>
      <c r="N55" s="18">
        <f>G55*'GS&lt;50 Predicted Monthly'!$V$11</f>
        <v>0</v>
      </c>
      <c r="O55" s="18">
        <f>H55*'GS&lt;50 Predicted Monthly'!$V$12</f>
        <v>8079876.2161811106</v>
      </c>
      <c r="P55" s="18">
        <f>I55*'GS&lt;50 Predicted Monthly'!$V$13</f>
        <v>6401813.6570672998</v>
      </c>
      <c r="Q55" s="18">
        <f t="shared" si="5"/>
        <v>10469929.093522258</v>
      </c>
      <c r="R55" s="18">
        <f t="shared" si="6"/>
        <v>1052698.1263513993</v>
      </c>
      <c r="S55" s="279">
        <f t="shared" si="7"/>
        <v>0.11178425271942255</v>
      </c>
    </row>
    <row r="56" spans="1:22" x14ac:dyDescent="0.25">
      <c r="A56" s="3">
        <f>'Monthly Data'!A56</f>
        <v>43647</v>
      </c>
      <c r="B56" s="1">
        <f t="shared" si="0"/>
        <v>2019</v>
      </c>
      <c r="C56" s="1">
        <f t="shared" si="1"/>
        <v>7</v>
      </c>
      <c r="D56" s="24">
        <f>'Monthly Data'!J56</f>
        <v>11222943.646553386</v>
      </c>
      <c r="E56" s="278">
        <f>'Monthly Data'!BD56</f>
        <v>0</v>
      </c>
      <c r="F56" s="278">
        <f>'Monthly Data'!BG56</f>
        <v>259.60000000000008</v>
      </c>
      <c r="G56" s="4">
        <f>'Monthly Data'!CG56</f>
        <v>0</v>
      </c>
      <c r="H56" s="4">
        <f>'Monthly Data'!CD56</f>
        <v>31</v>
      </c>
      <c r="I56" s="18">
        <f>'Monthly Data'!K56</f>
        <v>4188</v>
      </c>
      <c r="K56" s="18">
        <f>'GS&lt;50 Predicted Monthly'!$V$8</f>
        <v>-5629453.6994364997</v>
      </c>
      <c r="L56" s="18">
        <f>E56*'GS&lt;50 Predicted Monthly'!$V$9</f>
        <v>0</v>
      </c>
      <c r="M56" s="18">
        <f>F56*'GS&lt;50 Predicted Monthly'!$V$10</f>
        <v>3275742.5226287041</v>
      </c>
      <c r="N56" s="18">
        <f>G56*'GS&lt;50 Predicted Monthly'!$V$11</f>
        <v>0</v>
      </c>
      <c r="O56" s="18">
        <f>H56*'GS&lt;50 Predicted Monthly'!$V$12</f>
        <v>8349205.4233871475</v>
      </c>
      <c r="P56" s="18">
        <f>I56*'GS&lt;50 Predicted Monthly'!$V$13</f>
        <v>6392655.1253690636</v>
      </c>
      <c r="Q56" s="18">
        <f t="shared" si="5"/>
        <v>12388149.371948415</v>
      </c>
      <c r="R56" s="18">
        <f t="shared" si="6"/>
        <v>1165205.7253950294</v>
      </c>
      <c r="S56" s="279">
        <f t="shared" si="7"/>
        <v>0.10382353882288886</v>
      </c>
    </row>
    <row r="57" spans="1:22" x14ac:dyDescent="0.25">
      <c r="A57" s="3">
        <f>'Monthly Data'!A57</f>
        <v>43678</v>
      </c>
      <c r="B57" s="1">
        <f t="shared" si="0"/>
        <v>2019</v>
      </c>
      <c r="C57" s="1">
        <f t="shared" si="1"/>
        <v>8</v>
      </c>
      <c r="D57" s="24">
        <f>'Monthly Data'!J57</f>
        <v>10444170.994703799</v>
      </c>
      <c r="E57" s="278">
        <f>'Monthly Data'!BD57</f>
        <v>0</v>
      </c>
      <c r="F57" s="278">
        <f>'Monthly Data'!BG57</f>
        <v>190.07083333333335</v>
      </c>
      <c r="G57" s="4">
        <f>'Monthly Data'!CG57</f>
        <v>0</v>
      </c>
      <c r="H57" s="4">
        <f>'Monthly Data'!CD57</f>
        <v>31</v>
      </c>
      <c r="I57" s="18">
        <f>'Monthly Data'!K57</f>
        <v>4187</v>
      </c>
      <c r="K57" s="18">
        <f>'GS&lt;50 Predicted Monthly'!$V$8</f>
        <v>-5629453.6994364997</v>
      </c>
      <c r="L57" s="18">
        <f>E57*'GS&lt;50 Predicted Monthly'!$V$9</f>
        <v>0</v>
      </c>
      <c r="M57" s="18">
        <f>F57*'GS&lt;50 Predicted Monthly'!$V$10</f>
        <v>2398394.1104062912</v>
      </c>
      <c r="N57" s="18">
        <f>G57*'GS&lt;50 Predicted Monthly'!$V$11</f>
        <v>0</v>
      </c>
      <c r="O57" s="18">
        <f>H57*'GS&lt;50 Predicted Monthly'!$V$12</f>
        <v>8349205.4233871475</v>
      </c>
      <c r="P57" s="18">
        <f>I57*'GS&lt;50 Predicted Monthly'!$V$13</f>
        <v>6391128.7034193575</v>
      </c>
      <c r="Q57" s="18">
        <f t="shared" si="5"/>
        <v>11509274.537776297</v>
      </c>
      <c r="R57" s="18">
        <f t="shared" si="6"/>
        <v>1065103.5430724975</v>
      </c>
      <c r="S57" s="279">
        <f t="shared" si="7"/>
        <v>0.10198066879722742</v>
      </c>
    </row>
    <row r="58" spans="1:22" x14ac:dyDescent="0.25">
      <c r="A58" s="3">
        <f>'Monthly Data'!A58</f>
        <v>43709</v>
      </c>
      <c r="B58" s="1">
        <f t="shared" si="0"/>
        <v>2019</v>
      </c>
      <c r="C58" s="1">
        <f t="shared" si="1"/>
        <v>9</v>
      </c>
      <c r="D58" s="24">
        <f>'Monthly Data'!J58</f>
        <v>9115439.8190174215</v>
      </c>
      <c r="E58" s="278">
        <f>'Monthly Data'!BD58</f>
        <v>21.004166666666656</v>
      </c>
      <c r="F58" s="278">
        <f>'Monthly Data'!BG58</f>
        <v>76.5</v>
      </c>
      <c r="G58" s="4">
        <f>'Monthly Data'!CG58</f>
        <v>0</v>
      </c>
      <c r="H58" s="4">
        <f>'Monthly Data'!CD58</f>
        <v>30</v>
      </c>
      <c r="I58" s="18">
        <f>'Monthly Data'!K58</f>
        <v>4186</v>
      </c>
      <c r="K58" s="18">
        <f>'GS&lt;50 Predicted Monthly'!$V$8</f>
        <v>-5629453.6994364997</v>
      </c>
      <c r="L58" s="18">
        <f>E58*'GS&lt;50 Predicted Monthly'!$V$9</f>
        <v>113440.70260417326</v>
      </c>
      <c r="M58" s="18">
        <f>F58*'GS&lt;50 Predicted Monthly'!$V$10</f>
        <v>965309.33351731824</v>
      </c>
      <c r="N58" s="18">
        <f>G58*'GS&lt;50 Predicted Monthly'!$V$11</f>
        <v>0</v>
      </c>
      <c r="O58" s="18">
        <f>H58*'GS&lt;50 Predicted Monthly'!$V$12</f>
        <v>8079876.2161811106</v>
      </c>
      <c r="P58" s="18">
        <f>I58*'GS&lt;50 Predicted Monthly'!$V$13</f>
        <v>6389602.2814696515</v>
      </c>
      <c r="Q58" s="18">
        <f t="shared" si="5"/>
        <v>9918774.8343357556</v>
      </c>
      <c r="R58" s="18">
        <f t="shared" si="6"/>
        <v>803335.0153183341</v>
      </c>
      <c r="S58" s="279">
        <f t="shared" si="7"/>
        <v>8.8129046021712176E-2</v>
      </c>
    </row>
    <row r="59" spans="1:22" x14ac:dyDescent="0.25">
      <c r="A59" s="3">
        <f>'Monthly Data'!A59</f>
        <v>43739</v>
      </c>
      <c r="B59" s="1">
        <f t="shared" si="0"/>
        <v>2019</v>
      </c>
      <c r="C59" s="1">
        <f t="shared" si="1"/>
        <v>10</v>
      </c>
      <c r="D59" s="24">
        <f>'Monthly Data'!J59</f>
        <v>9056576.7105109673</v>
      </c>
      <c r="E59" s="278">
        <f>'Monthly Data'!BD59</f>
        <v>183.7791666666667</v>
      </c>
      <c r="F59" s="278">
        <f>'Monthly Data'!BG59</f>
        <v>7.3333333333333357</v>
      </c>
      <c r="G59" s="4">
        <f>'Monthly Data'!CG59</f>
        <v>0</v>
      </c>
      <c r="H59" s="4">
        <f>'Monthly Data'!CD59</f>
        <v>31</v>
      </c>
      <c r="I59" s="18">
        <f>'Monthly Data'!K59</f>
        <v>4187</v>
      </c>
      <c r="K59" s="18">
        <f>'GS&lt;50 Predicted Monthly'!$V$8</f>
        <v>-5629453.6994364997</v>
      </c>
      <c r="L59" s="18">
        <f>E59*'GS&lt;50 Predicted Monthly'!$V$9</f>
        <v>992566.76646742178</v>
      </c>
      <c r="M59" s="18">
        <f>F59*'GS&lt;50 Predicted Monthly'!$V$10</f>
        <v>92535.099509285428</v>
      </c>
      <c r="N59" s="18">
        <f>G59*'GS&lt;50 Predicted Monthly'!$V$11</f>
        <v>0</v>
      </c>
      <c r="O59" s="18">
        <f>H59*'GS&lt;50 Predicted Monthly'!$V$12</f>
        <v>8349205.4233871475</v>
      </c>
      <c r="P59" s="18">
        <f>I59*'GS&lt;50 Predicted Monthly'!$V$13</f>
        <v>6391128.7034193575</v>
      </c>
      <c r="Q59" s="18">
        <f t="shared" si="5"/>
        <v>10195982.293346712</v>
      </c>
      <c r="R59" s="18">
        <f t="shared" si="6"/>
        <v>1139405.5828357451</v>
      </c>
      <c r="S59" s="279">
        <f t="shared" si="7"/>
        <v>0.12580974238459913</v>
      </c>
    </row>
    <row r="60" spans="1:22" x14ac:dyDescent="0.25">
      <c r="A60" s="3">
        <f>'Monthly Data'!A60</f>
        <v>43770</v>
      </c>
      <c r="B60" s="1">
        <f t="shared" ref="B60:B115" si="8">YEAR(A60)</f>
        <v>2019</v>
      </c>
      <c r="C60" s="1">
        <f t="shared" ref="C60:C115" si="9">MONTH(A60)</f>
        <v>11</v>
      </c>
      <c r="D60" s="24">
        <f>'Monthly Data'!J60</f>
        <v>10350429.699744491</v>
      </c>
      <c r="E60" s="278">
        <f>'Monthly Data'!BD60</f>
        <v>469.72499999999997</v>
      </c>
      <c r="F60" s="278">
        <f>'Monthly Data'!BG60</f>
        <v>0</v>
      </c>
      <c r="G60" s="4">
        <f>'Monthly Data'!CG60</f>
        <v>0</v>
      </c>
      <c r="H60" s="4">
        <f>'Monthly Data'!CD60</f>
        <v>30</v>
      </c>
      <c r="I60" s="18">
        <f>'Monthly Data'!K60</f>
        <v>4184</v>
      </c>
      <c r="K60" s="18">
        <f>'GS&lt;50 Predicted Monthly'!$V$8</f>
        <v>-5629453.6994364997</v>
      </c>
      <c r="L60" s="18">
        <f>E60*'GS&lt;50 Predicted Monthly'!$V$9</f>
        <v>2536922.0724814273</v>
      </c>
      <c r="M60" s="18">
        <f>F60*'GS&lt;50 Predicted Monthly'!$V$10</f>
        <v>0</v>
      </c>
      <c r="N60" s="18">
        <f>G60*'GS&lt;50 Predicted Monthly'!$V$11</f>
        <v>0</v>
      </c>
      <c r="O60" s="18">
        <f>H60*'GS&lt;50 Predicted Monthly'!$V$12</f>
        <v>8079876.2161811106</v>
      </c>
      <c r="P60" s="18">
        <f>I60*'GS&lt;50 Predicted Monthly'!$V$13</f>
        <v>6386549.4375702394</v>
      </c>
      <c r="Q60" s="18">
        <f t="shared" si="5"/>
        <v>11373894.026796278</v>
      </c>
      <c r="R60" s="18">
        <f t="shared" si="6"/>
        <v>1023464.3270517867</v>
      </c>
      <c r="S60" s="279">
        <f t="shared" si="7"/>
        <v>9.8881336982275414E-2</v>
      </c>
    </row>
    <row r="61" spans="1:22" x14ac:dyDescent="0.25">
      <c r="A61" s="3">
        <f>'Monthly Data'!A61</f>
        <v>43800</v>
      </c>
      <c r="B61" s="1">
        <f t="shared" si="8"/>
        <v>2019</v>
      </c>
      <c r="C61" s="1">
        <f t="shared" si="9"/>
        <v>12</v>
      </c>
      <c r="D61" s="24">
        <f>'Monthly Data'!J61</f>
        <v>11008452.135093993</v>
      </c>
      <c r="E61" s="278">
        <f>'Monthly Data'!BD61</f>
        <v>552.42916666666667</v>
      </c>
      <c r="F61" s="278">
        <f>'Monthly Data'!BG61</f>
        <v>0</v>
      </c>
      <c r="G61" s="4">
        <f>'Monthly Data'!CG61</f>
        <v>0</v>
      </c>
      <c r="H61" s="4">
        <f>'Monthly Data'!CD61</f>
        <v>31</v>
      </c>
      <c r="I61" s="18">
        <f>'Monthly Data'!K61</f>
        <v>4187</v>
      </c>
      <c r="K61" s="18">
        <f>'GS&lt;50 Predicted Monthly'!$V$8</f>
        <v>-5629453.6994364997</v>
      </c>
      <c r="L61" s="18">
        <f>E61*'GS&lt;50 Predicted Monthly'!$V$9</f>
        <v>2983596.2454610416</v>
      </c>
      <c r="M61" s="18">
        <f>F61*'GS&lt;50 Predicted Monthly'!$V$10</f>
        <v>0</v>
      </c>
      <c r="N61" s="18">
        <f>G61*'GS&lt;50 Predicted Monthly'!$V$11</f>
        <v>0</v>
      </c>
      <c r="O61" s="18">
        <f>H61*'GS&lt;50 Predicted Monthly'!$V$12</f>
        <v>8349205.4233871475</v>
      </c>
      <c r="P61" s="18">
        <f>I61*'GS&lt;50 Predicted Monthly'!$V$13</f>
        <v>6391128.7034193575</v>
      </c>
      <c r="Q61" s="18">
        <f t="shared" si="5"/>
        <v>12094476.672831047</v>
      </c>
      <c r="R61" s="18">
        <f t="shared" si="6"/>
        <v>1086024.5377370548</v>
      </c>
      <c r="S61" s="279">
        <f t="shared" si="7"/>
        <v>9.8653700303142758E-2</v>
      </c>
    </row>
    <row r="62" spans="1:22" x14ac:dyDescent="0.25">
      <c r="A62" s="3">
        <f>'Monthly Data'!A62</f>
        <v>43831</v>
      </c>
      <c r="B62" s="1">
        <f t="shared" si="8"/>
        <v>2020</v>
      </c>
      <c r="C62" s="1">
        <f t="shared" si="9"/>
        <v>1</v>
      </c>
      <c r="D62" s="24">
        <f>'Monthly Data'!J62</f>
        <v>12171705.298896791</v>
      </c>
      <c r="E62" s="278">
        <f>'Monthly Data'!BD62</f>
        <v>566.82083333333333</v>
      </c>
      <c r="F62" s="278">
        <f>'Monthly Data'!BG62</f>
        <v>0</v>
      </c>
      <c r="G62" s="4">
        <f>'Monthly Data'!CG62</f>
        <v>0</v>
      </c>
      <c r="H62" s="4">
        <f>'Monthly Data'!CD62</f>
        <v>31</v>
      </c>
      <c r="I62" s="18">
        <f>'Monthly Data'!K62</f>
        <v>4193</v>
      </c>
      <c r="K62" s="18">
        <f>'GS&lt;50 Predicted Monthly'!$V$8</f>
        <v>-5629453.6994364997</v>
      </c>
      <c r="L62" s="18">
        <f>E62*'GS&lt;50 Predicted Monthly'!$V$9</f>
        <v>3061323.7175488845</v>
      </c>
      <c r="M62" s="18">
        <f>F62*'GS&lt;50 Predicted Monthly'!$V$10</f>
        <v>0</v>
      </c>
      <c r="N62" s="18">
        <f>G62*'GS&lt;50 Predicted Monthly'!$V$11</f>
        <v>0</v>
      </c>
      <c r="O62" s="18">
        <f>H62*'GS&lt;50 Predicted Monthly'!$V$12</f>
        <v>8349205.4233871475</v>
      </c>
      <c r="P62" s="18">
        <f>I62*'GS&lt;50 Predicted Monthly'!$V$13</f>
        <v>6400287.2351175938</v>
      </c>
      <c r="Q62" s="18">
        <f t="shared" si="5"/>
        <v>12181362.676617127</v>
      </c>
      <c r="R62" s="18">
        <f t="shared" si="6"/>
        <v>9657.3777203354985</v>
      </c>
      <c r="S62" s="279">
        <f t="shared" si="7"/>
        <v>7.9342848706752834E-4</v>
      </c>
    </row>
    <row r="63" spans="1:22" x14ac:dyDescent="0.25">
      <c r="A63" s="3">
        <f>'Monthly Data'!A63</f>
        <v>43862</v>
      </c>
      <c r="B63" s="1">
        <f t="shared" si="8"/>
        <v>2020</v>
      </c>
      <c r="C63" s="1">
        <f t="shared" si="9"/>
        <v>2</v>
      </c>
      <c r="D63" s="24">
        <f>'Monthly Data'!J63</f>
        <v>11320017.388098987</v>
      </c>
      <c r="E63" s="278">
        <f>'Monthly Data'!BD63</f>
        <v>562.4</v>
      </c>
      <c r="F63" s="278">
        <f>'Monthly Data'!BG63</f>
        <v>0</v>
      </c>
      <c r="G63" s="4">
        <f>'Monthly Data'!CG63</f>
        <v>0</v>
      </c>
      <c r="H63" s="4">
        <f>'Monthly Data'!CD63</f>
        <v>29</v>
      </c>
      <c r="I63" s="18">
        <f>'Monthly Data'!K63</f>
        <v>4199</v>
      </c>
      <c r="K63" s="18">
        <f>'GS&lt;50 Predicted Monthly'!$V$8</f>
        <v>-5629453.6994364997</v>
      </c>
      <c r="L63" s="18">
        <f>E63*'GS&lt;50 Predicted Monthly'!$V$9</f>
        <v>3037447.3863719297</v>
      </c>
      <c r="M63" s="18">
        <f>F63*'GS&lt;50 Predicted Monthly'!$V$10</f>
        <v>0</v>
      </c>
      <c r="N63" s="18">
        <f>G63*'GS&lt;50 Predicted Monthly'!$V$11</f>
        <v>0</v>
      </c>
      <c r="O63" s="18">
        <f>H63*'GS&lt;50 Predicted Monthly'!$V$12</f>
        <v>7810547.0089750737</v>
      </c>
      <c r="P63" s="18">
        <f>I63*'GS&lt;50 Predicted Monthly'!$V$13</f>
        <v>6409445.76681583</v>
      </c>
      <c r="Q63" s="18">
        <f t="shared" si="5"/>
        <v>11627986.462726334</v>
      </c>
      <c r="R63" s="18">
        <f t="shared" si="6"/>
        <v>307969.07462734729</v>
      </c>
      <c r="S63" s="279">
        <f t="shared" si="7"/>
        <v>2.7205706852634588E-2</v>
      </c>
    </row>
    <row r="64" spans="1:22" x14ac:dyDescent="0.25">
      <c r="A64" s="3">
        <f>'Monthly Data'!A64</f>
        <v>43891</v>
      </c>
      <c r="B64" s="1">
        <f t="shared" si="8"/>
        <v>2020</v>
      </c>
      <c r="C64" s="1">
        <f t="shared" si="9"/>
        <v>3</v>
      </c>
      <c r="D64" s="24">
        <f>'Monthly Data'!J64</f>
        <v>10567020.275292698</v>
      </c>
      <c r="E64" s="278">
        <f>'Monthly Data'!BD64</f>
        <v>419.57083333333344</v>
      </c>
      <c r="F64" s="278">
        <f>'Monthly Data'!BG64</f>
        <v>0</v>
      </c>
      <c r="G64" s="4">
        <f>'Monthly Data'!CG64</f>
        <v>0.5</v>
      </c>
      <c r="H64" s="4">
        <f>'Monthly Data'!CD64</f>
        <v>31</v>
      </c>
      <c r="I64" s="18">
        <f>'Monthly Data'!K64</f>
        <v>4202</v>
      </c>
      <c r="K64" s="18">
        <f>'GS&lt;50 Predicted Monthly'!$V$8</f>
        <v>-5629453.6994364997</v>
      </c>
      <c r="L64" s="18">
        <f>E64*'GS&lt;50 Predicted Monthly'!$V$9</f>
        <v>2266046.1079413695</v>
      </c>
      <c r="M64" s="18">
        <f>F64*'GS&lt;50 Predicted Monthly'!$V$10</f>
        <v>0</v>
      </c>
      <c r="N64" s="18">
        <f>G64*'GS&lt;50 Predicted Monthly'!$V$11</f>
        <v>-789653.80298584502</v>
      </c>
      <c r="O64" s="18">
        <f>H64*'GS&lt;50 Predicted Monthly'!$V$12</f>
        <v>8349205.4233871475</v>
      </c>
      <c r="P64" s="18">
        <f>I64*'GS&lt;50 Predicted Monthly'!$V$13</f>
        <v>6414025.0326649491</v>
      </c>
      <c r="Q64" s="18">
        <f t="shared" si="5"/>
        <v>10610169.061571121</v>
      </c>
      <c r="R64" s="18">
        <f t="shared" si="6"/>
        <v>43148.786278422922</v>
      </c>
      <c r="S64" s="279">
        <f t="shared" si="7"/>
        <v>4.0833447040232668E-3</v>
      </c>
      <c r="U64" s="18"/>
      <c r="V64" s="279"/>
    </row>
    <row r="65" spans="1:26" x14ac:dyDescent="0.25">
      <c r="A65" s="3">
        <f>'Monthly Data'!A65</f>
        <v>43922</v>
      </c>
      <c r="B65" s="1">
        <f t="shared" si="8"/>
        <v>2020</v>
      </c>
      <c r="C65" s="1">
        <f t="shared" si="9"/>
        <v>4</v>
      </c>
      <c r="D65" s="24">
        <f>'Monthly Data'!J65</f>
        <v>8512616.9184663724</v>
      </c>
      <c r="E65" s="278">
        <f>'Monthly Data'!BD65</f>
        <v>319.67500000000007</v>
      </c>
      <c r="F65" s="278">
        <f>'Monthly Data'!BG65</f>
        <v>0</v>
      </c>
      <c r="G65" s="4">
        <f>'Monthly Data'!CG65</f>
        <v>1</v>
      </c>
      <c r="H65" s="4">
        <f>'Monthly Data'!CD65</f>
        <v>30</v>
      </c>
      <c r="I65" s="18">
        <f>'Monthly Data'!K65</f>
        <v>4201</v>
      </c>
      <c r="K65" s="18">
        <f>'GS&lt;50 Predicted Monthly'!$V$8</f>
        <v>-5629453.6994364997</v>
      </c>
      <c r="L65" s="18">
        <f>E65*'GS&lt;50 Predicted Monthly'!$V$9</f>
        <v>1726522.0363414774</v>
      </c>
      <c r="M65" s="18">
        <f>F65*'GS&lt;50 Predicted Monthly'!$V$10</f>
        <v>0</v>
      </c>
      <c r="N65" s="18">
        <f>G65*'GS&lt;50 Predicted Monthly'!$V$11</f>
        <v>-1579307.60597169</v>
      </c>
      <c r="O65" s="18">
        <f>H65*'GS&lt;50 Predicted Monthly'!$V$12</f>
        <v>8079876.2161811106</v>
      </c>
      <c r="P65" s="18">
        <f>I65*'GS&lt;50 Predicted Monthly'!$V$13</f>
        <v>6412498.6107152421</v>
      </c>
      <c r="Q65" s="18">
        <f t="shared" si="5"/>
        <v>9010135.5578296408</v>
      </c>
      <c r="R65" s="18">
        <f t="shared" si="6"/>
        <v>497518.63936326839</v>
      </c>
      <c r="S65" s="279">
        <f t="shared" si="7"/>
        <v>5.844485240302591E-2</v>
      </c>
      <c r="U65" s="18"/>
      <c r="V65" s="279"/>
    </row>
    <row r="66" spans="1:26" x14ac:dyDescent="0.25">
      <c r="A66" s="3">
        <f>'Monthly Data'!A66</f>
        <v>43952</v>
      </c>
      <c r="B66" s="1">
        <f t="shared" si="8"/>
        <v>2020</v>
      </c>
      <c r="C66" s="1">
        <f t="shared" si="9"/>
        <v>5</v>
      </c>
      <c r="D66" s="24">
        <f>'Monthly Data'!J66</f>
        <v>8422331.1027372573</v>
      </c>
      <c r="E66" s="278">
        <f>'Monthly Data'!BD66</f>
        <v>164.60000000000005</v>
      </c>
      <c r="F66" s="278">
        <f>'Monthly Data'!BG66</f>
        <v>50.900595238095221</v>
      </c>
      <c r="G66" s="4">
        <f>'Monthly Data'!CG66</f>
        <v>1</v>
      </c>
      <c r="H66" s="4">
        <f>'Monthly Data'!CD66</f>
        <v>31</v>
      </c>
      <c r="I66" s="18">
        <f>'Monthly Data'!K66</f>
        <v>4201</v>
      </c>
      <c r="K66" s="18">
        <f>'GS&lt;50 Predicted Monthly'!$V$8</f>
        <v>-5629453.6994364997</v>
      </c>
      <c r="L66" s="18">
        <f>E66*'GS&lt;50 Predicted Monthly'!$V$9</f>
        <v>888982.64544242492</v>
      </c>
      <c r="M66" s="18">
        <f>F66*'GS&lt;50 Predicted Monthly'!$V$10</f>
        <v>642285.22437804542</v>
      </c>
      <c r="N66" s="18">
        <f>G66*'GS&lt;50 Predicted Monthly'!$V$11</f>
        <v>-1579307.60597169</v>
      </c>
      <c r="O66" s="18">
        <f>H66*'GS&lt;50 Predicted Monthly'!$V$12</f>
        <v>8349205.4233871475</v>
      </c>
      <c r="P66" s="18">
        <f>I66*'GS&lt;50 Predicted Monthly'!$V$13</f>
        <v>6412498.6107152421</v>
      </c>
      <c r="Q66" s="18">
        <f t="shared" ref="Q66:Q97" si="10">SUM(K66:P66)</f>
        <v>9084210.5985146705</v>
      </c>
      <c r="R66" s="18">
        <f t="shared" ref="R66:R97" si="11">Q66-D66</f>
        <v>661879.49577741325</v>
      </c>
      <c r="S66" s="279">
        <f t="shared" ref="S66:S97" si="12">ABS(R66/D66)</f>
        <v>7.858625927948884E-2</v>
      </c>
      <c r="U66" s="18"/>
      <c r="V66" s="279"/>
    </row>
    <row r="67" spans="1:26" x14ac:dyDescent="0.25">
      <c r="A67" s="3">
        <f>'Monthly Data'!A67</f>
        <v>43983</v>
      </c>
      <c r="B67" s="1">
        <f t="shared" si="8"/>
        <v>2020</v>
      </c>
      <c r="C67" s="1">
        <f t="shared" si="9"/>
        <v>6</v>
      </c>
      <c r="D67" s="24">
        <f>'Monthly Data'!J67</f>
        <v>9420600.9622815214</v>
      </c>
      <c r="E67" s="278">
        <f>'Monthly Data'!BD67</f>
        <v>13.145833333333346</v>
      </c>
      <c r="F67" s="278">
        <f>'Monthly Data'!BG67</f>
        <v>165.96956521739128</v>
      </c>
      <c r="G67" s="4">
        <f>'Monthly Data'!CG67</f>
        <v>0.5</v>
      </c>
      <c r="H67" s="4">
        <f>'Monthly Data'!CD67</f>
        <v>30</v>
      </c>
      <c r="I67" s="18">
        <f>'Monthly Data'!K67</f>
        <v>4205</v>
      </c>
      <c r="K67" s="18">
        <f>'GS&lt;50 Predicted Monthly'!$V$8</f>
        <v>-5629453.6994364997</v>
      </c>
      <c r="L67" s="18">
        <f>E67*'GS&lt;50 Predicted Monthly'!$V$9</f>
        <v>70998.892425345606</v>
      </c>
      <c r="M67" s="18">
        <f>F67*'GS&lt;50 Predicted Monthly'!$V$10</f>
        <v>2094274.1226687457</v>
      </c>
      <c r="N67" s="18">
        <f>G67*'GS&lt;50 Predicted Monthly'!$V$11</f>
        <v>-789653.80298584502</v>
      </c>
      <c r="O67" s="18">
        <f>H67*'GS&lt;50 Predicted Monthly'!$V$12</f>
        <v>8079876.2161811106</v>
      </c>
      <c r="P67" s="18">
        <f>I67*'GS&lt;50 Predicted Monthly'!$V$13</f>
        <v>6418604.2985140672</v>
      </c>
      <c r="Q67" s="18">
        <f t="shared" si="10"/>
        <v>10244646.027366925</v>
      </c>
      <c r="R67" s="18">
        <f t="shared" si="11"/>
        <v>824045.06508540362</v>
      </c>
      <c r="S67" s="279">
        <f t="shared" si="12"/>
        <v>8.747266425833547E-2</v>
      </c>
      <c r="U67" s="18"/>
      <c r="V67" s="279"/>
    </row>
    <row r="68" spans="1:26" x14ac:dyDescent="0.25">
      <c r="A68" s="3">
        <f>'Monthly Data'!A68</f>
        <v>44013</v>
      </c>
      <c r="B68" s="1">
        <f t="shared" si="8"/>
        <v>2020</v>
      </c>
      <c r="C68" s="1">
        <f t="shared" si="9"/>
        <v>7</v>
      </c>
      <c r="D68" s="24">
        <f>'Monthly Data'!J68</f>
        <v>11675848.915550508</v>
      </c>
      <c r="E68" s="278">
        <f>'Monthly Data'!BD68</f>
        <v>0</v>
      </c>
      <c r="F68" s="278">
        <f>'Monthly Data'!BG68</f>
        <v>308.88750000000005</v>
      </c>
      <c r="G68" s="4">
        <f>'Monthly Data'!CG68</f>
        <v>0.5</v>
      </c>
      <c r="H68" s="4">
        <f>'Monthly Data'!CD68</f>
        <v>31</v>
      </c>
      <c r="I68" s="18">
        <f>'Monthly Data'!K68</f>
        <v>4208</v>
      </c>
      <c r="K68" s="18">
        <f>'GS&lt;50 Predicted Monthly'!$V$8</f>
        <v>-5629453.6994364997</v>
      </c>
      <c r="L68" s="18">
        <f>E68*'GS&lt;50 Predicted Monthly'!$V$9</f>
        <v>0</v>
      </c>
      <c r="M68" s="18">
        <f>F68*'GS&lt;50 Predicted Monthly'!$V$10</f>
        <v>3897673.0295010544</v>
      </c>
      <c r="N68" s="18">
        <f>G68*'GS&lt;50 Predicted Monthly'!$V$11</f>
        <v>-789653.80298584502</v>
      </c>
      <c r="O68" s="18">
        <f>H68*'GS&lt;50 Predicted Monthly'!$V$12</f>
        <v>8349205.4233871475</v>
      </c>
      <c r="P68" s="18">
        <f>I68*'GS&lt;50 Predicted Monthly'!$V$13</f>
        <v>6423183.5643631853</v>
      </c>
      <c r="Q68" s="18">
        <f t="shared" si="10"/>
        <v>12250954.514829043</v>
      </c>
      <c r="R68" s="18">
        <f t="shared" si="11"/>
        <v>575105.59927853569</v>
      </c>
      <c r="S68" s="279">
        <f t="shared" si="12"/>
        <v>4.9255998723363052E-2</v>
      </c>
      <c r="U68" s="18"/>
      <c r="V68" s="279"/>
    </row>
    <row r="69" spans="1:26" x14ac:dyDescent="0.25">
      <c r="A69" s="3">
        <f>'Monthly Data'!A69</f>
        <v>44044</v>
      </c>
      <c r="B69" s="1">
        <f t="shared" si="8"/>
        <v>2020</v>
      </c>
      <c r="C69" s="1">
        <f t="shared" si="9"/>
        <v>8</v>
      </c>
      <c r="D69" s="24">
        <f>'Monthly Data'!J69</f>
        <v>10788969.833497668</v>
      </c>
      <c r="E69" s="278">
        <f>'Monthly Data'!BD69</f>
        <v>0</v>
      </c>
      <c r="F69" s="278">
        <f>'Monthly Data'!BG69</f>
        <v>216.93106060606064</v>
      </c>
      <c r="G69" s="4">
        <f>'Monthly Data'!CG69</f>
        <v>0.5</v>
      </c>
      <c r="H69" s="4">
        <f>'Monthly Data'!CD69</f>
        <v>31</v>
      </c>
      <c r="I69" s="18">
        <f>'Monthly Data'!K69</f>
        <v>4205</v>
      </c>
      <c r="K69" s="18">
        <f>'GS&lt;50 Predicted Monthly'!$V$8</f>
        <v>-5629453.6994364997</v>
      </c>
      <c r="L69" s="18">
        <f>E69*'GS&lt;50 Predicted Monthly'!$V$9</f>
        <v>0</v>
      </c>
      <c r="M69" s="18">
        <f>F69*'GS&lt;50 Predicted Monthly'!$V$10</f>
        <v>2737327.8108868152</v>
      </c>
      <c r="N69" s="18">
        <f>G69*'GS&lt;50 Predicted Monthly'!$V$11</f>
        <v>-789653.80298584502</v>
      </c>
      <c r="O69" s="18">
        <f>H69*'GS&lt;50 Predicted Monthly'!$V$12</f>
        <v>8349205.4233871475</v>
      </c>
      <c r="P69" s="18">
        <f>I69*'GS&lt;50 Predicted Monthly'!$V$13</f>
        <v>6418604.2985140672</v>
      </c>
      <c r="Q69" s="18">
        <f t="shared" si="10"/>
        <v>11086030.030365685</v>
      </c>
      <c r="R69" s="18">
        <f t="shared" si="11"/>
        <v>297060.19686801732</v>
      </c>
      <c r="S69" s="279">
        <f t="shared" si="12"/>
        <v>2.7533694268539223E-2</v>
      </c>
      <c r="U69" s="18"/>
      <c r="V69" s="279"/>
    </row>
    <row r="70" spans="1:26" x14ac:dyDescent="0.25">
      <c r="A70" s="3">
        <f>'Monthly Data'!A70</f>
        <v>44075</v>
      </c>
      <c r="B70" s="1">
        <f t="shared" si="8"/>
        <v>2020</v>
      </c>
      <c r="C70" s="1">
        <f t="shared" si="9"/>
        <v>9</v>
      </c>
      <c r="D70" s="24">
        <f>'Monthly Data'!J70</f>
        <v>9145054.428370472</v>
      </c>
      <c r="E70" s="278">
        <f>'Monthly Data'!BD70</f>
        <v>46.033695652173925</v>
      </c>
      <c r="F70" s="278">
        <f>'Monthly Data'!BG70</f>
        <v>75.812499999999972</v>
      </c>
      <c r="G70" s="4">
        <f>'Monthly Data'!CG70</f>
        <v>0.5</v>
      </c>
      <c r="H70" s="4">
        <f>'Monthly Data'!CD70</f>
        <v>30</v>
      </c>
      <c r="I70" s="18">
        <f>'Monthly Data'!K70</f>
        <v>4229</v>
      </c>
      <c r="K70" s="18">
        <f>'GS&lt;50 Predicted Monthly'!$V$8</f>
        <v>-5629453.6994364997</v>
      </c>
      <c r="L70" s="18">
        <f>E70*'GS&lt;50 Predicted Monthly'!$V$9</f>
        <v>248621.85018445333</v>
      </c>
      <c r="M70" s="18">
        <f>F70*'GS&lt;50 Predicted Monthly'!$V$10</f>
        <v>956634.16793832229</v>
      </c>
      <c r="N70" s="18">
        <f>G70*'GS&lt;50 Predicted Monthly'!$V$11</f>
        <v>-789653.80298584502</v>
      </c>
      <c r="O70" s="18">
        <f>H70*'GS&lt;50 Predicted Monthly'!$V$12</f>
        <v>8079876.2161811106</v>
      </c>
      <c r="P70" s="18">
        <f>I70*'GS&lt;50 Predicted Monthly'!$V$13</f>
        <v>6455238.4253070131</v>
      </c>
      <c r="Q70" s="18">
        <f t="shared" si="10"/>
        <v>9321263.1571885552</v>
      </c>
      <c r="R70" s="18">
        <f t="shared" si="11"/>
        <v>176208.72881808318</v>
      </c>
      <c r="S70" s="279">
        <f t="shared" si="12"/>
        <v>1.9268199024757609E-2</v>
      </c>
      <c r="U70" s="18"/>
      <c r="V70" s="279"/>
    </row>
    <row r="71" spans="1:26" x14ac:dyDescent="0.25">
      <c r="A71" s="3">
        <f>'Monthly Data'!A71</f>
        <v>44105</v>
      </c>
      <c r="B71" s="1">
        <f t="shared" si="8"/>
        <v>2020</v>
      </c>
      <c r="C71" s="1">
        <f t="shared" si="9"/>
        <v>10</v>
      </c>
      <c r="D71" s="24">
        <f>'Monthly Data'!J71</f>
        <v>9117151.9850432202</v>
      </c>
      <c r="E71" s="278">
        <f>'Monthly Data'!BD71</f>
        <v>226.0625</v>
      </c>
      <c r="F71" s="278">
        <f>'Monthly Data'!BG71</f>
        <v>3.9291666666666654</v>
      </c>
      <c r="G71" s="4">
        <f>'Monthly Data'!CG71</f>
        <v>0.5</v>
      </c>
      <c r="H71" s="4">
        <f>'Monthly Data'!CD71</f>
        <v>31</v>
      </c>
      <c r="I71" s="18">
        <f>'Monthly Data'!K71</f>
        <v>4208</v>
      </c>
      <c r="K71" s="18">
        <f>'GS&lt;50 Predicted Monthly'!$V$8</f>
        <v>-5629453.6994364997</v>
      </c>
      <c r="L71" s="18">
        <f>E71*'GS&lt;50 Predicted Monthly'!$V$9</f>
        <v>1220933.4099959182</v>
      </c>
      <c r="M71" s="18">
        <f>F71*'GS&lt;50 Predicted Monthly'!$V$10</f>
        <v>49579.885702986423</v>
      </c>
      <c r="N71" s="18">
        <f>G71*'GS&lt;50 Predicted Monthly'!$V$11</f>
        <v>-789653.80298584502</v>
      </c>
      <c r="O71" s="18">
        <f>H71*'GS&lt;50 Predicted Monthly'!$V$12</f>
        <v>8349205.4233871475</v>
      </c>
      <c r="P71" s="18">
        <f>I71*'GS&lt;50 Predicted Monthly'!$V$13</f>
        <v>6423183.5643631853</v>
      </c>
      <c r="Q71" s="18">
        <f t="shared" si="10"/>
        <v>9623794.7810268924</v>
      </c>
      <c r="R71" s="18">
        <f t="shared" si="11"/>
        <v>506642.79598367214</v>
      </c>
      <c r="S71" s="279">
        <f t="shared" si="12"/>
        <v>5.5570291776952357E-2</v>
      </c>
      <c r="U71" s="18"/>
      <c r="V71" s="279"/>
    </row>
    <row r="72" spans="1:26" x14ac:dyDescent="0.25">
      <c r="A72" s="3">
        <f>'Monthly Data'!A72</f>
        <v>44136</v>
      </c>
      <c r="B72" s="1">
        <f t="shared" si="8"/>
        <v>2020</v>
      </c>
      <c r="C72" s="1">
        <f t="shared" si="9"/>
        <v>11</v>
      </c>
      <c r="D72" s="24">
        <f>'Monthly Data'!J72</f>
        <v>9609320.7237130906</v>
      </c>
      <c r="E72" s="278">
        <f>'Monthly Data'!BD72</f>
        <v>306.30072463768124</v>
      </c>
      <c r="F72" s="278">
        <f>'Monthly Data'!BG72</f>
        <v>0</v>
      </c>
      <c r="G72" s="4">
        <f>'Monthly Data'!CG72</f>
        <v>0.5</v>
      </c>
      <c r="H72" s="4">
        <f>'Monthly Data'!CD72</f>
        <v>30</v>
      </c>
      <c r="I72" s="18">
        <f>'Monthly Data'!K72</f>
        <v>4241</v>
      </c>
      <c r="K72" s="18">
        <f>'GS&lt;50 Predicted Monthly'!$V$8</f>
        <v>-5629453.6994364997</v>
      </c>
      <c r="L72" s="18">
        <f>E72*'GS&lt;50 Predicted Monthly'!$V$9</f>
        <v>1654289.3589874699</v>
      </c>
      <c r="M72" s="18">
        <f>F72*'GS&lt;50 Predicted Monthly'!$V$10</f>
        <v>0</v>
      </c>
      <c r="N72" s="18">
        <f>G72*'GS&lt;50 Predicted Monthly'!$V$11</f>
        <v>-789653.80298584502</v>
      </c>
      <c r="O72" s="18">
        <f>H72*'GS&lt;50 Predicted Monthly'!$V$12</f>
        <v>8079876.2161811106</v>
      </c>
      <c r="P72" s="18">
        <f>I72*'GS&lt;50 Predicted Monthly'!$V$13</f>
        <v>6473555.4887034856</v>
      </c>
      <c r="Q72" s="18">
        <f t="shared" si="10"/>
        <v>9788613.5614497215</v>
      </c>
      <c r="R72" s="18">
        <f t="shared" si="11"/>
        <v>179292.83773663081</v>
      </c>
      <c r="S72" s="279">
        <f t="shared" si="12"/>
        <v>1.865822183395198E-2</v>
      </c>
      <c r="U72" s="18"/>
      <c r="V72" s="279"/>
    </row>
    <row r="73" spans="1:26" x14ac:dyDescent="0.25">
      <c r="A73" s="3">
        <f>'Monthly Data'!A73</f>
        <v>44166</v>
      </c>
      <c r="B73" s="1">
        <f t="shared" si="8"/>
        <v>2020</v>
      </c>
      <c r="C73" s="1">
        <f t="shared" si="9"/>
        <v>12</v>
      </c>
      <c r="D73" s="24">
        <f>'Monthly Data'!J73</f>
        <v>10889770.675347887</v>
      </c>
      <c r="E73" s="278">
        <f>'Monthly Data'!BD73</f>
        <v>520.90416666666681</v>
      </c>
      <c r="F73" s="278">
        <f>'Monthly Data'!BG73</f>
        <v>0</v>
      </c>
      <c r="G73" s="4">
        <f>'Monthly Data'!CG73</f>
        <v>0.5</v>
      </c>
      <c r="H73" s="4">
        <f>'Monthly Data'!CD73</f>
        <v>31</v>
      </c>
      <c r="I73" s="18">
        <f>'Monthly Data'!K73</f>
        <v>4248</v>
      </c>
      <c r="K73" s="18">
        <f>'GS&lt;50 Predicted Monthly'!$V$8</f>
        <v>-5629453.6994364997</v>
      </c>
      <c r="L73" s="18">
        <f>E73*'GS&lt;50 Predicted Monthly'!$V$9</f>
        <v>2813333.9253056813</v>
      </c>
      <c r="M73" s="18">
        <f>F73*'GS&lt;50 Predicted Monthly'!$V$10</f>
        <v>0</v>
      </c>
      <c r="N73" s="18">
        <f>G73*'GS&lt;50 Predicted Monthly'!$V$11</f>
        <v>-789653.80298584502</v>
      </c>
      <c r="O73" s="18">
        <f>H73*'GS&lt;50 Predicted Monthly'!$V$12</f>
        <v>8349205.4233871475</v>
      </c>
      <c r="P73" s="18">
        <f>I73*'GS&lt;50 Predicted Monthly'!$V$13</f>
        <v>6484240.4423514279</v>
      </c>
      <c r="Q73" s="18">
        <f t="shared" si="10"/>
        <v>11227672.288621912</v>
      </c>
      <c r="R73" s="18">
        <f t="shared" si="11"/>
        <v>337901.6132740248</v>
      </c>
      <c r="S73" s="279">
        <f t="shared" si="12"/>
        <v>3.1029268048680017E-2</v>
      </c>
      <c r="U73" s="18"/>
      <c r="V73" s="279"/>
    </row>
    <row r="74" spans="1:26" x14ac:dyDescent="0.25">
      <c r="A74" s="3">
        <f>'Monthly Data'!A74</f>
        <v>44197</v>
      </c>
      <c r="B74" s="1">
        <f t="shared" si="8"/>
        <v>2021</v>
      </c>
      <c r="C74" s="1">
        <f t="shared" si="9"/>
        <v>1</v>
      </c>
      <c r="D74" s="24">
        <f>'Monthly Data'!J74</f>
        <v>10756355.603735784</v>
      </c>
      <c r="E74" s="278">
        <f>'Monthly Data'!BD74</f>
        <v>591.50416666666661</v>
      </c>
      <c r="F74" s="278">
        <f>'Monthly Data'!BG74</f>
        <v>0</v>
      </c>
      <c r="G74" s="4">
        <f>'Monthly Data'!CG74</f>
        <v>0.5</v>
      </c>
      <c r="H74" s="4">
        <f>'Monthly Data'!CD74</f>
        <v>31</v>
      </c>
      <c r="I74" s="18">
        <f>'Monthly Data'!K74</f>
        <v>4251</v>
      </c>
      <c r="K74" s="18">
        <f>'GS&lt;50 Predicted Monthly'!$V$8</f>
        <v>-5629453.6994364997</v>
      </c>
      <c r="L74" s="18">
        <f>E74*'GS&lt;50 Predicted Monthly'!$V$9</f>
        <v>3194635.1085877893</v>
      </c>
      <c r="M74" s="18">
        <f>F74*'GS&lt;50 Predicted Monthly'!$V$10</f>
        <v>0</v>
      </c>
      <c r="N74" s="18">
        <f>G74*'GS&lt;50 Predicted Monthly'!$V$11</f>
        <v>-789653.80298584502</v>
      </c>
      <c r="O74" s="18">
        <f>H74*'GS&lt;50 Predicted Monthly'!$V$12</f>
        <v>8349205.4233871475</v>
      </c>
      <c r="P74" s="18">
        <f>I74*'GS&lt;50 Predicted Monthly'!$V$13</f>
        <v>6488819.7082005469</v>
      </c>
      <c r="Q74" s="18">
        <f t="shared" si="10"/>
        <v>11613552.737753138</v>
      </c>
      <c r="R74" s="18">
        <f t="shared" si="11"/>
        <v>857197.13401735388</v>
      </c>
      <c r="S74" s="279">
        <f t="shared" si="12"/>
        <v>7.9692152769627767E-2</v>
      </c>
      <c r="U74" s="18"/>
      <c r="V74" s="279"/>
    </row>
    <row r="75" spans="1:26" x14ac:dyDescent="0.25">
      <c r="A75" s="3">
        <f>'Monthly Data'!A75</f>
        <v>44228</v>
      </c>
      <c r="B75" s="1">
        <f t="shared" si="8"/>
        <v>2021</v>
      </c>
      <c r="C75" s="1">
        <f t="shared" si="9"/>
        <v>2</v>
      </c>
      <c r="D75" s="24">
        <f>'Monthly Data'!J75</f>
        <v>10124243.37225813</v>
      </c>
      <c r="E75" s="278">
        <f>'Monthly Data'!BD75</f>
        <v>597.45416666666665</v>
      </c>
      <c r="F75" s="278">
        <f>'Monthly Data'!BG75</f>
        <v>0</v>
      </c>
      <c r="G75" s="4">
        <f>'Monthly Data'!CG75</f>
        <v>0.5</v>
      </c>
      <c r="H75" s="4">
        <f>'Monthly Data'!CD75</f>
        <v>28</v>
      </c>
      <c r="I75" s="18">
        <f>'Monthly Data'!K75</f>
        <v>4260</v>
      </c>
      <c r="K75" s="18">
        <f>'GS&lt;50 Predicted Monthly'!$V$8</f>
        <v>-5629453.6994364997</v>
      </c>
      <c r="L75" s="18">
        <f>E75*'GS&lt;50 Predicted Monthly'!$V$9</f>
        <v>3226770.2649692139</v>
      </c>
      <c r="M75" s="18">
        <f>F75*'GS&lt;50 Predicted Monthly'!$V$10</f>
        <v>0</v>
      </c>
      <c r="N75" s="18">
        <f>G75*'GS&lt;50 Predicted Monthly'!$V$11</f>
        <v>-789653.80298584502</v>
      </c>
      <c r="O75" s="18">
        <f>H75*'GS&lt;50 Predicted Monthly'!$V$12</f>
        <v>7541217.8017690368</v>
      </c>
      <c r="P75" s="18">
        <f>I75*'GS&lt;50 Predicted Monthly'!$V$13</f>
        <v>6502557.5057479013</v>
      </c>
      <c r="Q75" s="18">
        <f t="shared" si="10"/>
        <v>10851438.070063807</v>
      </c>
      <c r="R75" s="18">
        <f t="shared" si="11"/>
        <v>727194.69780567661</v>
      </c>
      <c r="S75" s="279">
        <f t="shared" si="12"/>
        <v>7.1827066089530572E-2</v>
      </c>
      <c r="U75" s="18"/>
      <c r="V75" s="279"/>
    </row>
    <row r="76" spans="1:26" x14ac:dyDescent="0.25">
      <c r="A76" s="3">
        <f>'Monthly Data'!A76</f>
        <v>44256</v>
      </c>
      <c r="B76" s="1">
        <f t="shared" si="8"/>
        <v>2021</v>
      </c>
      <c r="C76" s="1">
        <f t="shared" si="9"/>
        <v>3</v>
      </c>
      <c r="D76" s="24">
        <f>'Monthly Data'!J76</f>
        <v>11683964.166895431</v>
      </c>
      <c r="E76" s="278">
        <f>'Monthly Data'!BD76</f>
        <v>430.59637681159427</v>
      </c>
      <c r="F76" s="278">
        <f>'Monthly Data'!BG76</f>
        <v>0</v>
      </c>
      <c r="G76" s="4">
        <f>'Monthly Data'!CG76</f>
        <v>0.5</v>
      </c>
      <c r="H76" s="4">
        <f>'Monthly Data'!CD76</f>
        <v>31</v>
      </c>
      <c r="I76" s="18">
        <f>'Monthly Data'!K76</f>
        <v>4267</v>
      </c>
      <c r="K76" s="18">
        <f>'GS&lt;50 Predicted Monthly'!$V$8</f>
        <v>-5629453.6994364997</v>
      </c>
      <c r="L76" s="18">
        <f>E76*'GS&lt;50 Predicted Monthly'!$V$9</f>
        <v>2325593.5976664289</v>
      </c>
      <c r="M76" s="18">
        <f>F76*'GS&lt;50 Predicted Monthly'!$V$10</f>
        <v>0</v>
      </c>
      <c r="N76" s="18">
        <f>G76*'GS&lt;50 Predicted Monthly'!$V$11</f>
        <v>-789653.80298584502</v>
      </c>
      <c r="O76" s="18">
        <f>H76*'GS&lt;50 Predicted Monthly'!$V$12</f>
        <v>8349205.4233871475</v>
      </c>
      <c r="P76" s="18">
        <f>I76*'GS&lt;50 Predicted Monthly'!$V$13</f>
        <v>6513242.4593958436</v>
      </c>
      <c r="Q76" s="18">
        <f t="shared" si="10"/>
        <v>10768933.978027076</v>
      </c>
      <c r="R76" s="18">
        <f t="shared" si="11"/>
        <v>-915030.18886835501</v>
      </c>
      <c r="S76" s="279">
        <f t="shared" si="12"/>
        <v>7.8315045801059621E-2</v>
      </c>
      <c r="V76" s="279"/>
    </row>
    <row r="77" spans="1:26" x14ac:dyDescent="0.25">
      <c r="A77" s="3">
        <f>'Monthly Data'!A77</f>
        <v>44287</v>
      </c>
      <c r="B77" s="1">
        <f t="shared" si="8"/>
        <v>2021</v>
      </c>
      <c r="C77" s="1">
        <f t="shared" si="9"/>
        <v>4</v>
      </c>
      <c r="D77" s="24">
        <f>'Monthly Data'!J77</f>
        <v>9317165.6293833423</v>
      </c>
      <c r="E77" s="278">
        <f>'Monthly Data'!BD77</f>
        <v>260.00833333333338</v>
      </c>
      <c r="F77" s="278">
        <f>'Monthly Data'!BG77</f>
        <v>3.7083333333333339</v>
      </c>
      <c r="G77" s="4">
        <f>'Monthly Data'!CG77</f>
        <v>0.5</v>
      </c>
      <c r="H77" s="4">
        <f>'Monthly Data'!CD77</f>
        <v>30</v>
      </c>
      <c r="I77" s="18">
        <f>'Monthly Data'!K77</f>
        <v>4264</v>
      </c>
      <c r="K77" s="18">
        <f>'GS&lt;50 Predicted Monthly'!$V$8</f>
        <v>-5629453.6994364997</v>
      </c>
      <c r="L77" s="18">
        <f>E77*'GS&lt;50 Predicted Monthly'!$V$9</f>
        <v>1404270.3280907806</v>
      </c>
      <c r="M77" s="18">
        <f>F77*'GS&lt;50 Predicted Monthly'!$V$10</f>
        <v>46793.317365490919</v>
      </c>
      <c r="N77" s="18">
        <f>G77*'GS&lt;50 Predicted Monthly'!$V$11</f>
        <v>-789653.80298584502</v>
      </c>
      <c r="O77" s="18">
        <f>H77*'GS&lt;50 Predicted Monthly'!$V$12</f>
        <v>8079876.2161811106</v>
      </c>
      <c r="P77" s="18">
        <f>I77*'GS&lt;50 Predicted Monthly'!$V$13</f>
        <v>6508663.1935467254</v>
      </c>
      <c r="Q77" s="18">
        <f t="shared" si="10"/>
        <v>9620495.5527617633</v>
      </c>
      <c r="R77" s="18">
        <f t="shared" si="11"/>
        <v>303329.92337842099</v>
      </c>
      <c r="S77" s="279">
        <f t="shared" si="12"/>
        <v>3.2556029960636959E-2</v>
      </c>
      <c r="U77" s="18"/>
      <c r="V77" s="279"/>
    </row>
    <row r="78" spans="1:26" x14ac:dyDescent="0.25">
      <c r="A78" s="3">
        <f>'Monthly Data'!A78</f>
        <v>44317</v>
      </c>
      <c r="B78" s="1">
        <f t="shared" si="8"/>
        <v>2021</v>
      </c>
      <c r="C78" s="1">
        <f t="shared" si="9"/>
        <v>5</v>
      </c>
      <c r="D78" s="24">
        <f>'Monthly Data'!J78</f>
        <v>9001778.8454272039</v>
      </c>
      <c r="E78" s="278">
        <f>'Monthly Data'!BD78</f>
        <v>127.04305555555555</v>
      </c>
      <c r="F78" s="278">
        <f>'Monthly Data'!BG78</f>
        <v>53.908333333333317</v>
      </c>
      <c r="G78" s="4">
        <f>'Monthly Data'!CG78</f>
        <v>0.5</v>
      </c>
      <c r="H78" s="4">
        <f>'Monthly Data'!CD78</f>
        <v>31</v>
      </c>
      <c r="I78" s="18">
        <f>'Monthly Data'!K78</f>
        <v>4268</v>
      </c>
      <c r="K78" s="18">
        <f>'GS&lt;50 Predicted Monthly'!$V$8</f>
        <v>-5629453.6994364997</v>
      </c>
      <c r="L78" s="18">
        <f>E78*'GS&lt;50 Predicted Monthly'!$V$9</f>
        <v>686142.59789104923</v>
      </c>
      <c r="M78" s="18">
        <f>F78*'GS&lt;50 Predicted Monthly'!$V$10</f>
        <v>680238.13491541718</v>
      </c>
      <c r="N78" s="18">
        <f>G78*'GS&lt;50 Predicted Monthly'!$V$11</f>
        <v>-789653.80298584502</v>
      </c>
      <c r="O78" s="18">
        <f>H78*'GS&lt;50 Predicted Monthly'!$V$12</f>
        <v>8349205.4233871475</v>
      </c>
      <c r="P78" s="18">
        <f>I78*'GS&lt;50 Predicted Monthly'!$V$13</f>
        <v>6514768.8813455496</v>
      </c>
      <c r="Q78" s="18">
        <f t="shared" si="10"/>
        <v>9811247.5351168178</v>
      </c>
      <c r="R78" s="18">
        <f t="shared" si="11"/>
        <v>809468.68968961388</v>
      </c>
      <c r="S78" s="279">
        <f t="shared" si="12"/>
        <v>8.9923192247809369E-2</v>
      </c>
      <c r="U78" s="18"/>
      <c r="V78" s="279"/>
      <c r="X78" s="18"/>
      <c r="Y78" s="18"/>
      <c r="Z78" s="240"/>
    </row>
    <row r="79" spans="1:26" x14ac:dyDescent="0.25">
      <c r="A79" s="3">
        <f>'Monthly Data'!A79</f>
        <v>44348</v>
      </c>
      <c r="B79" s="1">
        <f t="shared" si="8"/>
        <v>2021</v>
      </c>
      <c r="C79" s="1">
        <f t="shared" si="9"/>
        <v>6</v>
      </c>
      <c r="D79" s="24">
        <f>'Monthly Data'!J79</f>
        <v>10147787.796347724</v>
      </c>
      <c r="E79" s="278">
        <f>'Monthly Data'!BD79</f>
        <v>3.2708333333333357</v>
      </c>
      <c r="F79" s="278">
        <f>'Monthly Data'!BG79</f>
        <v>181.67499999999995</v>
      </c>
      <c r="G79" s="4">
        <f>'Monthly Data'!CG79</f>
        <v>0.5</v>
      </c>
      <c r="H79" s="4">
        <f>'Monthly Data'!CD79</f>
        <v>30</v>
      </c>
      <c r="I79" s="18">
        <f>'Monthly Data'!K79</f>
        <v>4270</v>
      </c>
      <c r="K79" s="18">
        <f>'GS&lt;50 Predicted Monthly'!$V$8</f>
        <v>-5629453.6994364997</v>
      </c>
      <c r="L79" s="18">
        <f>E79*'GS&lt;50 Predicted Monthly'!$V$9</f>
        <v>17665.334565418791</v>
      </c>
      <c r="M79" s="18">
        <f>F79*'GS&lt;50 Predicted Monthly'!$V$10</f>
        <v>2292451.9368203757</v>
      </c>
      <c r="N79" s="18">
        <f>G79*'GS&lt;50 Predicted Monthly'!$V$11</f>
        <v>-789653.80298584502</v>
      </c>
      <c r="O79" s="18">
        <f>H79*'GS&lt;50 Predicted Monthly'!$V$12</f>
        <v>8079876.2161811106</v>
      </c>
      <c r="P79" s="18">
        <f>I79*'GS&lt;50 Predicted Monthly'!$V$13</f>
        <v>6517821.7252449617</v>
      </c>
      <c r="Q79" s="18">
        <f t="shared" si="10"/>
        <v>10488707.710389521</v>
      </c>
      <c r="R79" s="18">
        <f t="shared" si="11"/>
        <v>340919.9140417967</v>
      </c>
      <c r="S79" s="279">
        <f t="shared" si="12"/>
        <v>3.3595491045299221E-2</v>
      </c>
      <c r="U79" s="18"/>
      <c r="V79" s="279"/>
      <c r="X79" s="18"/>
      <c r="Y79" s="18"/>
      <c r="Z79" s="240"/>
    </row>
    <row r="80" spans="1:26" x14ac:dyDescent="0.25">
      <c r="A80" s="3">
        <f>'Monthly Data'!A80</f>
        <v>44378</v>
      </c>
      <c r="B80" s="1">
        <f t="shared" si="8"/>
        <v>2021</v>
      </c>
      <c r="C80" s="1">
        <f t="shared" si="9"/>
        <v>7</v>
      </c>
      <c r="D80" s="24">
        <f>'Monthly Data'!J80</f>
        <v>10919033.21209087</v>
      </c>
      <c r="E80" s="278">
        <f>'Monthly Data'!BD80</f>
        <v>0.74583333333333002</v>
      </c>
      <c r="F80" s="278">
        <f>'Monthly Data'!BG80</f>
        <v>192.87499999999994</v>
      </c>
      <c r="G80" s="4">
        <f>'Monthly Data'!CG80</f>
        <v>0.5</v>
      </c>
      <c r="H80" s="4">
        <f>'Monthly Data'!CD80</f>
        <v>31</v>
      </c>
      <c r="I80" s="18">
        <f>'Monthly Data'!K80</f>
        <v>4273</v>
      </c>
      <c r="K80" s="18">
        <f>'GS&lt;50 Predicted Monthly'!$V$8</f>
        <v>-5629453.6994364997</v>
      </c>
      <c r="L80" s="18">
        <f>E80*'GS&lt;50 Predicted Monthly'!$V$9</f>
        <v>4028.1463531336904</v>
      </c>
      <c r="M80" s="18">
        <f>F80*'GS&lt;50 Predicted Monthly'!$V$10</f>
        <v>2433778.2706163749</v>
      </c>
      <c r="N80" s="18">
        <f>G80*'GS&lt;50 Predicted Monthly'!$V$11</f>
        <v>-789653.80298584502</v>
      </c>
      <c r="O80" s="18">
        <f>H80*'GS&lt;50 Predicted Monthly'!$V$12</f>
        <v>8349205.4233871475</v>
      </c>
      <c r="P80" s="18">
        <f>I80*'GS&lt;50 Predicted Monthly'!$V$13</f>
        <v>6522400.9910940807</v>
      </c>
      <c r="Q80" s="18">
        <f t="shared" si="10"/>
        <v>10890305.329028392</v>
      </c>
      <c r="R80" s="18">
        <f t="shared" si="11"/>
        <v>-28727.883062478155</v>
      </c>
      <c r="S80" s="279">
        <f t="shared" si="12"/>
        <v>2.6309914535901564E-3</v>
      </c>
      <c r="U80" s="18"/>
      <c r="V80" s="279"/>
      <c r="X80" s="18"/>
      <c r="Y80" s="18"/>
      <c r="Z80" s="240"/>
    </row>
    <row r="81" spans="1:26" x14ac:dyDescent="0.25">
      <c r="A81" s="3">
        <f>'Monthly Data'!A81</f>
        <v>44409</v>
      </c>
      <c r="B81" s="1">
        <f t="shared" si="8"/>
        <v>2021</v>
      </c>
      <c r="C81" s="1">
        <f t="shared" si="9"/>
        <v>8</v>
      </c>
      <c r="D81" s="24">
        <f>'Monthly Data'!J81</f>
        <v>12092428.744730394</v>
      </c>
      <c r="E81" s="278">
        <f>'Monthly Data'!BD81</f>
        <v>0</v>
      </c>
      <c r="F81" s="278">
        <f>'Monthly Data'!BG81</f>
        <v>266.0625</v>
      </c>
      <c r="G81" s="4">
        <f>'Monthly Data'!CG81</f>
        <v>0.5</v>
      </c>
      <c r="H81" s="4">
        <f>'Monthly Data'!CD81</f>
        <v>31</v>
      </c>
      <c r="I81" s="18">
        <f>'Monthly Data'!K81</f>
        <v>4277</v>
      </c>
      <c r="K81" s="18">
        <f>'GS&lt;50 Predicted Monthly'!$V$8</f>
        <v>-5629453.6994364997</v>
      </c>
      <c r="L81" s="18">
        <f>E81*'GS&lt;50 Predicted Monthly'!$V$9</f>
        <v>0</v>
      </c>
      <c r="M81" s="18">
        <f>F81*'GS&lt;50 Predicted Monthly'!$V$10</f>
        <v>3357289.079071261</v>
      </c>
      <c r="N81" s="18">
        <f>G81*'GS&lt;50 Predicted Monthly'!$V$11</f>
        <v>-789653.80298584502</v>
      </c>
      <c r="O81" s="18">
        <f>H81*'GS&lt;50 Predicted Monthly'!$V$12</f>
        <v>8349205.4233871475</v>
      </c>
      <c r="P81" s="18">
        <f>I81*'GS&lt;50 Predicted Monthly'!$V$13</f>
        <v>6528506.6788929049</v>
      </c>
      <c r="Q81" s="18">
        <f t="shared" si="10"/>
        <v>11815893.678928968</v>
      </c>
      <c r="R81" s="18">
        <f t="shared" si="11"/>
        <v>-276535.06580142677</v>
      </c>
      <c r="S81" s="279">
        <f t="shared" si="12"/>
        <v>2.2868446995971299E-2</v>
      </c>
      <c r="U81" s="18"/>
      <c r="V81" s="279"/>
      <c r="X81" s="18"/>
      <c r="Y81" s="18"/>
      <c r="Z81" s="240"/>
    </row>
    <row r="82" spans="1:26" x14ac:dyDescent="0.25">
      <c r="A82" s="3">
        <f>'Monthly Data'!A82</f>
        <v>44440</v>
      </c>
      <c r="B82" s="1">
        <f t="shared" si="8"/>
        <v>2021</v>
      </c>
      <c r="C82" s="1">
        <f t="shared" si="9"/>
        <v>9</v>
      </c>
      <c r="D82" s="24">
        <f>'Monthly Data'!J82</f>
        <v>9932104.6989375129</v>
      </c>
      <c r="E82" s="278">
        <f>'Monthly Data'!BD82</f>
        <v>20.066666666666677</v>
      </c>
      <c r="F82" s="278">
        <f>'Monthly Data'!BG82</f>
        <v>95.25833333333334</v>
      </c>
      <c r="G82" s="4">
        <f>'Monthly Data'!CG82</f>
        <v>0.5</v>
      </c>
      <c r="H82" s="4">
        <f>'Monthly Data'!CD82</f>
        <v>30</v>
      </c>
      <c r="I82" s="18">
        <f>'Monthly Data'!K82</f>
        <v>4283</v>
      </c>
      <c r="K82" s="18">
        <f>'GS&lt;50 Predicted Monthly'!$V$8</f>
        <v>-5629453.6994364997</v>
      </c>
      <c r="L82" s="18">
        <f>E82*'GS&lt;50 Predicted Monthly'!$V$9</f>
        <v>108377.39014911704</v>
      </c>
      <c r="M82" s="18">
        <f>F82*'GS&lt;50 Predicted Monthly'!$V$10</f>
        <v>1202009.9119211836</v>
      </c>
      <c r="N82" s="18">
        <f>G82*'GS&lt;50 Predicted Monthly'!$V$11</f>
        <v>-789653.80298584502</v>
      </c>
      <c r="O82" s="18">
        <f>H82*'GS&lt;50 Predicted Monthly'!$V$12</f>
        <v>8079876.2161811106</v>
      </c>
      <c r="P82" s="18">
        <f>I82*'GS&lt;50 Predicted Monthly'!$V$13</f>
        <v>6537665.2105911411</v>
      </c>
      <c r="Q82" s="18">
        <f t="shared" si="10"/>
        <v>9508821.2264202088</v>
      </c>
      <c r="R82" s="18">
        <f t="shared" si="11"/>
        <v>-423283.47251730412</v>
      </c>
      <c r="S82" s="279">
        <f t="shared" si="12"/>
        <v>4.2617701418570915E-2</v>
      </c>
      <c r="U82" s="18"/>
      <c r="V82" s="279"/>
      <c r="X82" s="18"/>
      <c r="Y82" s="18"/>
      <c r="Z82" s="240"/>
    </row>
    <row r="83" spans="1:26" x14ac:dyDescent="0.25">
      <c r="A83" s="3">
        <f>'Monthly Data'!A83</f>
        <v>44470</v>
      </c>
      <c r="B83" s="1">
        <f t="shared" si="8"/>
        <v>2021</v>
      </c>
      <c r="C83" s="1">
        <f t="shared" si="9"/>
        <v>10</v>
      </c>
      <c r="D83" s="24">
        <f>'Monthly Data'!J83</f>
        <v>9618545.1704564132</v>
      </c>
      <c r="E83" s="278">
        <f>'Monthly Data'!BD83</f>
        <v>108.43333333333334</v>
      </c>
      <c r="F83" s="278">
        <f>'Monthly Data'!BG83</f>
        <v>44.562500000000028</v>
      </c>
      <c r="G83" s="4">
        <f>'Monthly Data'!CG83</f>
        <v>0.5</v>
      </c>
      <c r="H83" s="4">
        <f>'Monthly Data'!CD83</f>
        <v>31</v>
      </c>
      <c r="I83" s="18">
        <f>'Monthly Data'!K83</f>
        <v>4282</v>
      </c>
      <c r="K83" s="18">
        <f>'GS&lt;50 Predicted Monthly'!$V$8</f>
        <v>-5629453.6994364997</v>
      </c>
      <c r="L83" s="18">
        <f>E83*'GS&lt;50 Predicted Monthly'!$V$9</f>
        <v>585633.97035727173</v>
      </c>
      <c r="M83" s="18">
        <f>F83*'GS&lt;50 Predicted Monthly'!$V$10</f>
        <v>562308.45980216365</v>
      </c>
      <c r="N83" s="18">
        <f>G83*'GS&lt;50 Predicted Monthly'!$V$11</f>
        <v>-789653.80298584502</v>
      </c>
      <c r="O83" s="18">
        <f>H83*'GS&lt;50 Predicted Monthly'!$V$12</f>
        <v>8349205.4233871475</v>
      </c>
      <c r="P83" s="18">
        <f>I83*'GS&lt;50 Predicted Monthly'!$V$13</f>
        <v>6536138.7886414351</v>
      </c>
      <c r="Q83" s="18">
        <f t="shared" si="10"/>
        <v>9614179.1397656724</v>
      </c>
      <c r="R83" s="18">
        <f t="shared" si="11"/>
        <v>-4366.0306907407939</v>
      </c>
      <c r="S83" s="279">
        <f t="shared" si="12"/>
        <v>4.5391799002526486E-4</v>
      </c>
      <c r="U83" s="18"/>
      <c r="V83" s="279"/>
      <c r="X83" s="18"/>
      <c r="Y83" s="18"/>
      <c r="Z83" s="240"/>
    </row>
    <row r="84" spans="1:26" x14ac:dyDescent="0.25">
      <c r="A84" s="3">
        <f>'Monthly Data'!A84</f>
        <v>44501</v>
      </c>
      <c r="B84" s="1">
        <f t="shared" si="8"/>
        <v>2021</v>
      </c>
      <c r="C84" s="1">
        <f t="shared" si="9"/>
        <v>11</v>
      </c>
      <c r="D84" s="24">
        <f>'Monthly Data'!J84</f>
        <v>10309263.288912244</v>
      </c>
      <c r="E84" s="278">
        <f>'Monthly Data'!BD84</f>
        <v>386.3126035196687</v>
      </c>
      <c r="F84" s="278">
        <f>'Monthly Data'!BG84</f>
        <v>0</v>
      </c>
      <c r="G84" s="4">
        <f>'Monthly Data'!CG84</f>
        <v>0.5</v>
      </c>
      <c r="H84" s="4">
        <f>'Monthly Data'!CD84</f>
        <v>30</v>
      </c>
      <c r="I84" s="18">
        <f>'Monthly Data'!K84</f>
        <v>4281</v>
      </c>
      <c r="K84" s="18">
        <f>'GS&lt;50 Predicted Monthly'!$V$8</f>
        <v>-5629453.6994364997</v>
      </c>
      <c r="L84" s="18">
        <f>E84*'GS&lt;50 Predicted Monthly'!$V$9</f>
        <v>2086422.8447428045</v>
      </c>
      <c r="M84" s="18">
        <f>F84*'GS&lt;50 Predicted Monthly'!$V$10</f>
        <v>0</v>
      </c>
      <c r="N84" s="18">
        <f>G84*'GS&lt;50 Predicted Monthly'!$V$11</f>
        <v>-789653.80298584502</v>
      </c>
      <c r="O84" s="18">
        <f>H84*'GS&lt;50 Predicted Monthly'!$V$12</f>
        <v>8079876.2161811106</v>
      </c>
      <c r="P84" s="18">
        <f>I84*'GS&lt;50 Predicted Monthly'!$V$13</f>
        <v>6534612.3666917291</v>
      </c>
      <c r="Q84" s="18">
        <f t="shared" si="10"/>
        <v>10281803.925193299</v>
      </c>
      <c r="R84" s="18">
        <f t="shared" si="11"/>
        <v>-27459.363718945533</v>
      </c>
      <c r="S84" s="279">
        <f t="shared" si="12"/>
        <v>2.6635621721368256E-3</v>
      </c>
      <c r="U84" s="18"/>
      <c r="V84" s="279"/>
      <c r="X84" s="18"/>
      <c r="Y84" s="18"/>
      <c r="Z84" s="240"/>
    </row>
    <row r="85" spans="1:26" x14ac:dyDescent="0.25">
      <c r="A85" s="3">
        <f>'Monthly Data'!A85</f>
        <v>44531</v>
      </c>
      <c r="B85" s="1">
        <f t="shared" si="8"/>
        <v>2021</v>
      </c>
      <c r="C85" s="1">
        <f t="shared" si="9"/>
        <v>12</v>
      </c>
      <c r="D85" s="24">
        <f>'Monthly Data'!J85</f>
        <v>12066287.994782832</v>
      </c>
      <c r="E85" s="278">
        <f>'Monthly Data'!BD85</f>
        <v>471.04583333333335</v>
      </c>
      <c r="F85" s="278">
        <f>'Monthly Data'!BG85</f>
        <v>0</v>
      </c>
      <c r="G85" s="4">
        <f>'Monthly Data'!CG85</f>
        <v>0.5</v>
      </c>
      <c r="H85" s="4">
        <f>'Monthly Data'!CD85</f>
        <v>31</v>
      </c>
      <c r="I85" s="18">
        <f>'Monthly Data'!K85</f>
        <v>4277</v>
      </c>
      <c r="K85" s="18">
        <f>'GS&lt;50 Predicted Monthly'!$V$8</f>
        <v>-5629453.6994364997</v>
      </c>
      <c r="L85" s="18">
        <f>E85*'GS&lt;50 Predicted Monthly'!$V$9</f>
        <v>2544055.7171403291</v>
      </c>
      <c r="M85" s="18">
        <f>F85*'GS&lt;50 Predicted Monthly'!$V$10</f>
        <v>0</v>
      </c>
      <c r="N85" s="18">
        <f>G85*'GS&lt;50 Predicted Monthly'!$V$11</f>
        <v>-789653.80298584502</v>
      </c>
      <c r="O85" s="18">
        <f>H85*'GS&lt;50 Predicted Monthly'!$V$12</f>
        <v>8349205.4233871475</v>
      </c>
      <c r="P85" s="18">
        <f>I85*'GS&lt;50 Predicted Monthly'!$V$13</f>
        <v>6528506.6788929049</v>
      </c>
      <c r="Q85" s="18">
        <f t="shared" si="10"/>
        <v>11002660.316998037</v>
      </c>
      <c r="R85" s="18">
        <f t="shared" si="11"/>
        <v>-1063627.6777847949</v>
      </c>
      <c r="S85" s="279">
        <f t="shared" si="12"/>
        <v>8.814870639957223E-2</v>
      </c>
      <c r="U85" s="18"/>
      <c r="V85" s="279"/>
      <c r="X85" s="18"/>
      <c r="Y85" s="18"/>
      <c r="Z85" s="240"/>
    </row>
    <row r="86" spans="1:26" x14ac:dyDescent="0.25">
      <c r="A86" s="3">
        <f>'Monthly Data'!A86</f>
        <v>44562</v>
      </c>
      <c r="B86" s="1">
        <f t="shared" si="8"/>
        <v>2022</v>
      </c>
      <c r="C86" s="1">
        <f t="shared" si="9"/>
        <v>1</v>
      </c>
      <c r="D86" s="24">
        <f>'Monthly Data'!J86</f>
        <v>12638454.910089087</v>
      </c>
      <c r="E86" s="278">
        <f>'Monthly Data'!BD86</f>
        <v>763.49166666666656</v>
      </c>
      <c r="F86" s="278">
        <f>'Monthly Data'!BG86</f>
        <v>0</v>
      </c>
      <c r="G86" s="4">
        <f>'Monthly Data'!CG86</f>
        <v>0.25</v>
      </c>
      <c r="H86" s="4">
        <f>'Monthly Data'!CD86</f>
        <v>31</v>
      </c>
      <c r="I86" s="18">
        <f>'Monthly Data'!K86</f>
        <v>4288</v>
      </c>
      <c r="K86" s="18">
        <f>'GS&lt;50 Predicted Monthly'!$V$8</f>
        <v>-5629453.6994364997</v>
      </c>
      <c r="L86" s="18">
        <f>E86*'GS&lt;50 Predicted Monthly'!$V$9</f>
        <v>4123516.6561760581</v>
      </c>
      <c r="M86" s="18">
        <f>F86*'GS&lt;50 Predicted Monthly'!$V$10</f>
        <v>0</v>
      </c>
      <c r="N86" s="18">
        <f>G86*'GS&lt;50 Predicted Monthly'!$V$11</f>
        <v>-394826.90149292251</v>
      </c>
      <c r="O86" s="18">
        <f>H86*'GS&lt;50 Predicted Monthly'!$V$12</f>
        <v>8349205.4233871475</v>
      </c>
      <c r="P86" s="18">
        <f>I86*'GS&lt;50 Predicted Monthly'!$V$13</f>
        <v>6545297.3203396713</v>
      </c>
      <c r="Q86" s="18">
        <f t="shared" si="10"/>
        <v>12993738.798973456</v>
      </c>
      <c r="R86" s="18">
        <f t="shared" si="11"/>
        <v>355283.88888436928</v>
      </c>
      <c r="S86" s="279">
        <f t="shared" si="12"/>
        <v>2.8111338878991574E-2</v>
      </c>
      <c r="U86" s="18"/>
      <c r="V86" s="279"/>
      <c r="X86" s="18"/>
      <c r="Y86" s="18"/>
      <c r="Z86" s="240"/>
    </row>
    <row r="87" spans="1:26" x14ac:dyDescent="0.25">
      <c r="A87" s="3">
        <f>'Monthly Data'!A87</f>
        <v>44593</v>
      </c>
      <c r="B87" s="1">
        <f t="shared" si="8"/>
        <v>2022</v>
      </c>
      <c r="C87" s="1">
        <f t="shared" si="9"/>
        <v>2</v>
      </c>
      <c r="D87" s="24">
        <f>'Monthly Data'!J87</f>
        <v>11611870.017274158</v>
      </c>
      <c r="E87" s="278">
        <f>'Monthly Data'!BD87</f>
        <v>580.84999999999991</v>
      </c>
      <c r="F87" s="278">
        <f>'Monthly Data'!BG87</f>
        <v>0</v>
      </c>
      <c r="G87" s="4">
        <f>'Monthly Data'!CG87</f>
        <v>0.25</v>
      </c>
      <c r="H87" s="4">
        <f>'Monthly Data'!CD87</f>
        <v>28</v>
      </c>
      <c r="I87" s="18">
        <f>'Monthly Data'!K87</f>
        <v>4294</v>
      </c>
      <c r="K87" s="18">
        <f>'GS&lt;50 Predicted Monthly'!$V$8</f>
        <v>-5629453.6994364997</v>
      </c>
      <c r="L87" s="18">
        <f>E87*'GS&lt;50 Predicted Monthly'!$V$9</f>
        <v>3137093.3754874379</v>
      </c>
      <c r="M87" s="18">
        <f>F87*'GS&lt;50 Predicted Monthly'!$V$10</f>
        <v>0</v>
      </c>
      <c r="N87" s="18">
        <f>G87*'GS&lt;50 Predicted Monthly'!$V$11</f>
        <v>-394826.90149292251</v>
      </c>
      <c r="O87" s="18">
        <f>H87*'GS&lt;50 Predicted Monthly'!$V$12</f>
        <v>7541217.8017690368</v>
      </c>
      <c r="P87" s="18">
        <f>I87*'GS&lt;50 Predicted Monthly'!$V$13</f>
        <v>6554455.8520379076</v>
      </c>
      <c r="Q87" s="18">
        <f t="shared" si="10"/>
        <v>11208486.428364959</v>
      </c>
      <c r="R87" s="18">
        <f t="shared" si="11"/>
        <v>-403383.58890919946</v>
      </c>
      <c r="S87" s="279">
        <f t="shared" si="12"/>
        <v>3.4738899790396745E-2</v>
      </c>
      <c r="U87" s="18"/>
      <c r="V87" s="279"/>
      <c r="X87" s="18"/>
      <c r="Y87" s="18"/>
      <c r="Z87" s="240"/>
    </row>
    <row r="88" spans="1:26" x14ac:dyDescent="0.25">
      <c r="A88" s="3">
        <f>'Monthly Data'!A88</f>
        <v>44621</v>
      </c>
      <c r="B88" s="1">
        <f t="shared" si="8"/>
        <v>2022</v>
      </c>
      <c r="C88" s="1">
        <f t="shared" si="9"/>
        <v>3</v>
      </c>
      <c r="D88" s="24">
        <f>'Monthly Data'!J88</f>
        <v>11884883.351506501</v>
      </c>
      <c r="E88" s="278">
        <f>'Monthly Data'!BD88</f>
        <v>482.72083333333353</v>
      </c>
      <c r="F88" s="278">
        <f>'Monthly Data'!BG88</f>
        <v>0</v>
      </c>
      <c r="G88" s="4">
        <f>'Monthly Data'!CG88</f>
        <v>0.25</v>
      </c>
      <c r="H88" s="4">
        <f>'Monthly Data'!CD88</f>
        <v>31</v>
      </c>
      <c r="I88" s="18">
        <f>'Monthly Data'!K88</f>
        <v>4283</v>
      </c>
      <c r="K88" s="18">
        <f>'GS&lt;50 Predicted Monthly'!$V$8</f>
        <v>-5629453.6994364997</v>
      </c>
      <c r="L88" s="18">
        <f>E88*'GS&lt;50 Predicted Monthly'!$V$9</f>
        <v>2607110.8349139648</v>
      </c>
      <c r="M88" s="18">
        <f>F88*'GS&lt;50 Predicted Monthly'!$V$10</f>
        <v>0</v>
      </c>
      <c r="N88" s="18">
        <f>G88*'GS&lt;50 Predicted Monthly'!$V$11</f>
        <v>-394826.90149292251</v>
      </c>
      <c r="O88" s="18">
        <f>H88*'GS&lt;50 Predicted Monthly'!$V$12</f>
        <v>8349205.4233871475</v>
      </c>
      <c r="P88" s="18">
        <f>I88*'GS&lt;50 Predicted Monthly'!$V$13</f>
        <v>6537665.2105911411</v>
      </c>
      <c r="Q88" s="18">
        <f t="shared" si="10"/>
        <v>11469700.867962832</v>
      </c>
      <c r="R88" s="18">
        <f t="shared" si="11"/>
        <v>-415182.4835436698</v>
      </c>
      <c r="S88" s="279">
        <f t="shared" si="12"/>
        <v>3.4933660791129445E-2</v>
      </c>
      <c r="U88" s="18"/>
    </row>
    <row r="89" spans="1:26" x14ac:dyDescent="0.25">
      <c r="A89" s="3">
        <f>'Monthly Data'!A89</f>
        <v>44652</v>
      </c>
      <c r="B89" s="1">
        <f t="shared" si="8"/>
        <v>2022</v>
      </c>
      <c r="C89" s="1">
        <f t="shared" si="9"/>
        <v>4</v>
      </c>
      <c r="D89" s="24">
        <f>'Monthly Data'!J89</f>
        <v>10215325.022601429</v>
      </c>
      <c r="E89" s="278">
        <f>'Monthly Data'!BD89</f>
        <v>294.33333333333337</v>
      </c>
      <c r="F89" s="278">
        <f>'Monthly Data'!BG89</f>
        <v>0</v>
      </c>
      <c r="G89" s="4">
        <f>'Monthly Data'!CG89</f>
        <v>0.25</v>
      </c>
      <c r="H89" s="4">
        <f>'Monthly Data'!CD89</f>
        <v>30</v>
      </c>
      <c r="I89" s="18">
        <f>'Monthly Data'!K89</f>
        <v>4284</v>
      </c>
      <c r="K89" s="18">
        <f>'GS&lt;50 Predicted Monthly'!$V$8</f>
        <v>-5629453.6994364997</v>
      </c>
      <c r="L89" s="18">
        <f>E89*'GS&lt;50 Predicted Monthly'!$V$9</f>
        <v>1589655.0747785766</v>
      </c>
      <c r="M89" s="18">
        <f>F89*'GS&lt;50 Predicted Monthly'!$V$10</f>
        <v>0</v>
      </c>
      <c r="N89" s="18">
        <f>G89*'GS&lt;50 Predicted Monthly'!$V$11</f>
        <v>-394826.90149292251</v>
      </c>
      <c r="O89" s="18">
        <f>H89*'GS&lt;50 Predicted Monthly'!$V$12</f>
        <v>8079876.2161811106</v>
      </c>
      <c r="P89" s="18">
        <f>I89*'GS&lt;50 Predicted Monthly'!$V$13</f>
        <v>6539191.6325408472</v>
      </c>
      <c r="Q89" s="18">
        <f t="shared" si="10"/>
        <v>10184442.322571112</v>
      </c>
      <c r="R89" s="18">
        <f t="shared" si="11"/>
        <v>-30882.70003031753</v>
      </c>
      <c r="S89" s="279">
        <f t="shared" si="12"/>
        <v>3.0231735125401775E-3</v>
      </c>
      <c r="Z89" s="286"/>
    </row>
    <row r="90" spans="1:26" x14ac:dyDescent="0.25">
      <c r="A90" s="3">
        <f>'Monthly Data'!A90</f>
        <v>44682</v>
      </c>
      <c r="B90" s="1">
        <f t="shared" si="8"/>
        <v>2022</v>
      </c>
      <c r="C90" s="1">
        <f t="shared" si="9"/>
        <v>5</v>
      </c>
      <c r="D90" s="24">
        <f>'Monthly Data'!J90</f>
        <v>10135011.499984067</v>
      </c>
      <c r="E90" s="278">
        <f>'Monthly Data'!BD90</f>
        <v>70.650000000000006</v>
      </c>
      <c r="F90" s="278">
        <f>'Monthly Data'!BG90</f>
        <v>72.362499999999997</v>
      </c>
      <c r="G90" s="4">
        <f>'Monthly Data'!CG90</f>
        <v>0.25</v>
      </c>
      <c r="H90" s="4">
        <f>'Monthly Data'!CD90</f>
        <v>31</v>
      </c>
      <c r="I90" s="18">
        <f>'Monthly Data'!K90</f>
        <v>4290</v>
      </c>
      <c r="K90" s="18">
        <f>'GS&lt;50 Predicted Monthly'!$V$8</f>
        <v>-5629453.6994364997</v>
      </c>
      <c r="L90" s="18">
        <f>E90*'GS&lt;50 Predicted Monthly'!$V$9</f>
        <v>381571.22661304561</v>
      </c>
      <c r="M90" s="18">
        <f>F90*'GS&lt;50 Predicted Monthly'!$V$10</f>
        <v>913100.60976009071</v>
      </c>
      <c r="N90" s="18">
        <f>G90*'GS&lt;50 Predicted Monthly'!$V$11</f>
        <v>-394826.90149292251</v>
      </c>
      <c r="O90" s="18">
        <f>H90*'GS&lt;50 Predicted Monthly'!$V$12</f>
        <v>8349205.4233871475</v>
      </c>
      <c r="P90" s="18">
        <f>I90*'GS&lt;50 Predicted Monthly'!$V$13</f>
        <v>6548350.1642390834</v>
      </c>
      <c r="Q90" s="18">
        <f t="shared" si="10"/>
        <v>10167946.823069945</v>
      </c>
      <c r="R90" s="18">
        <f t="shared" si="11"/>
        <v>32935.323085878044</v>
      </c>
      <c r="S90" s="279">
        <f t="shared" si="12"/>
        <v>3.2496581859754003E-3</v>
      </c>
    </row>
    <row r="91" spans="1:26" x14ac:dyDescent="0.25">
      <c r="A91" s="3">
        <f>'Monthly Data'!A91</f>
        <v>44713</v>
      </c>
      <c r="B91" s="1">
        <f t="shared" si="8"/>
        <v>2022</v>
      </c>
      <c r="C91" s="1">
        <f t="shared" si="9"/>
        <v>6</v>
      </c>
      <c r="D91" s="24">
        <f>'Monthly Data'!J91</f>
        <v>10454406.76599817</v>
      </c>
      <c r="E91" s="278">
        <f>'Monthly Data'!BD91</f>
        <v>6.1903205128205077</v>
      </c>
      <c r="F91" s="278">
        <f>'Monthly Data'!BG91</f>
        <v>120.92250416250417</v>
      </c>
      <c r="G91" s="4">
        <f>'Monthly Data'!CG91</f>
        <v>0.25</v>
      </c>
      <c r="H91" s="4">
        <f>'Monthly Data'!CD91</f>
        <v>30</v>
      </c>
      <c r="I91" s="18">
        <f>'Monthly Data'!K91</f>
        <v>4306</v>
      </c>
      <c r="K91" s="18">
        <f>'GS&lt;50 Predicted Monthly'!$V$8</f>
        <v>-5629453.6994364997</v>
      </c>
      <c r="L91" s="18">
        <f>E91*'GS&lt;50 Predicted Monthly'!$V$9</f>
        <v>33433.095416911798</v>
      </c>
      <c r="M91" s="18">
        <f>F91*'GS&lt;50 Predicted Monthly'!$V$10</f>
        <v>1525851.2666712685</v>
      </c>
      <c r="N91" s="18">
        <f>G91*'GS&lt;50 Predicted Monthly'!$V$11</f>
        <v>-394826.90149292251</v>
      </c>
      <c r="O91" s="18">
        <f>H91*'GS&lt;50 Predicted Monthly'!$V$12</f>
        <v>8079876.2161811106</v>
      </c>
      <c r="P91" s="18">
        <f>I91*'GS&lt;50 Predicted Monthly'!$V$13</f>
        <v>6572772.915434381</v>
      </c>
      <c r="Q91" s="18">
        <f t="shared" si="10"/>
        <v>10187652.89277425</v>
      </c>
      <c r="R91" s="18">
        <f t="shared" si="11"/>
        <v>-266753.87322391942</v>
      </c>
      <c r="S91" s="279">
        <f t="shared" si="12"/>
        <v>2.5515926364325866E-2</v>
      </c>
    </row>
    <row r="92" spans="1:26" x14ac:dyDescent="0.25">
      <c r="A92" s="3">
        <f>'Monthly Data'!A92</f>
        <v>44743</v>
      </c>
      <c r="B92" s="1">
        <f t="shared" si="8"/>
        <v>2022</v>
      </c>
      <c r="C92" s="1">
        <f t="shared" si="9"/>
        <v>7</v>
      </c>
      <c r="D92" s="24">
        <f>'Monthly Data'!J92</f>
        <v>11689555.982580787</v>
      </c>
      <c r="E92" s="278">
        <f>'Monthly Data'!BD92</f>
        <v>0</v>
      </c>
      <c r="F92" s="278">
        <f>'Monthly Data'!BG92</f>
        <v>221.8543382913806</v>
      </c>
      <c r="G92" s="4">
        <f>'Monthly Data'!CG92</f>
        <v>0.25</v>
      </c>
      <c r="H92" s="4">
        <f>'Monthly Data'!CD92</f>
        <v>31</v>
      </c>
      <c r="I92" s="18">
        <f>'Monthly Data'!K92</f>
        <v>4310</v>
      </c>
      <c r="K92" s="18">
        <f>'GS&lt;50 Predicted Monthly'!$V$8</f>
        <v>-5629453.6994364997</v>
      </c>
      <c r="L92" s="18">
        <f>E92*'GS&lt;50 Predicted Monthly'!$V$9</f>
        <v>0</v>
      </c>
      <c r="M92" s="18">
        <f>F92*'GS&lt;50 Predicted Monthly'!$V$10</f>
        <v>2799451.8095944868</v>
      </c>
      <c r="N92" s="18">
        <f>G92*'GS&lt;50 Predicted Monthly'!$V$11</f>
        <v>-394826.90149292251</v>
      </c>
      <c r="O92" s="18">
        <f>H92*'GS&lt;50 Predicted Monthly'!$V$12</f>
        <v>8349205.4233871475</v>
      </c>
      <c r="P92" s="18">
        <f>I92*'GS&lt;50 Predicted Monthly'!$V$13</f>
        <v>6578878.6032332052</v>
      </c>
      <c r="Q92" s="18">
        <f t="shared" si="10"/>
        <v>11703255.235285416</v>
      </c>
      <c r="R92" s="18">
        <f t="shared" si="11"/>
        <v>13699.252704629675</v>
      </c>
      <c r="S92" s="279">
        <f t="shared" si="12"/>
        <v>1.1719224173307901E-3</v>
      </c>
    </row>
    <row r="93" spans="1:26" x14ac:dyDescent="0.25">
      <c r="A93" s="3">
        <f>'Monthly Data'!A93</f>
        <v>44774</v>
      </c>
      <c r="B93" s="1">
        <f t="shared" si="8"/>
        <v>2022</v>
      </c>
      <c r="C93" s="1">
        <f t="shared" si="9"/>
        <v>8</v>
      </c>
      <c r="D93" s="24">
        <f>'Monthly Data'!J93</f>
        <v>12151700.400896436</v>
      </c>
      <c r="E93" s="278">
        <f>'Monthly Data'!BD93</f>
        <v>0</v>
      </c>
      <c r="F93" s="278">
        <f>'Monthly Data'!BG93</f>
        <v>228.28333333333333</v>
      </c>
      <c r="G93" s="4">
        <f>'Monthly Data'!CG93</f>
        <v>0.25</v>
      </c>
      <c r="H93" s="4">
        <f>'Monthly Data'!CD93</f>
        <v>31</v>
      </c>
      <c r="I93" s="18">
        <f>'Monthly Data'!K93</f>
        <v>4310</v>
      </c>
      <c r="K93" s="18">
        <f>'GS&lt;50 Predicted Monthly'!$V$8</f>
        <v>-5629453.6994364997</v>
      </c>
      <c r="L93" s="18">
        <f>E93*'GS&lt;50 Predicted Monthly'!$V$9</f>
        <v>0</v>
      </c>
      <c r="M93" s="18">
        <f>F93*'GS&lt;50 Predicted Monthly'!$V$10</f>
        <v>2880575.5863151867</v>
      </c>
      <c r="N93" s="18">
        <f>G93*'GS&lt;50 Predicted Monthly'!$V$11</f>
        <v>-394826.90149292251</v>
      </c>
      <c r="O93" s="18">
        <f>H93*'GS&lt;50 Predicted Monthly'!$V$12</f>
        <v>8349205.4233871475</v>
      </c>
      <c r="P93" s="18">
        <f>I93*'GS&lt;50 Predicted Monthly'!$V$13</f>
        <v>6578878.6032332052</v>
      </c>
      <c r="Q93" s="18">
        <f t="shared" si="10"/>
        <v>11784379.012006117</v>
      </c>
      <c r="R93" s="18">
        <f t="shared" si="11"/>
        <v>-367321.38889031857</v>
      </c>
      <c r="S93" s="279">
        <f t="shared" si="12"/>
        <v>3.0227982650331071E-2</v>
      </c>
    </row>
    <row r="94" spans="1:26" x14ac:dyDescent="0.25">
      <c r="A94" s="3">
        <f>'Monthly Data'!A94</f>
        <v>44805</v>
      </c>
      <c r="B94" s="1">
        <f t="shared" si="8"/>
        <v>2022</v>
      </c>
      <c r="C94" s="1">
        <f t="shared" si="9"/>
        <v>9</v>
      </c>
      <c r="D94" s="24">
        <f>'Monthly Data'!J94</f>
        <v>10411655.904462164</v>
      </c>
      <c r="E94" s="278">
        <f>'Monthly Data'!BD94</f>
        <v>45.029166666666661</v>
      </c>
      <c r="F94" s="278">
        <f>'Monthly Data'!BG94</f>
        <v>94.054166666666674</v>
      </c>
      <c r="G94" s="4">
        <f>'Monthly Data'!CG94</f>
        <v>0.25</v>
      </c>
      <c r="H94" s="4">
        <f>'Monthly Data'!CD94</f>
        <v>30</v>
      </c>
      <c r="I94" s="18">
        <f>'Monthly Data'!K94</f>
        <v>4317</v>
      </c>
      <c r="K94" s="18">
        <f>'GS&lt;50 Predicted Monthly'!$V$8</f>
        <v>-5629453.6994364997</v>
      </c>
      <c r="L94" s="18">
        <f>E94*'GS&lt;50 Predicted Monthly'!$V$9</f>
        <v>243196.52311908369</v>
      </c>
      <c r="M94" s="18">
        <f>F94*'GS&lt;50 Predicted Monthly'!$V$10</f>
        <v>1186815.2279676702</v>
      </c>
      <c r="N94" s="18">
        <f>G94*'GS&lt;50 Predicted Monthly'!$V$11</f>
        <v>-394826.90149292251</v>
      </c>
      <c r="O94" s="18">
        <f>H94*'GS&lt;50 Predicted Monthly'!$V$12</f>
        <v>8079876.2161811106</v>
      </c>
      <c r="P94" s="18">
        <f>I94*'GS&lt;50 Predicted Monthly'!$V$13</f>
        <v>6589563.5568811474</v>
      </c>
      <c r="Q94" s="18">
        <f t="shared" si="10"/>
        <v>10075170.92321959</v>
      </c>
      <c r="R94" s="18">
        <f t="shared" si="11"/>
        <v>-336484.98124257475</v>
      </c>
      <c r="S94" s="279">
        <f t="shared" si="12"/>
        <v>3.2318104279489883E-2</v>
      </c>
    </row>
    <row r="95" spans="1:26" x14ac:dyDescent="0.25">
      <c r="A95" s="3">
        <f>'Monthly Data'!A95</f>
        <v>44835</v>
      </c>
      <c r="B95" s="1">
        <f t="shared" si="8"/>
        <v>2022</v>
      </c>
      <c r="C95" s="1">
        <f t="shared" si="9"/>
        <v>10</v>
      </c>
      <c r="D95" s="24">
        <f>'Monthly Data'!J95</f>
        <v>9828046.4671053123</v>
      </c>
      <c r="E95" s="278">
        <f>'Monthly Data'!BD95</f>
        <v>206.85561594202895</v>
      </c>
      <c r="F95" s="278">
        <f>'Monthly Data'!BG95</f>
        <v>2.4208333333333307</v>
      </c>
      <c r="G95" s="4">
        <f>'Monthly Data'!CG95</f>
        <v>0.25</v>
      </c>
      <c r="H95" s="4">
        <f>'Monthly Data'!CD95</f>
        <v>31</v>
      </c>
      <c r="I95" s="18">
        <f>'Monthly Data'!K95</f>
        <v>4318</v>
      </c>
      <c r="K95" s="18">
        <f>'GS&lt;50 Predicted Monthly'!$V$8</f>
        <v>-5629453.6994364997</v>
      </c>
      <c r="L95" s="18">
        <f>E95*'GS&lt;50 Predicted Monthly'!$V$9</f>
        <v>1117199.5910374671</v>
      </c>
      <c r="M95" s="18">
        <f>F95*'GS&lt;50 Predicted Monthly'!$V$10</f>
        <v>30547.098190281115</v>
      </c>
      <c r="N95" s="18">
        <f>G95*'GS&lt;50 Predicted Monthly'!$V$11</f>
        <v>-394826.90149292251</v>
      </c>
      <c r="O95" s="18">
        <f>H95*'GS&lt;50 Predicted Monthly'!$V$12</f>
        <v>8349205.4233871475</v>
      </c>
      <c r="P95" s="18">
        <f>I95*'GS&lt;50 Predicted Monthly'!$V$13</f>
        <v>6591089.9788308535</v>
      </c>
      <c r="Q95" s="18">
        <f t="shared" si="10"/>
        <v>10063761.490516327</v>
      </c>
      <c r="R95" s="18">
        <f t="shared" si="11"/>
        <v>235715.02341101505</v>
      </c>
      <c r="S95" s="279">
        <f t="shared" si="12"/>
        <v>2.3983914219367849E-2</v>
      </c>
    </row>
    <row r="96" spans="1:26" x14ac:dyDescent="0.25">
      <c r="A96" s="3">
        <f>'Monthly Data'!A96</f>
        <v>44866</v>
      </c>
      <c r="B96" s="1">
        <f t="shared" si="8"/>
        <v>2022</v>
      </c>
      <c r="C96" s="1">
        <f t="shared" si="9"/>
        <v>11</v>
      </c>
      <c r="D96" s="24">
        <f>'Monthly Data'!J96</f>
        <v>10674195.491496757</v>
      </c>
      <c r="E96" s="278">
        <f>'Monthly Data'!BD96</f>
        <v>351.83333333333343</v>
      </c>
      <c r="F96" s="278">
        <f>'Monthly Data'!BG96</f>
        <v>2.3083333333333318</v>
      </c>
      <c r="G96" s="4">
        <f>'Monthly Data'!CG96</f>
        <v>0.25</v>
      </c>
      <c r="H96" s="4">
        <f>'Monthly Data'!CD96</f>
        <v>30</v>
      </c>
      <c r="I96" s="18">
        <f>'Monthly Data'!K96</f>
        <v>4330</v>
      </c>
      <c r="K96" s="18">
        <f>'GS&lt;50 Predicted Monthly'!$V$8</f>
        <v>-5629453.6994364997</v>
      </c>
      <c r="L96" s="18">
        <f>E96*'GS&lt;50 Predicted Monthly'!$V$9</f>
        <v>1900204.9053553655</v>
      </c>
      <c r="M96" s="18">
        <f>F96*'GS&lt;50 Predicted Monthly'!$V$10</f>
        <v>29127.525640990953</v>
      </c>
      <c r="N96" s="18">
        <f>G96*'GS&lt;50 Predicted Monthly'!$V$11</f>
        <v>-394826.90149292251</v>
      </c>
      <c r="O96" s="18">
        <f>H96*'GS&lt;50 Predicted Monthly'!$V$12</f>
        <v>8079876.2161811106</v>
      </c>
      <c r="P96" s="18">
        <f>I96*'GS&lt;50 Predicted Monthly'!$V$13</f>
        <v>6609407.0422273269</v>
      </c>
      <c r="Q96" s="18">
        <f t="shared" si="10"/>
        <v>10594335.088475373</v>
      </c>
      <c r="R96" s="18">
        <f t="shared" si="11"/>
        <v>-79860.403021384031</v>
      </c>
      <c r="S96" s="279">
        <f t="shared" si="12"/>
        <v>7.4816320429021716E-3</v>
      </c>
    </row>
    <row r="97" spans="1:19" x14ac:dyDescent="0.25">
      <c r="A97" s="3">
        <f>'Monthly Data'!A97</f>
        <v>44896</v>
      </c>
      <c r="B97" s="1">
        <f t="shared" si="8"/>
        <v>2022</v>
      </c>
      <c r="C97" s="1">
        <f t="shared" si="9"/>
        <v>12</v>
      </c>
      <c r="D97" s="24">
        <f>'Monthly Data'!J97</f>
        <v>12137450.090663463</v>
      </c>
      <c r="E97" s="278">
        <f>'Monthly Data'!BD97</f>
        <v>523.12083333333328</v>
      </c>
      <c r="F97" s="278">
        <f>'Monthly Data'!BG97</f>
        <v>0</v>
      </c>
      <c r="G97" s="4">
        <f>'Monthly Data'!CG97</f>
        <v>0.25</v>
      </c>
      <c r="H97" s="4">
        <f>'Monthly Data'!CD97</f>
        <v>31</v>
      </c>
      <c r="I97" s="18">
        <f>'Monthly Data'!K97</f>
        <v>4328</v>
      </c>
      <c r="K97" s="18">
        <f>'GS&lt;50 Predicted Monthly'!$V$8</f>
        <v>-5629453.6994364997</v>
      </c>
      <c r="L97" s="18">
        <f>E97*'GS&lt;50 Predicted Monthly'!$V$9</f>
        <v>2825305.8463105247</v>
      </c>
      <c r="M97" s="18">
        <f>F97*'GS&lt;50 Predicted Monthly'!$V$10</f>
        <v>0</v>
      </c>
      <c r="N97" s="18">
        <f>G97*'GS&lt;50 Predicted Monthly'!$V$11</f>
        <v>-394826.90149292251</v>
      </c>
      <c r="O97" s="18">
        <f>H97*'GS&lt;50 Predicted Monthly'!$V$12</f>
        <v>8349205.4233871475</v>
      </c>
      <c r="P97" s="18">
        <f>I97*'GS&lt;50 Predicted Monthly'!$V$13</f>
        <v>6606354.1983279148</v>
      </c>
      <c r="Q97" s="18">
        <f t="shared" si="10"/>
        <v>11756584.867096163</v>
      </c>
      <c r="R97" s="18">
        <f t="shared" si="11"/>
        <v>-380865.22356729954</v>
      </c>
      <c r="S97" s="279">
        <f t="shared" si="12"/>
        <v>3.137934415567846E-2</v>
      </c>
    </row>
    <row r="98" spans="1:19" x14ac:dyDescent="0.25">
      <c r="A98" s="3">
        <f>'Monthly Data'!A98</f>
        <v>44927</v>
      </c>
      <c r="B98" s="1">
        <f t="shared" si="8"/>
        <v>2023</v>
      </c>
      <c r="C98" s="1">
        <f t="shared" si="9"/>
        <v>1</v>
      </c>
      <c r="D98" s="24">
        <f>'Monthly Data'!J98</f>
        <v>11900920.75694887</v>
      </c>
      <c r="E98" s="278">
        <f>'Monthly Data'!BD98</f>
        <v>542.07083333333333</v>
      </c>
      <c r="F98" s="278">
        <f>'Monthly Data'!BG98</f>
        <v>0</v>
      </c>
      <c r="G98" s="4">
        <f>'Monthly Data'!CG98</f>
        <v>0</v>
      </c>
      <c r="H98" s="4">
        <f>'Monthly Data'!CD98</f>
        <v>31</v>
      </c>
      <c r="I98" s="18">
        <f>'Monthly Data'!K98</f>
        <v>4326</v>
      </c>
      <c r="K98" s="18">
        <f>'GS&lt;50 Predicted Monthly'!$V$8</f>
        <v>-5629453.6994364997</v>
      </c>
      <c r="L98" s="18">
        <f>E98*'GS&lt;50 Predicted Monthly'!$V$9</f>
        <v>2927652.2687353971</v>
      </c>
      <c r="M98" s="18">
        <f>F98*'GS&lt;50 Predicted Monthly'!$V$10</f>
        <v>0</v>
      </c>
      <c r="N98" s="18">
        <f>G98*'GS&lt;50 Predicted Monthly'!$V$11</f>
        <v>0</v>
      </c>
      <c r="O98" s="18">
        <f>H98*'GS&lt;50 Predicted Monthly'!$V$12</f>
        <v>8349205.4233871475</v>
      </c>
      <c r="P98" s="18">
        <f>I98*'GS&lt;50 Predicted Monthly'!$V$13</f>
        <v>6603301.3544285027</v>
      </c>
      <c r="Q98" s="18">
        <f t="shared" ref="Q98:Q121" si="13">SUM(K98:P98)</f>
        <v>12250705.347114548</v>
      </c>
      <c r="R98" s="18">
        <f t="shared" ref="R98:R121" si="14">Q98-D98</f>
        <v>349784.59016567841</v>
      </c>
      <c r="S98" s="279">
        <f t="shared" ref="S98:S121" si="15">ABS(R98/D98)</f>
        <v>2.9391388894127495E-2</v>
      </c>
    </row>
    <row r="99" spans="1:19" x14ac:dyDescent="0.25">
      <c r="A99" s="3">
        <f>'Monthly Data'!A99</f>
        <v>44958</v>
      </c>
      <c r="B99" s="1">
        <f t="shared" si="8"/>
        <v>2023</v>
      </c>
      <c r="C99" s="1">
        <f t="shared" si="9"/>
        <v>2</v>
      </c>
      <c r="D99" s="24">
        <f>'Monthly Data'!J99</f>
        <v>11268388.96174559</v>
      </c>
      <c r="E99" s="278">
        <f>'Monthly Data'!BD99</f>
        <v>517.43333333333328</v>
      </c>
      <c r="F99" s="278">
        <f>'Monthly Data'!BG99</f>
        <v>0</v>
      </c>
      <c r="G99" s="4">
        <f>'Monthly Data'!CG99</f>
        <v>0</v>
      </c>
      <c r="H99" s="4">
        <f>'Monthly Data'!CD99</f>
        <v>28</v>
      </c>
      <c r="I99" s="18">
        <f>'Monthly Data'!K99</f>
        <v>4326</v>
      </c>
      <c r="K99" s="18">
        <f>'GS&lt;50 Predicted Monthly'!$V$8</f>
        <v>-5629453.6994364997</v>
      </c>
      <c r="L99" s="18">
        <f>E99*'GS&lt;50 Predicted Monthly'!$V$9</f>
        <v>2794588.4174165162</v>
      </c>
      <c r="M99" s="18">
        <f>F99*'GS&lt;50 Predicted Monthly'!$V$10</f>
        <v>0</v>
      </c>
      <c r="N99" s="18">
        <f>G99*'GS&lt;50 Predicted Monthly'!$V$11</f>
        <v>0</v>
      </c>
      <c r="O99" s="18">
        <f>H99*'GS&lt;50 Predicted Monthly'!$V$12</f>
        <v>7541217.8017690368</v>
      </c>
      <c r="P99" s="18">
        <f>I99*'GS&lt;50 Predicted Monthly'!$V$13</f>
        <v>6603301.3544285027</v>
      </c>
      <c r="Q99" s="18">
        <f t="shared" si="13"/>
        <v>11309653.874177556</v>
      </c>
      <c r="R99" s="18">
        <f t="shared" si="14"/>
        <v>41264.912431966513</v>
      </c>
      <c r="S99" s="279">
        <f t="shared" si="15"/>
        <v>3.6620063943527694E-3</v>
      </c>
    </row>
    <row r="100" spans="1:19" x14ac:dyDescent="0.25">
      <c r="A100" s="3">
        <f>'Monthly Data'!A100</f>
        <v>44986</v>
      </c>
      <c r="B100" s="1">
        <f t="shared" si="8"/>
        <v>2023</v>
      </c>
      <c r="C100" s="1">
        <f t="shared" si="9"/>
        <v>3</v>
      </c>
      <c r="D100" s="24">
        <f>'Monthly Data'!J100</f>
        <v>11816770.193896014</v>
      </c>
      <c r="E100" s="278">
        <f>'Monthly Data'!BD100</f>
        <v>489.03333333333336</v>
      </c>
      <c r="F100" s="278">
        <f>'Monthly Data'!BG100</f>
        <v>0</v>
      </c>
      <c r="G100" s="4">
        <f>'Monthly Data'!CG100</f>
        <v>0</v>
      </c>
      <c r="H100" s="4">
        <f>'Monthly Data'!CD100</f>
        <v>31</v>
      </c>
      <c r="I100" s="18">
        <f>'Monthly Data'!K100</f>
        <v>4323</v>
      </c>
      <c r="K100" s="18">
        <f>'GS&lt;50 Predicted Monthly'!$V$8</f>
        <v>-5629453.6994364997</v>
      </c>
      <c r="L100" s="18">
        <f>E100*'GS&lt;50 Predicted Monthly'!$V$9</f>
        <v>2641203.8054446764</v>
      </c>
      <c r="M100" s="18">
        <f>F100*'GS&lt;50 Predicted Monthly'!$V$10</f>
        <v>0</v>
      </c>
      <c r="N100" s="18">
        <f>G100*'GS&lt;50 Predicted Monthly'!$V$11</f>
        <v>0</v>
      </c>
      <c r="O100" s="18">
        <f>H100*'GS&lt;50 Predicted Monthly'!$V$12</f>
        <v>8349205.4233871475</v>
      </c>
      <c r="P100" s="18">
        <f>I100*'GS&lt;50 Predicted Monthly'!$V$13</f>
        <v>6598722.0885793846</v>
      </c>
      <c r="Q100" s="18">
        <f t="shared" si="13"/>
        <v>11959677.61797471</v>
      </c>
      <c r="R100" s="18">
        <f t="shared" si="14"/>
        <v>142907.42407869548</v>
      </c>
      <c r="S100" s="279">
        <f t="shared" si="15"/>
        <v>1.209361117579444E-2</v>
      </c>
    </row>
    <row r="101" spans="1:19" x14ac:dyDescent="0.25">
      <c r="A101" s="3">
        <f>'Monthly Data'!A101</f>
        <v>45017</v>
      </c>
      <c r="B101" s="1">
        <f t="shared" si="8"/>
        <v>2023</v>
      </c>
      <c r="C101" s="1">
        <f t="shared" si="9"/>
        <v>4</v>
      </c>
      <c r="D101" s="24">
        <f>'Monthly Data'!J101</f>
        <v>9998588.696879793</v>
      </c>
      <c r="E101" s="278">
        <f>'Monthly Data'!BD101</f>
        <v>243.15833333333336</v>
      </c>
      <c r="F101" s="278">
        <f>'Monthly Data'!BG101</f>
        <v>11.71666666666667</v>
      </c>
      <c r="G101" s="4">
        <f>'Monthly Data'!CG101</f>
        <v>0</v>
      </c>
      <c r="H101" s="4">
        <f>'Monthly Data'!CD101</f>
        <v>30</v>
      </c>
      <c r="I101" s="18">
        <f>'Monthly Data'!K101</f>
        <v>4324</v>
      </c>
      <c r="K101" s="18">
        <f>'GS&lt;50 Predicted Monthly'!$V$8</f>
        <v>-5629453.6994364997</v>
      </c>
      <c r="L101" s="18">
        <f>E101*'GS&lt;50 Predicted Monthly'!$V$9</f>
        <v>1313265.7255652347</v>
      </c>
      <c r="M101" s="18">
        <f>F101*'GS&lt;50 Predicted Monthly'!$V$10</f>
        <v>147845.85217051741</v>
      </c>
      <c r="N101" s="18">
        <f>G101*'GS&lt;50 Predicted Monthly'!$V$11</f>
        <v>0</v>
      </c>
      <c r="O101" s="18">
        <f>H101*'GS&lt;50 Predicted Monthly'!$V$12</f>
        <v>8079876.2161811106</v>
      </c>
      <c r="P101" s="18">
        <f>I101*'GS&lt;50 Predicted Monthly'!$V$13</f>
        <v>6600248.5105290907</v>
      </c>
      <c r="Q101" s="18">
        <f t="shared" si="13"/>
        <v>10511782.605009453</v>
      </c>
      <c r="R101" s="18">
        <f t="shared" si="14"/>
        <v>513193.90812966041</v>
      </c>
      <c r="S101" s="279">
        <f t="shared" si="15"/>
        <v>5.132663455691603E-2</v>
      </c>
    </row>
    <row r="102" spans="1:19" x14ac:dyDescent="0.25">
      <c r="A102" s="3">
        <f>'Monthly Data'!A102</f>
        <v>45047</v>
      </c>
      <c r="B102" s="1">
        <f t="shared" si="8"/>
        <v>2023</v>
      </c>
      <c r="C102" s="1">
        <f t="shared" si="9"/>
        <v>5</v>
      </c>
      <c r="D102" s="24">
        <f>'Monthly Data'!J102</f>
        <v>10368100.884234048</v>
      </c>
      <c r="E102" s="278">
        <f>'Monthly Data'!BD102</f>
        <v>113.00166666666665</v>
      </c>
      <c r="F102" s="278">
        <f>'Monthly Data'!BG102</f>
        <v>37.345833333333331</v>
      </c>
      <c r="G102" s="4">
        <f>'Monthly Data'!CG102</f>
        <v>0</v>
      </c>
      <c r="H102" s="4">
        <f>'Monthly Data'!CD102</f>
        <v>31</v>
      </c>
      <c r="I102" s="18">
        <f>'Monthly Data'!K102</f>
        <v>4331</v>
      </c>
      <c r="K102" s="18">
        <f>'GS&lt;50 Predicted Monthly'!$V$8</f>
        <v>-5629453.6994364997</v>
      </c>
      <c r="L102" s="18">
        <f>E102*'GS&lt;50 Predicted Monthly'!$V$9</f>
        <v>610306.92936048831</v>
      </c>
      <c r="M102" s="18">
        <f>F102*'GS&lt;50 Predicted Monthly'!$V$10</f>
        <v>471245.50960325287</v>
      </c>
      <c r="N102" s="18">
        <f>G102*'GS&lt;50 Predicted Monthly'!$V$11</f>
        <v>0</v>
      </c>
      <c r="O102" s="18">
        <f>H102*'GS&lt;50 Predicted Monthly'!$V$12</f>
        <v>8349205.4233871475</v>
      </c>
      <c r="P102" s="18">
        <f>I102*'GS&lt;50 Predicted Monthly'!$V$13</f>
        <v>6610933.4641770329</v>
      </c>
      <c r="Q102" s="18">
        <f t="shared" si="13"/>
        <v>10412237.627091423</v>
      </c>
      <c r="R102" s="18">
        <f t="shared" si="14"/>
        <v>44136.742857374251</v>
      </c>
      <c r="S102" s="279">
        <f t="shared" si="15"/>
        <v>4.2569746716575171E-3</v>
      </c>
    </row>
    <row r="103" spans="1:19" x14ac:dyDescent="0.25">
      <c r="A103" s="3">
        <f>'Monthly Data'!A103</f>
        <v>45078</v>
      </c>
      <c r="B103" s="1">
        <f t="shared" si="8"/>
        <v>2023</v>
      </c>
      <c r="C103" s="1">
        <f t="shared" si="9"/>
        <v>6</v>
      </c>
      <c r="D103" s="24">
        <f>'Monthly Data'!J103</f>
        <v>11121434.915861359</v>
      </c>
      <c r="E103" s="278">
        <f>'Monthly Data'!BD103</f>
        <v>4.2708333333333268</v>
      </c>
      <c r="F103" s="278">
        <f>'Monthly Data'!BG103</f>
        <v>145.54166666666666</v>
      </c>
      <c r="G103" s="4">
        <f>'Monthly Data'!CG103</f>
        <v>0</v>
      </c>
      <c r="H103" s="4">
        <f>'Monthly Data'!CD103</f>
        <v>30</v>
      </c>
      <c r="I103" s="18">
        <f>'Monthly Data'!K103</f>
        <v>4427</v>
      </c>
      <c r="K103" s="18">
        <f>'GS&lt;50 Predicted Monthly'!$V$8</f>
        <v>-5629453.6994364997</v>
      </c>
      <c r="L103" s="18">
        <f>E103*'GS&lt;50 Predicted Monthly'!$V$9</f>
        <v>23066.201184145502</v>
      </c>
      <c r="M103" s="18">
        <f>F103*'GS&lt;50 Predicted Monthly'!$V$10</f>
        <v>1836506.2646928062</v>
      </c>
      <c r="N103" s="18">
        <f>G103*'GS&lt;50 Predicted Monthly'!$V$11</f>
        <v>0</v>
      </c>
      <c r="O103" s="18">
        <f>H103*'GS&lt;50 Predicted Monthly'!$V$12</f>
        <v>8079876.2161811106</v>
      </c>
      <c r="P103" s="18">
        <f>I103*'GS&lt;50 Predicted Monthly'!$V$13</f>
        <v>6757469.9713488165</v>
      </c>
      <c r="Q103" s="18">
        <f t="shared" si="13"/>
        <v>11067464.953970378</v>
      </c>
      <c r="R103" s="18">
        <f t="shared" si="14"/>
        <v>-53969.961890980601</v>
      </c>
      <c r="S103" s="279">
        <f t="shared" si="15"/>
        <v>4.852787639300824E-3</v>
      </c>
    </row>
    <row r="104" spans="1:19" x14ac:dyDescent="0.25">
      <c r="A104" s="3">
        <f>'Monthly Data'!A104</f>
        <v>45108</v>
      </c>
      <c r="B104" s="1">
        <f t="shared" si="8"/>
        <v>2023</v>
      </c>
      <c r="C104" s="1">
        <f t="shared" si="9"/>
        <v>7</v>
      </c>
      <c r="D104" s="24">
        <f>'Monthly Data'!J104</f>
        <v>12543088.678410012</v>
      </c>
      <c r="E104" s="278">
        <f>'Monthly Data'!BD104</f>
        <v>0</v>
      </c>
      <c r="F104" s="278">
        <f>'Monthly Data'!BG104</f>
        <v>223.78333333333336</v>
      </c>
      <c r="G104" s="4">
        <f>'Monthly Data'!CG104</f>
        <v>0</v>
      </c>
      <c r="H104" s="4">
        <f>'Monthly Data'!CD104</f>
        <v>31</v>
      </c>
      <c r="I104" s="18">
        <f>'Monthly Data'!K104</f>
        <v>4428</v>
      </c>
      <c r="K104" s="18">
        <f>'GS&lt;50 Predicted Monthly'!$V$8</f>
        <v>-5629453.6994364997</v>
      </c>
      <c r="L104" s="18">
        <f>E104*'GS&lt;50 Predicted Monthly'!$V$9</f>
        <v>0</v>
      </c>
      <c r="M104" s="18">
        <f>F104*'GS&lt;50 Predicted Monthly'!$V$10</f>
        <v>2823792.6843435802</v>
      </c>
      <c r="N104" s="18">
        <f>G104*'GS&lt;50 Predicted Monthly'!$V$11</f>
        <v>0</v>
      </c>
      <c r="O104" s="18">
        <f>H104*'GS&lt;50 Predicted Monthly'!$V$12</f>
        <v>8349205.4233871475</v>
      </c>
      <c r="P104" s="18">
        <f>I104*'GS&lt;50 Predicted Monthly'!$V$13</f>
        <v>6758996.3932985226</v>
      </c>
      <c r="Q104" s="18">
        <f t="shared" si="13"/>
        <v>12302540.80159275</v>
      </c>
      <c r="R104" s="18">
        <f t="shared" si="14"/>
        <v>-240547.8768172618</v>
      </c>
      <c r="S104" s="279">
        <f t="shared" si="15"/>
        <v>1.917772272720264E-2</v>
      </c>
    </row>
    <row r="105" spans="1:19" x14ac:dyDescent="0.25">
      <c r="A105" s="3">
        <f>'Monthly Data'!A105</f>
        <v>45139</v>
      </c>
      <c r="B105" s="1">
        <f t="shared" si="8"/>
        <v>2023</v>
      </c>
      <c r="C105" s="1">
        <f t="shared" si="9"/>
        <v>8</v>
      </c>
      <c r="D105" s="24">
        <f>'Monthly Data'!J105</f>
        <v>11738596.573525636</v>
      </c>
      <c r="E105" s="278">
        <f>'Monthly Data'!BD105</f>
        <v>1.6125000000000007</v>
      </c>
      <c r="F105" s="278">
        <f>'Monthly Data'!BG105</f>
        <v>165.80489130434788</v>
      </c>
      <c r="G105" s="4">
        <f>'Monthly Data'!CG105</f>
        <v>0</v>
      </c>
      <c r="H105" s="4">
        <f>'Monthly Data'!CD105</f>
        <v>31</v>
      </c>
      <c r="I105" s="18">
        <f>'Monthly Data'!K105</f>
        <v>4431</v>
      </c>
      <c r="K105" s="18">
        <f>'GS&lt;50 Predicted Monthly'!$V$8</f>
        <v>-5629453.6994364997</v>
      </c>
      <c r="L105" s="18">
        <f>E105*'GS&lt;50 Predicted Monthly'!$V$9</f>
        <v>8708.897422696904</v>
      </c>
      <c r="M105" s="18">
        <f>F105*'GS&lt;50 Predicted Monthly'!$V$10</f>
        <v>2092196.1976328292</v>
      </c>
      <c r="N105" s="18">
        <f>G105*'GS&lt;50 Predicted Monthly'!$V$11</f>
        <v>0</v>
      </c>
      <c r="O105" s="18">
        <f>H105*'GS&lt;50 Predicted Monthly'!$V$12</f>
        <v>8349205.4233871475</v>
      </c>
      <c r="P105" s="18">
        <f>I105*'GS&lt;50 Predicted Monthly'!$V$13</f>
        <v>6763575.6591476407</v>
      </c>
      <c r="Q105" s="18">
        <f t="shared" si="13"/>
        <v>11584232.478153814</v>
      </c>
      <c r="R105" s="18">
        <f t="shared" si="14"/>
        <v>-154364.0953718219</v>
      </c>
      <c r="S105" s="279">
        <f t="shared" si="15"/>
        <v>1.3150132079669837E-2</v>
      </c>
    </row>
    <row r="106" spans="1:19" x14ac:dyDescent="0.25">
      <c r="A106" s="3">
        <f>'Monthly Data'!A106</f>
        <v>45170</v>
      </c>
      <c r="B106" s="1">
        <f t="shared" si="8"/>
        <v>2023</v>
      </c>
      <c r="C106" s="1">
        <f t="shared" si="9"/>
        <v>9</v>
      </c>
      <c r="D106" s="24">
        <f>'Monthly Data'!J106</f>
        <v>10870998.545935581</v>
      </c>
      <c r="E106" s="278">
        <f>'Monthly Data'!BD106</f>
        <v>15.216666666666669</v>
      </c>
      <c r="F106" s="278">
        <f>'Monthly Data'!BG106</f>
        <v>105.35</v>
      </c>
      <c r="G106" s="4">
        <f>'Monthly Data'!CG106</f>
        <v>0</v>
      </c>
      <c r="H106" s="4">
        <f>'Monthly Data'!CD106</f>
        <v>30</v>
      </c>
      <c r="I106" s="18">
        <f>'Monthly Data'!K106</f>
        <v>4430</v>
      </c>
      <c r="K106" s="18">
        <f>'GS&lt;50 Predicted Monthly'!$V$8</f>
        <v>-5629453.6994364997</v>
      </c>
      <c r="L106" s="18">
        <f>E106*'GS&lt;50 Predicted Monthly'!$V$9</f>
        <v>82183.18704829221</v>
      </c>
      <c r="M106" s="18">
        <f>F106*'GS&lt;50 Predicted Monthly'!$V$10</f>
        <v>1329350.8272686205</v>
      </c>
      <c r="N106" s="18">
        <f>G106*'GS&lt;50 Predicted Monthly'!$V$11</f>
        <v>0</v>
      </c>
      <c r="O106" s="18">
        <f>H106*'GS&lt;50 Predicted Monthly'!$V$12</f>
        <v>8079876.2161811106</v>
      </c>
      <c r="P106" s="18">
        <f>I106*'GS&lt;50 Predicted Monthly'!$V$13</f>
        <v>6762049.2371979346</v>
      </c>
      <c r="Q106" s="18">
        <f t="shared" si="13"/>
        <v>10624005.768259458</v>
      </c>
      <c r="R106" s="18">
        <f t="shared" si="14"/>
        <v>-246992.77767612226</v>
      </c>
      <c r="S106" s="279">
        <f t="shared" si="15"/>
        <v>2.2720339500778175E-2</v>
      </c>
    </row>
    <row r="107" spans="1:19" x14ac:dyDescent="0.25">
      <c r="A107" s="3">
        <f>'Monthly Data'!A107</f>
        <v>45200</v>
      </c>
      <c r="B107" s="1">
        <f t="shared" si="8"/>
        <v>2023</v>
      </c>
      <c r="C107" s="1">
        <f t="shared" si="9"/>
        <v>10</v>
      </c>
      <c r="D107" s="24">
        <f>'Monthly Data'!J107</f>
        <v>10590140.294759065</v>
      </c>
      <c r="E107" s="278">
        <f>'Monthly Data'!BD107</f>
        <v>157.42916666666665</v>
      </c>
      <c r="F107" s="278">
        <f>'Monthly Data'!BG107</f>
        <v>35.333333333333343</v>
      </c>
      <c r="G107" s="4">
        <f>'Monthly Data'!CG107</f>
        <v>0</v>
      </c>
      <c r="H107" s="4">
        <f>'Monthly Data'!CD107</f>
        <v>31</v>
      </c>
      <c r="I107" s="18">
        <f>'Monthly Data'!K107</f>
        <v>4441</v>
      </c>
      <c r="K107" s="18">
        <f>'GS&lt;50 Predicted Monthly'!$V$8</f>
        <v>-5629453.6994364997</v>
      </c>
      <c r="L107" s="18">
        <f>E107*'GS&lt;50 Predicted Monthly'!$V$9</f>
        <v>850253.93106397148</v>
      </c>
      <c r="M107" s="18">
        <f>F107*'GS&lt;50 Predicted Monthly'!$V$10</f>
        <v>445850.93399928435</v>
      </c>
      <c r="N107" s="18">
        <f>G107*'GS&lt;50 Predicted Monthly'!$V$11</f>
        <v>0</v>
      </c>
      <c r="O107" s="18">
        <f>H107*'GS&lt;50 Predicted Monthly'!$V$12</f>
        <v>8349205.4233871475</v>
      </c>
      <c r="P107" s="18">
        <f>I107*'GS&lt;50 Predicted Monthly'!$V$13</f>
        <v>6778839.878644702</v>
      </c>
      <c r="Q107" s="18">
        <f t="shared" si="13"/>
        <v>10794696.467658605</v>
      </c>
      <c r="R107" s="18">
        <f t="shared" si="14"/>
        <v>204556.17289954051</v>
      </c>
      <c r="S107" s="279">
        <f t="shared" si="15"/>
        <v>1.9315718886252428E-2</v>
      </c>
    </row>
    <row r="108" spans="1:19" x14ac:dyDescent="0.25">
      <c r="A108" s="3">
        <f>'Monthly Data'!A108</f>
        <v>45231</v>
      </c>
      <c r="B108" s="1">
        <f t="shared" si="8"/>
        <v>2023</v>
      </c>
      <c r="C108" s="1">
        <f t="shared" si="9"/>
        <v>11</v>
      </c>
      <c r="D108" s="24">
        <f>'Monthly Data'!J108</f>
        <v>11131893.18689983</v>
      </c>
      <c r="E108" s="278">
        <f>'Monthly Data'!BD108</f>
        <v>390.59311594202899</v>
      </c>
      <c r="F108" s="278">
        <f>'Monthly Data'!BG108</f>
        <v>0</v>
      </c>
      <c r="G108" s="4">
        <f>'Monthly Data'!CG108</f>
        <v>0</v>
      </c>
      <c r="H108" s="4">
        <f>'Monthly Data'!CD108</f>
        <v>30</v>
      </c>
      <c r="I108" s="18">
        <f>'Monthly Data'!K108</f>
        <v>4460</v>
      </c>
      <c r="K108" s="18">
        <f>'GS&lt;50 Predicted Monthly'!$V$8</f>
        <v>-5629453.6994364997</v>
      </c>
      <c r="L108" s="18">
        <f>E108*'GS&lt;50 Predicted Monthly'!$V$9</f>
        <v>2109541.3213957753</v>
      </c>
      <c r="M108" s="18">
        <f>F108*'GS&lt;50 Predicted Monthly'!$V$10</f>
        <v>0</v>
      </c>
      <c r="N108" s="18">
        <f>G108*'GS&lt;50 Predicted Monthly'!$V$11</f>
        <v>0</v>
      </c>
      <c r="O108" s="18">
        <f>H108*'GS&lt;50 Predicted Monthly'!$V$12</f>
        <v>8079876.2161811106</v>
      </c>
      <c r="P108" s="18">
        <f>I108*'GS&lt;50 Predicted Monthly'!$V$13</f>
        <v>6807841.8956891177</v>
      </c>
      <c r="Q108" s="18">
        <f t="shared" si="13"/>
        <v>11367805.733829504</v>
      </c>
      <c r="R108" s="18">
        <f t="shared" si="14"/>
        <v>235912.54692967422</v>
      </c>
      <c r="S108" s="279">
        <f t="shared" si="15"/>
        <v>2.1192491067673867E-2</v>
      </c>
    </row>
    <row r="109" spans="1:19" x14ac:dyDescent="0.25">
      <c r="A109" s="3">
        <f>'Monthly Data'!A109</f>
        <v>45261</v>
      </c>
      <c r="B109" s="1">
        <f t="shared" si="8"/>
        <v>2023</v>
      </c>
      <c r="C109" s="1">
        <f t="shared" si="9"/>
        <v>12</v>
      </c>
      <c r="D109" s="24">
        <f>'Monthly Data'!J109</f>
        <v>12209513.170633033</v>
      </c>
      <c r="E109" s="278">
        <f>'Monthly Data'!BD109</f>
        <v>427.67916666666667</v>
      </c>
      <c r="F109" s="278">
        <f>'Monthly Data'!BG109</f>
        <v>0</v>
      </c>
      <c r="G109" s="4">
        <f>'Monthly Data'!CG109</f>
        <v>0</v>
      </c>
      <c r="H109" s="4">
        <f>'Monthly Data'!CD109</f>
        <v>31</v>
      </c>
      <c r="I109" s="18">
        <f>'Monthly Data'!K109</f>
        <v>4474</v>
      </c>
      <c r="K109" s="18">
        <f>'GS&lt;50 Predicted Monthly'!$V$8</f>
        <v>-5629453.6994364997</v>
      </c>
      <c r="L109" s="18">
        <f>E109*'GS&lt;50 Predicted Monthly'!$V$9</f>
        <v>2309838.1347748786</v>
      </c>
      <c r="M109" s="18">
        <f>F109*'GS&lt;50 Predicted Monthly'!$V$10</f>
        <v>0</v>
      </c>
      <c r="N109" s="18">
        <f>G109*'GS&lt;50 Predicted Monthly'!$V$11</f>
        <v>0</v>
      </c>
      <c r="O109" s="18">
        <f>H109*'GS&lt;50 Predicted Monthly'!$V$12</f>
        <v>8349205.4233871475</v>
      </c>
      <c r="P109" s="18">
        <f>I109*'GS&lt;50 Predicted Monthly'!$V$13</f>
        <v>6829211.8029850023</v>
      </c>
      <c r="Q109" s="18">
        <f t="shared" si="13"/>
        <v>11858801.661710529</v>
      </c>
      <c r="R109" s="18">
        <f t="shared" si="14"/>
        <v>-350711.50892250426</v>
      </c>
      <c r="S109" s="279">
        <f t="shared" si="15"/>
        <v>2.8724446586949441E-2</v>
      </c>
    </row>
    <row r="110" spans="1:19" x14ac:dyDescent="0.25">
      <c r="A110" s="3">
        <f>'Monthly Data'!A110</f>
        <v>45292</v>
      </c>
      <c r="B110" s="1">
        <f t="shared" si="8"/>
        <v>2024</v>
      </c>
      <c r="C110" s="1">
        <f t="shared" si="9"/>
        <v>1</v>
      </c>
      <c r="D110" s="24">
        <f>'Monthly Data'!J110</f>
        <v>13021208.279869974</v>
      </c>
      <c r="E110" s="278">
        <f>'Monthly Data'!BD110</f>
        <v>574.99583333333339</v>
      </c>
      <c r="F110" s="278">
        <f>'Monthly Data'!BG110</f>
        <v>0</v>
      </c>
      <c r="G110" s="4">
        <f>'Monthly Data'!CG110</f>
        <v>0</v>
      </c>
      <c r="H110" s="4">
        <f>'Monthly Data'!CD110</f>
        <v>31</v>
      </c>
      <c r="I110" s="18">
        <f>'Monthly Data'!K110</f>
        <v>4429</v>
      </c>
      <c r="K110" s="18">
        <f>'GS&lt;50 Predicted Monthly'!$V$8</f>
        <v>-5629453.6994364997</v>
      </c>
      <c r="L110" s="18">
        <f>E110*'GS&lt;50 Predicted Monthly'!$V$9</f>
        <v>3105475.802156976</v>
      </c>
      <c r="M110" s="18">
        <f>F110*'GS&lt;50 Predicted Monthly'!$V$10</f>
        <v>0</v>
      </c>
      <c r="N110" s="18">
        <f>G110*'GS&lt;50 Predicted Monthly'!$V$11</f>
        <v>0</v>
      </c>
      <c r="O110" s="18">
        <f>H110*'GS&lt;50 Predicted Monthly'!$V$12</f>
        <v>8349205.4233871475</v>
      </c>
      <c r="P110" s="18">
        <f>I110*'GS&lt;50 Predicted Monthly'!$V$13</f>
        <v>6760522.8152482286</v>
      </c>
      <c r="Q110" s="18">
        <f t="shared" si="13"/>
        <v>12585750.341355853</v>
      </c>
      <c r="R110" s="18">
        <f t="shared" si="14"/>
        <v>-435457.93851412088</v>
      </c>
      <c r="S110" s="279">
        <f t="shared" si="15"/>
        <v>3.3442206679645342E-2</v>
      </c>
    </row>
    <row r="111" spans="1:19" x14ac:dyDescent="0.25">
      <c r="A111" s="3">
        <f>'Monthly Data'!A111</f>
        <v>45323</v>
      </c>
      <c r="B111" s="1">
        <f t="shared" si="8"/>
        <v>2024</v>
      </c>
      <c r="C111" s="1">
        <f t="shared" si="9"/>
        <v>2</v>
      </c>
      <c r="D111" s="24">
        <f>'Monthly Data'!J111</f>
        <v>11818521.553522315</v>
      </c>
      <c r="E111" s="278">
        <f>'Monthly Data'!BD111</f>
        <v>484.96666666666658</v>
      </c>
      <c r="F111" s="278">
        <f>'Monthly Data'!BG111</f>
        <v>0</v>
      </c>
      <c r="G111" s="4">
        <f>'Monthly Data'!CG111</f>
        <v>0</v>
      </c>
      <c r="H111" s="4">
        <f>'Monthly Data'!CD111</f>
        <v>29</v>
      </c>
      <c r="I111" s="18">
        <f>'Monthly Data'!K111</f>
        <v>4427</v>
      </c>
      <c r="K111" s="18">
        <f>'GS&lt;50 Predicted Monthly'!$V$8</f>
        <v>-5629453.6994364997</v>
      </c>
      <c r="L111" s="18">
        <f>E111*'GS&lt;50 Predicted Monthly'!$V$9</f>
        <v>2619240.281195187</v>
      </c>
      <c r="M111" s="18">
        <f>F111*'GS&lt;50 Predicted Monthly'!$V$10</f>
        <v>0</v>
      </c>
      <c r="N111" s="18">
        <f>G111*'GS&lt;50 Predicted Monthly'!$V$11</f>
        <v>0</v>
      </c>
      <c r="O111" s="18">
        <f>H111*'GS&lt;50 Predicted Monthly'!$V$12</f>
        <v>7810547.0089750737</v>
      </c>
      <c r="P111" s="18">
        <f>I111*'GS&lt;50 Predicted Monthly'!$V$13</f>
        <v>6757469.9713488165</v>
      </c>
      <c r="Q111" s="18">
        <f t="shared" si="13"/>
        <v>11557803.562082577</v>
      </c>
      <c r="R111" s="18">
        <f t="shared" si="14"/>
        <v>-260717.99143973738</v>
      </c>
      <c r="S111" s="279">
        <f t="shared" si="15"/>
        <v>2.2060118963190847E-2</v>
      </c>
    </row>
    <row r="112" spans="1:19" x14ac:dyDescent="0.25">
      <c r="A112" s="3">
        <f>'Monthly Data'!A112</f>
        <v>45352</v>
      </c>
      <c r="B112" s="1">
        <f t="shared" si="8"/>
        <v>2024</v>
      </c>
      <c r="C112" s="1">
        <f t="shared" si="9"/>
        <v>3</v>
      </c>
      <c r="D112" s="24">
        <f>'Monthly Data'!J112</f>
        <v>11858526.827174658</v>
      </c>
      <c r="E112" s="278">
        <f>'Monthly Data'!BD112</f>
        <v>398.11250000000001</v>
      </c>
      <c r="F112" s="278">
        <f>'Monthly Data'!BG112</f>
        <v>0</v>
      </c>
      <c r="G112" s="4">
        <f>'Monthly Data'!CG112</f>
        <v>0</v>
      </c>
      <c r="H112" s="4">
        <f>'Monthly Data'!CD112</f>
        <v>31</v>
      </c>
      <c r="I112" s="18">
        <f>'Monthly Data'!K112</f>
        <v>4431</v>
      </c>
      <c r="K112" s="18">
        <f>'GS&lt;50 Predicted Monthly'!$V$8</f>
        <v>-5629453.6994364997</v>
      </c>
      <c r="L112" s="18">
        <f>E112*'GS&lt;50 Predicted Monthly'!$V$9</f>
        <v>2150152.5117478571</v>
      </c>
      <c r="M112" s="18">
        <f>F112*'GS&lt;50 Predicted Monthly'!$V$10</f>
        <v>0</v>
      </c>
      <c r="N112" s="18">
        <f>G112*'GS&lt;50 Predicted Monthly'!$V$11</f>
        <v>0</v>
      </c>
      <c r="O112" s="18">
        <f>H112*'GS&lt;50 Predicted Monthly'!$V$12</f>
        <v>8349205.4233871475</v>
      </c>
      <c r="P112" s="18">
        <f>I112*'GS&lt;50 Predicted Monthly'!$V$13</f>
        <v>6763575.6591476407</v>
      </c>
      <c r="Q112" s="18">
        <f t="shared" si="13"/>
        <v>11633479.894846145</v>
      </c>
      <c r="R112" s="18">
        <f t="shared" si="14"/>
        <v>-225046.93232851289</v>
      </c>
      <c r="S112" s="279">
        <f t="shared" si="15"/>
        <v>1.8977646684814324E-2</v>
      </c>
    </row>
    <row r="113" spans="1:19" x14ac:dyDescent="0.25">
      <c r="A113" s="3">
        <f>'Monthly Data'!A113</f>
        <v>45383</v>
      </c>
      <c r="B113" s="1">
        <f t="shared" si="8"/>
        <v>2024</v>
      </c>
      <c r="C113" s="1">
        <f t="shared" si="9"/>
        <v>4</v>
      </c>
      <c r="D113" s="24">
        <f>'Monthly Data'!J113</f>
        <v>10824886.100827001</v>
      </c>
      <c r="E113" s="278">
        <f>'Monthly Data'!BD113</f>
        <v>248.29791666666665</v>
      </c>
      <c r="F113" s="278">
        <f>'Monthly Data'!BG113</f>
        <v>0</v>
      </c>
      <c r="G113" s="4">
        <f>'Monthly Data'!CG113</f>
        <v>0</v>
      </c>
      <c r="H113" s="4">
        <f>'Monthly Data'!CD113</f>
        <v>30</v>
      </c>
      <c r="I113" s="18">
        <f>'Monthly Data'!K113</f>
        <v>4433</v>
      </c>
      <c r="K113" s="18">
        <f>'GS&lt;50 Predicted Monthly'!$V$8</f>
        <v>-5629453.6994364997</v>
      </c>
      <c r="L113" s="18">
        <f>E113*'GS&lt;50 Predicted Monthly'!$V$9</f>
        <v>1341023.9296243987</v>
      </c>
      <c r="M113" s="18">
        <f>F113*'GS&lt;50 Predicted Monthly'!$V$10</f>
        <v>0</v>
      </c>
      <c r="N113" s="18">
        <f>G113*'GS&lt;50 Predicted Monthly'!$V$11</f>
        <v>0</v>
      </c>
      <c r="O113" s="18">
        <f>H113*'GS&lt;50 Predicted Monthly'!$V$12</f>
        <v>8079876.2161811106</v>
      </c>
      <c r="P113" s="18">
        <f>I113*'GS&lt;50 Predicted Monthly'!$V$13</f>
        <v>6766628.5030470528</v>
      </c>
      <c r="Q113" s="18">
        <f t="shared" si="13"/>
        <v>10558074.949416062</v>
      </c>
      <c r="R113" s="18">
        <f t="shared" si="14"/>
        <v>-266811.15141093917</v>
      </c>
      <c r="S113" s="279">
        <f t="shared" si="15"/>
        <v>2.4647940765913028E-2</v>
      </c>
    </row>
    <row r="114" spans="1:19" x14ac:dyDescent="0.25">
      <c r="A114" s="3">
        <f>'Monthly Data'!A114</f>
        <v>45413</v>
      </c>
      <c r="B114" s="1">
        <f t="shared" si="8"/>
        <v>2024</v>
      </c>
      <c r="C114" s="1">
        <f t="shared" si="9"/>
        <v>5</v>
      </c>
      <c r="D114" s="24">
        <f>'Monthly Data'!J114</f>
        <v>10836231.374479344</v>
      </c>
      <c r="E114" s="278">
        <f>'Monthly Data'!BD114</f>
        <v>44.158333333333317</v>
      </c>
      <c r="F114" s="278">
        <f>'Monthly Data'!BG114</f>
        <v>60.691666666666663</v>
      </c>
      <c r="G114" s="4">
        <f>'Monthly Data'!CG114</f>
        <v>0</v>
      </c>
      <c r="H114" s="4">
        <f>'Monthly Data'!CD114</f>
        <v>31</v>
      </c>
      <c r="I114" s="18">
        <f>'Monthly Data'!K114</f>
        <v>4438</v>
      </c>
      <c r="K114" s="18">
        <f>'GS&lt;50 Predicted Monthly'!$V$8</f>
        <v>-5629453.6994364997</v>
      </c>
      <c r="L114" s="18">
        <f>E114*'GS&lt;50 Predicted Monthly'!$V$9</f>
        <v>238493.26843860908</v>
      </c>
      <c r="M114" s="18">
        <f>F114*'GS&lt;50 Predicted Monthly'!$V$10</f>
        <v>765833.1019615063</v>
      </c>
      <c r="N114" s="18">
        <f>G114*'GS&lt;50 Predicted Monthly'!$V$11</f>
        <v>0</v>
      </c>
      <c r="O114" s="18">
        <f>H114*'GS&lt;50 Predicted Monthly'!$V$12</f>
        <v>8349205.4233871475</v>
      </c>
      <c r="P114" s="18">
        <f>I114*'GS&lt;50 Predicted Monthly'!$V$13</f>
        <v>6774260.6127955839</v>
      </c>
      <c r="Q114" s="18">
        <f t="shared" si="13"/>
        <v>10498338.707146347</v>
      </c>
      <c r="R114" s="18">
        <f t="shared" si="14"/>
        <v>-337892.66733299755</v>
      </c>
      <c r="S114" s="279">
        <f t="shared" si="15"/>
        <v>3.1181750892545195E-2</v>
      </c>
    </row>
    <row r="115" spans="1:19" x14ac:dyDescent="0.25">
      <c r="A115" s="3">
        <f>'Monthly Data'!A115</f>
        <v>45444</v>
      </c>
      <c r="B115" s="1">
        <f t="shared" si="8"/>
        <v>2024</v>
      </c>
      <c r="C115" s="1">
        <f t="shared" si="9"/>
        <v>6</v>
      </c>
      <c r="D115" s="24">
        <f>'Monthly Data'!J115</f>
        <v>11568243.648131687</v>
      </c>
      <c r="E115" s="278">
        <f>'Monthly Data'!BD115</f>
        <v>10.312499999999995</v>
      </c>
      <c r="F115" s="278">
        <f>'Monthly Data'!BG115</f>
        <v>146.61250000000007</v>
      </c>
      <c r="G115" s="4">
        <f>'Monthly Data'!CG115</f>
        <v>0</v>
      </c>
      <c r="H115" s="4">
        <f>'Monthly Data'!CD115</f>
        <v>30</v>
      </c>
      <c r="I115" s="18">
        <f>'Monthly Data'!K115</f>
        <v>4437</v>
      </c>
      <c r="K115" s="18">
        <f>'GS&lt;50 Predicted Monthly'!$V$8</f>
        <v>-5629453.6994364997</v>
      </c>
      <c r="L115" s="18">
        <f>E115*'GS&lt;50 Predicted Monthly'!$V$9</f>
        <v>55696.437005619686</v>
      </c>
      <c r="M115" s="18">
        <f>F115*'GS&lt;50 Predicted Monthly'!$V$10</f>
        <v>1850018.4922916063</v>
      </c>
      <c r="N115" s="18">
        <f>G115*'GS&lt;50 Predicted Monthly'!$V$11</f>
        <v>0</v>
      </c>
      <c r="O115" s="18">
        <f>H115*'GS&lt;50 Predicted Monthly'!$V$12</f>
        <v>8079876.2161811106</v>
      </c>
      <c r="P115" s="18">
        <f>I115*'GS&lt;50 Predicted Monthly'!$V$13</f>
        <v>6772734.1908458779</v>
      </c>
      <c r="Q115" s="18">
        <f t="shared" si="13"/>
        <v>11128871.636887714</v>
      </c>
      <c r="R115" s="18">
        <f t="shared" si="14"/>
        <v>-439372.01124397293</v>
      </c>
      <c r="S115" s="279">
        <f t="shared" si="15"/>
        <v>3.798087459153171E-2</v>
      </c>
    </row>
    <row r="116" spans="1:19" x14ac:dyDescent="0.25">
      <c r="A116" s="3">
        <f>'Monthly Data'!A116</f>
        <v>45474</v>
      </c>
      <c r="B116" s="1">
        <f t="shared" ref="B116:B121" si="16">YEAR(A116)</f>
        <v>2024</v>
      </c>
      <c r="C116" s="1">
        <f t="shared" ref="C116:C121" si="17">MONTH(A116)</f>
        <v>7</v>
      </c>
      <c r="D116" s="24">
        <f>'Monthly Data'!J116</f>
        <v>13208076.921784028</v>
      </c>
      <c r="E116" s="278">
        <f>'Monthly Data'!BD116</f>
        <v>0</v>
      </c>
      <c r="F116" s="278">
        <f>'Monthly Data'!BG116</f>
        <v>241.14166666666668</v>
      </c>
      <c r="G116" s="4">
        <f>'Monthly Data'!CG116</f>
        <v>0</v>
      </c>
      <c r="H116" s="4">
        <f>'Monthly Data'!CD116</f>
        <v>31</v>
      </c>
      <c r="I116" s="18">
        <f>'Monthly Data'!K116</f>
        <v>4438</v>
      </c>
      <c r="K116" s="18">
        <f>'GS&lt;50 Predicted Monthly'!$V$8</f>
        <v>-5629453.6994364997</v>
      </c>
      <c r="L116" s="18">
        <f>E116*'GS&lt;50 Predicted Monthly'!$V$9</f>
        <v>0</v>
      </c>
      <c r="M116" s="18">
        <f>F116*'GS&lt;50 Predicted Monthly'!$V$10</f>
        <v>3042827.4710229454</v>
      </c>
      <c r="N116" s="18">
        <f>G116*'GS&lt;50 Predicted Monthly'!$V$11</f>
        <v>0</v>
      </c>
      <c r="O116" s="18">
        <f>H116*'GS&lt;50 Predicted Monthly'!$V$12</f>
        <v>8349205.4233871475</v>
      </c>
      <c r="P116" s="18">
        <f>I116*'GS&lt;50 Predicted Monthly'!$V$13</f>
        <v>6774260.6127955839</v>
      </c>
      <c r="Q116" s="18">
        <f t="shared" si="13"/>
        <v>12536839.807769177</v>
      </c>
      <c r="R116" s="18">
        <f t="shared" si="14"/>
        <v>-671237.11401485093</v>
      </c>
      <c r="S116" s="279">
        <f t="shared" si="15"/>
        <v>5.0820200244880633E-2</v>
      </c>
    </row>
    <row r="117" spans="1:19" x14ac:dyDescent="0.25">
      <c r="A117" s="3">
        <f>'Monthly Data'!A117</f>
        <v>45505</v>
      </c>
      <c r="B117" s="1">
        <f t="shared" si="16"/>
        <v>2024</v>
      </c>
      <c r="C117" s="1">
        <f t="shared" si="17"/>
        <v>8</v>
      </c>
      <c r="D117" s="24">
        <f>'Monthly Data'!J117</f>
        <v>12544661.195436371</v>
      </c>
      <c r="E117" s="278">
        <f>'Monthly Data'!BD117</f>
        <v>1.7583333333333346</v>
      </c>
      <c r="F117" s="278">
        <f>'Monthly Data'!BG117</f>
        <v>200.86666666666665</v>
      </c>
      <c r="G117" s="4">
        <f>'Monthly Data'!CG117</f>
        <v>0</v>
      </c>
      <c r="H117" s="4">
        <f>'Monthly Data'!CD117</f>
        <v>31</v>
      </c>
      <c r="I117" s="18">
        <f>'Monthly Data'!K117</f>
        <v>4440</v>
      </c>
      <c r="K117" s="18">
        <f>'GS&lt;50 Predicted Monthly'!$V$8</f>
        <v>-5629453.6994364997</v>
      </c>
      <c r="L117" s="18">
        <f>E117*'GS&lt;50 Predicted Monthly'!$V$9</f>
        <v>9496.5238045945607</v>
      </c>
      <c r="M117" s="18">
        <f>F117*'GS&lt;50 Predicted Monthly'!$V$10</f>
        <v>2534620.4983770628</v>
      </c>
      <c r="N117" s="18">
        <f>G117*'GS&lt;50 Predicted Monthly'!$V$11</f>
        <v>0</v>
      </c>
      <c r="O117" s="18">
        <f>H117*'GS&lt;50 Predicted Monthly'!$V$12</f>
        <v>8349205.4233871475</v>
      </c>
      <c r="P117" s="18">
        <f>I117*'GS&lt;50 Predicted Monthly'!$V$13</f>
        <v>6777313.456694996</v>
      </c>
      <c r="Q117" s="18">
        <f t="shared" si="13"/>
        <v>12041182.202827301</v>
      </c>
      <c r="R117" s="18">
        <f t="shared" si="14"/>
        <v>-503478.99260907061</v>
      </c>
      <c r="S117" s="279">
        <f t="shared" si="15"/>
        <v>4.0134921522809362E-2</v>
      </c>
    </row>
    <row r="118" spans="1:19" x14ac:dyDescent="0.25">
      <c r="A118" s="3">
        <f>'Monthly Data'!A118</f>
        <v>45536</v>
      </c>
      <c r="B118" s="1">
        <f t="shared" si="16"/>
        <v>2024</v>
      </c>
      <c r="C118" s="1">
        <f t="shared" si="17"/>
        <v>9</v>
      </c>
      <c r="D118" s="24">
        <f>'Monthly Data'!J118</f>
        <v>11181801.469088715</v>
      </c>
      <c r="E118" s="278">
        <f>'Monthly Data'!BD118</f>
        <v>10.920833333333333</v>
      </c>
      <c r="F118" s="278">
        <f>'Monthly Data'!BG118</f>
        <v>113.86250000000001</v>
      </c>
      <c r="G118" s="4">
        <f>'Monthly Data'!CG118</f>
        <v>0</v>
      </c>
      <c r="H118" s="4">
        <f>'Monthly Data'!CD118</f>
        <v>30</v>
      </c>
      <c r="I118" s="18">
        <f>'Monthly Data'!K118</f>
        <v>4445</v>
      </c>
      <c r="K118" s="18">
        <f>'GS&lt;50 Predicted Monthly'!$V$8</f>
        <v>-5629453.6994364997</v>
      </c>
      <c r="L118" s="18">
        <f>E118*'GS&lt;50 Predicted Monthly'!$V$9</f>
        <v>58981.964198678485</v>
      </c>
      <c r="M118" s="18">
        <f>F118*'GS&lt;50 Predicted Monthly'!$V$10</f>
        <v>1436765.1501649106</v>
      </c>
      <c r="N118" s="18">
        <f>G118*'GS&lt;50 Predicted Monthly'!$V$11</f>
        <v>0</v>
      </c>
      <c r="O118" s="18">
        <f>H118*'GS&lt;50 Predicted Monthly'!$V$12</f>
        <v>8079876.2161811106</v>
      </c>
      <c r="P118" s="18">
        <f>I118*'GS&lt;50 Predicted Monthly'!$V$13</f>
        <v>6784945.5664435262</v>
      </c>
      <c r="Q118" s="18">
        <f t="shared" si="13"/>
        <v>10731115.197551727</v>
      </c>
      <c r="R118" s="18">
        <f t="shared" si="14"/>
        <v>-450686.27153698727</v>
      </c>
      <c r="S118" s="279">
        <f t="shared" si="15"/>
        <v>4.0305336558056147E-2</v>
      </c>
    </row>
    <row r="119" spans="1:19" x14ac:dyDescent="0.25">
      <c r="A119" s="3">
        <f>'Monthly Data'!A119</f>
        <v>45566</v>
      </c>
      <c r="B119" s="1">
        <f t="shared" si="16"/>
        <v>2024</v>
      </c>
      <c r="C119" s="1">
        <f t="shared" si="17"/>
        <v>10</v>
      </c>
      <c r="D119" s="24">
        <f>'Monthly Data'!J119</f>
        <v>10551404.742741058</v>
      </c>
      <c r="E119" s="278">
        <f>'Monthly Data'!BD119</f>
        <v>174.98749999999998</v>
      </c>
      <c r="F119" s="278">
        <f>'Monthly Data'!BG119</f>
        <v>12.120833333333337</v>
      </c>
      <c r="G119" s="4">
        <f>'Monthly Data'!CG119</f>
        <v>0</v>
      </c>
      <c r="H119" s="4">
        <f>'Monthly Data'!CD119</f>
        <v>31</v>
      </c>
      <c r="I119" s="18">
        <f>'Monthly Data'!K119</f>
        <v>4447</v>
      </c>
      <c r="K119" s="18">
        <f>'GS&lt;50 Predicted Monthly'!$V$8</f>
        <v>-5629453.6994364997</v>
      </c>
      <c r="L119" s="18">
        <f>E119*'GS&lt;50 Predicted Monthly'!$V$9</f>
        <v>945084.14744444878</v>
      </c>
      <c r="M119" s="18">
        <f>F119*'GS&lt;50 Predicted Monthly'!$V$10</f>
        <v>152945.79799574506</v>
      </c>
      <c r="N119" s="18">
        <f>G119*'GS&lt;50 Predicted Monthly'!$V$11</f>
        <v>0</v>
      </c>
      <c r="O119" s="18">
        <f>H119*'GS&lt;50 Predicted Monthly'!$V$12</f>
        <v>8349205.4233871475</v>
      </c>
      <c r="P119" s="18">
        <f>I119*'GS&lt;50 Predicted Monthly'!$V$13</f>
        <v>6787998.4103429383</v>
      </c>
      <c r="Q119" s="18">
        <f t="shared" si="13"/>
        <v>10605780.07973378</v>
      </c>
      <c r="R119" s="18">
        <f t="shared" si="14"/>
        <v>54375.336992722005</v>
      </c>
      <c r="S119" s="279">
        <f t="shared" si="15"/>
        <v>5.153374201679644E-3</v>
      </c>
    </row>
    <row r="120" spans="1:19" x14ac:dyDescent="0.25">
      <c r="A120" s="3">
        <f>'Monthly Data'!A120</f>
        <v>45597</v>
      </c>
      <c r="B120" s="1">
        <f t="shared" si="16"/>
        <v>2024</v>
      </c>
      <c r="C120" s="1">
        <f t="shared" si="17"/>
        <v>11</v>
      </c>
      <c r="D120" s="24">
        <f>'Monthly Data'!J120</f>
        <v>11150445.016393399</v>
      </c>
      <c r="E120" s="278">
        <f>'Monthly Data'!BD120</f>
        <v>307.79583333333329</v>
      </c>
      <c r="F120" s="278">
        <f>'Monthly Data'!BG120</f>
        <v>5.5041666666666629</v>
      </c>
      <c r="G120" s="4">
        <f>'Monthly Data'!CG120</f>
        <v>0</v>
      </c>
      <c r="H120" s="4">
        <f>'Monthly Data'!CD120</f>
        <v>30</v>
      </c>
      <c r="I120" s="18">
        <f>'Monthly Data'!K120</f>
        <v>4465</v>
      </c>
      <c r="K120" s="18">
        <f>'GS&lt;50 Predicted Monthly'!$V$8</f>
        <v>-5629453.6994364997</v>
      </c>
      <c r="L120" s="18">
        <f>E120*'GS&lt;50 Predicted Monthly'!$V$9</f>
        <v>1662364.2416331852</v>
      </c>
      <c r="M120" s="18">
        <f>F120*'GS&lt;50 Predicted Monthly'!$V$10</f>
        <v>69453.901393048829</v>
      </c>
      <c r="N120" s="18">
        <f>G120*'GS&lt;50 Predicted Monthly'!$V$11</f>
        <v>0</v>
      </c>
      <c r="O120" s="18">
        <f>H120*'GS&lt;50 Predicted Monthly'!$V$12</f>
        <v>8079876.2161811106</v>
      </c>
      <c r="P120" s="18">
        <f>I120*'GS&lt;50 Predicted Monthly'!$V$13</f>
        <v>6815474.0054376479</v>
      </c>
      <c r="Q120" s="18">
        <f t="shared" si="13"/>
        <v>10997714.665208492</v>
      </c>
      <c r="R120" s="18">
        <f t="shared" si="14"/>
        <v>-152730.35118490644</v>
      </c>
      <c r="S120" s="279">
        <f t="shared" si="15"/>
        <v>1.3697242662545045E-2</v>
      </c>
    </row>
    <row r="121" spans="1:19" x14ac:dyDescent="0.25">
      <c r="A121" s="3">
        <f>'Monthly Data'!A121</f>
        <v>45627</v>
      </c>
      <c r="B121" s="1">
        <f t="shared" si="16"/>
        <v>2024</v>
      </c>
      <c r="C121" s="1">
        <f t="shared" si="17"/>
        <v>12</v>
      </c>
      <c r="D121" s="24">
        <f>'Monthly Data'!J121</f>
        <v>13006669.290045742</v>
      </c>
      <c r="E121" s="278">
        <f>'Monthly Data'!BD121</f>
        <v>536.57500000000005</v>
      </c>
      <c r="F121" s="278">
        <f>'Monthly Data'!BG121</f>
        <v>0</v>
      </c>
      <c r="G121" s="4">
        <f>'Monthly Data'!CG121</f>
        <v>0</v>
      </c>
      <c r="H121" s="4">
        <f>'Monthly Data'!CD121</f>
        <v>31</v>
      </c>
      <c r="I121" s="18">
        <f>'Monthly Data'!K121</f>
        <v>4297</v>
      </c>
      <c r="K121" s="18">
        <f>'GS&lt;50 Predicted Monthly'!$V$8</f>
        <v>-5629453.6994364997</v>
      </c>
      <c r="L121" s="18">
        <f>E121*'GS&lt;50 Predicted Monthly'!$V$9</f>
        <v>2897970.0059433114</v>
      </c>
      <c r="M121" s="18">
        <f>F121*'GS&lt;50 Predicted Monthly'!$V$10</f>
        <v>0</v>
      </c>
      <c r="N121" s="18">
        <f>G121*'GS&lt;50 Predicted Monthly'!$V$11</f>
        <v>0</v>
      </c>
      <c r="O121" s="18">
        <f>H121*'GS&lt;50 Predicted Monthly'!$V$12</f>
        <v>8349205.4233871475</v>
      </c>
      <c r="P121" s="18">
        <f>I121*'GS&lt;50 Predicted Monthly'!$V$13</f>
        <v>6559035.1178870266</v>
      </c>
      <c r="Q121" s="18">
        <f t="shared" si="13"/>
        <v>12176756.847780986</v>
      </c>
      <c r="R121" s="18">
        <f t="shared" si="14"/>
        <v>-829912.44226475619</v>
      </c>
      <c r="S121" s="279">
        <f t="shared" si="15"/>
        <v>6.3806684383057574E-2</v>
      </c>
    </row>
    <row r="122" spans="1:19" x14ac:dyDescent="0.25">
      <c r="A122" s="3"/>
      <c r="S122" s="404">
        <f>AVERAGE(S2:S121)</f>
        <v>3.3588909099901955E-2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dimension ref="A1:Z141"/>
  <sheetViews>
    <sheetView workbookViewId="0">
      <selection activeCell="G45" sqref="G45"/>
    </sheetView>
  </sheetViews>
  <sheetFormatPr defaultColWidth="9.33203125" defaultRowHeight="13.2" x14ac:dyDescent="0.25"/>
  <cols>
    <col min="1" max="1" width="10.44140625" style="1" bestFit="1" customWidth="1"/>
    <col min="2" max="3" width="9.33203125" style="1"/>
    <col min="4" max="4" width="20.109375" style="1" bestFit="1" customWidth="1"/>
    <col min="5" max="7" width="9.33203125" style="1"/>
    <col min="8" max="8" width="11.109375" style="1" bestFit="1" customWidth="1"/>
    <col min="9" max="9" width="9.44140625" style="1" bestFit="1" customWidth="1"/>
    <col min="10" max="10" width="9.33203125" style="1"/>
    <col min="11" max="11" width="14.6640625" style="1" bestFit="1" customWidth="1"/>
    <col min="12" max="12" width="12.77734375" style="1" bestFit="1" customWidth="1"/>
    <col min="13" max="13" width="13.77734375" style="1" bestFit="1" customWidth="1"/>
    <col min="14" max="16" width="13.77734375" style="1" customWidth="1"/>
    <col min="17" max="17" width="18.109375" style="1" customWidth="1"/>
    <col min="18" max="18" width="13.77734375" style="1" customWidth="1"/>
    <col min="19" max="20" width="9.33203125" style="1"/>
    <col min="21" max="21" width="13.77734375" style="1" bestFit="1" customWidth="1"/>
    <col min="22" max="22" width="13.44140625" style="1" customWidth="1"/>
    <col min="23" max="23" width="13.77734375" style="1" bestFit="1" customWidth="1"/>
    <col min="24" max="24" width="12.77734375" style="1" bestFit="1" customWidth="1"/>
    <col min="25" max="25" width="12.6640625" style="1" bestFit="1" customWidth="1"/>
    <col min="26" max="26" width="18" style="1" bestFit="1" customWidth="1"/>
    <col min="27" max="27" width="12.77734375" style="1" bestFit="1" customWidth="1"/>
    <col min="28" max="16384" width="9.33203125" style="1"/>
  </cols>
  <sheetData>
    <row r="1" spans="1:25"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K1" s="274" t="s">
        <v>152</v>
      </c>
      <c r="L1" s="276" t="str">
        <f>E1</f>
        <v>HDD18</v>
      </c>
      <c r="M1" s="276" t="str">
        <f>F1</f>
        <v>CDD12</v>
      </c>
      <c r="N1" s="276" t="str">
        <f>G1</f>
        <v>COVID_AM</v>
      </c>
      <c r="O1" s="276" t="str">
        <f>H1</f>
        <v>OEA_GDP</v>
      </c>
      <c r="P1" s="276" t="str">
        <f>I1</f>
        <v>Month Days</v>
      </c>
      <c r="Q1" s="274" t="s">
        <v>196</v>
      </c>
      <c r="R1" s="274" t="s">
        <v>197</v>
      </c>
    </row>
    <row r="2" spans="1:25" x14ac:dyDescent="0.25">
      <c r="A2" s="3">
        <f>'Monthly Data'!A2</f>
        <v>42005</v>
      </c>
      <c r="B2" s="1">
        <f t="shared" ref="B2:B62" si="0">YEAR(A2)</f>
        <v>2015</v>
      </c>
      <c r="C2" s="1">
        <f t="shared" ref="C2:C62" si="1">MONTH(A2)</f>
        <v>1</v>
      </c>
      <c r="D2" s="24">
        <f>'Monthly Data'!N2</f>
        <v>32704294.381073207</v>
      </c>
      <c r="E2" s="278">
        <f>'Monthly Data'!BB2</f>
        <v>797.89184782608675</v>
      </c>
      <c r="F2" s="278">
        <f>'Monthly Data'!BI2</f>
        <v>0</v>
      </c>
      <c r="G2" s="278">
        <f>'Monthly Data'!CG2</f>
        <v>0</v>
      </c>
      <c r="H2" s="18">
        <f>'Monthly Data'!AL2</f>
        <v>718587</v>
      </c>
      <c r="I2" s="18">
        <f>'Monthly Data'!CD2</f>
        <v>31</v>
      </c>
      <c r="K2" s="18">
        <f>'GS 50-999 Predicted Monthly'!$V$10</f>
        <v>-9326437.7987639103</v>
      </c>
      <c r="L2" s="18">
        <f>E2*'GS 50-999 Predicted Monthly'!$V$11</f>
        <v>14724987.74125349</v>
      </c>
      <c r="M2" s="18">
        <f>F2*'GS 50-999 Predicted Monthly'!$V$12</f>
        <v>0</v>
      </c>
      <c r="N2" s="18">
        <f>G2*'GS 50-999 Predicted Monthly'!$V$13</f>
        <v>0</v>
      </c>
      <c r="O2" s="18">
        <f>H2*'GS 50-999 Predicted Monthly'!$V$14</f>
        <v>5156841.0564909428</v>
      </c>
      <c r="P2" s="18">
        <f>I2*'GS 50-999 Predicted Monthly'!$V$15</f>
        <v>23929784.569177721</v>
      </c>
      <c r="Q2" s="18">
        <f>SUM(K2:P2)</f>
        <v>34485175.568158239</v>
      </c>
      <c r="R2" s="18">
        <f t="shared" ref="R2:R33" si="2">Q2-D2</f>
        <v>1780881.1870850325</v>
      </c>
      <c r="S2" s="279">
        <f t="shared" ref="S2:S33" si="3">ABS(R2/D2)</f>
        <v>5.4454047114854527E-2</v>
      </c>
    </row>
    <row r="3" spans="1:25" x14ac:dyDescent="0.25">
      <c r="A3" s="3">
        <f>'Monthly Data'!A3</f>
        <v>42036</v>
      </c>
      <c r="B3" s="1">
        <f t="shared" si="0"/>
        <v>2015</v>
      </c>
      <c r="C3" s="1">
        <f t="shared" si="1"/>
        <v>2</v>
      </c>
      <c r="D3" s="24">
        <f>'Monthly Data'!N3</f>
        <v>34105863.490816332</v>
      </c>
      <c r="E3" s="278">
        <f>'Monthly Data'!BB3</f>
        <v>865.85434782608706</v>
      </c>
      <c r="F3" s="278">
        <f>'Monthly Data'!BI3</f>
        <v>0</v>
      </c>
      <c r="G3" s="278">
        <f>'Monthly Data'!CG3</f>
        <v>0</v>
      </c>
      <c r="H3" s="18">
        <f>'Monthly Data'!AL3</f>
        <v>718587</v>
      </c>
      <c r="I3" s="18">
        <f>'Monthly Data'!CD3</f>
        <v>28</v>
      </c>
      <c r="K3" s="18">
        <f>'GS 50-999 Predicted Monthly'!$V$10</f>
        <v>-9326437.7987639103</v>
      </c>
      <c r="L3" s="18">
        <f>E3*'GS 50-999 Predicted Monthly'!$V$11</f>
        <v>15979226.62349242</v>
      </c>
      <c r="M3" s="18">
        <f>F3*'GS 50-999 Predicted Monthly'!$V$12</f>
        <v>0</v>
      </c>
      <c r="N3" s="18">
        <f>G3*'GS 50-999 Predicted Monthly'!$V$13</f>
        <v>0</v>
      </c>
      <c r="O3" s="18">
        <f>H3*'GS 50-999 Predicted Monthly'!$V$14</f>
        <v>5156841.0564909428</v>
      </c>
      <c r="P3" s="18">
        <f>I3*'GS 50-999 Predicted Monthly'!$V$15</f>
        <v>21613998.965708911</v>
      </c>
      <c r="Q3" s="18">
        <f t="shared" ref="Q3:Q66" si="4">SUM(K3:P3)</f>
        <v>33423628.846928366</v>
      </c>
      <c r="R3" s="18">
        <f t="shared" si="2"/>
        <v>-682234.64388796687</v>
      </c>
      <c r="S3" s="279">
        <f t="shared" si="3"/>
        <v>2.0003441463127648E-2</v>
      </c>
    </row>
    <row r="4" spans="1:25" x14ac:dyDescent="0.25">
      <c r="A4" s="3">
        <f>'Monthly Data'!A4</f>
        <v>42064</v>
      </c>
      <c r="B4" s="1">
        <f t="shared" si="0"/>
        <v>2015</v>
      </c>
      <c r="C4" s="1">
        <f t="shared" si="1"/>
        <v>3</v>
      </c>
      <c r="D4" s="24">
        <f>'Monthly Data'!N4</f>
        <v>29483042.357302777</v>
      </c>
      <c r="E4" s="278">
        <f>'Monthly Data'!BB4</f>
        <v>637.79999999999995</v>
      </c>
      <c r="F4" s="278">
        <f>'Monthly Data'!BI4</f>
        <v>0</v>
      </c>
      <c r="G4" s="278">
        <f>'Monthly Data'!CG4</f>
        <v>0</v>
      </c>
      <c r="H4" s="18">
        <f>'Monthly Data'!AL4</f>
        <v>718587</v>
      </c>
      <c r="I4" s="18">
        <f>'Monthly Data'!CD4</f>
        <v>31</v>
      </c>
      <c r="K4" s="18">
        <f>'GS 50-999 Predicted Monthly'!$V$10</f>
        <v>-9326437.7987639103</v>
      </c>
      <c r="L4" s="18">
        <f>E4*'GS 50-999 Predicted Monthly'!$V$11</f>
        <v>11770514.020113818</v>
      </c>
      <c r="M4" s="18">
        <f>F4*'GS 50-999 Predicted Monthly'!$V$12</f>
        <v>0</v>
      </c>
      <c r="N4" s="18">
        <f>G4*'GS 50-999 Predicted Monthly'!$V$13</f>
        <v>0</v>
      </c>
      <c r="O4" s="18">
        <f>H4*'GS 50-999 Predicted Monthly'!$V$14</f>
        <v>5156841.0564909428</v>
      </c>
      <c r="P4" s="18">
        <f>I4*'GS 50-999 Predicted Monthly'!$V$15</f>
        <v>23929784.569177721</v>
      </c>
      <c r="Q4" s="18">
        <f t="shared" si="4"/>
        <v>31530701.84701857</v>
      </c>
      <c r="R4" s="18">
        <f t="shared" si="2"/>
        <v>2047659.4897157922</v>
      </c>
      <c r="S4" s="279">
        <f t="shared" si="3"/>
        <v>6.9452109619501295E-2</v>
      </c>
    </row>
    <row r="5" spans="1:25" x14ac:dyDescent="0.25">
      <c r="A5" s="3">
        <f>'Monthly Data'!A5</f>
        <v>42095</v>
      </c>
      <c r="B5" s="1">
        <f t="shared" si="0"/>
        <v>2015</v>
      </c>
      <c r="C5" s="1">
        <f t="shared" si="1"/>
        <v>4</v>
      </c>
      <c r="D5" s="24">
        <f>'Monthly Data'!N5</f>
        <v>24984134.040233206</v>
      </c>
      <c r="E5" s="278">
        <f>'Monthly Data'!BB5</f>
        <v>346.75037878787867</v>
      </c>
      <c r="F5" s="278">
        <f>'Monthly Data'!BI5</f>
        <v>1.5333333333333332</v>
      </c>
      <c r="G5" s="278">
        <f>'Monthly Data'!CG5</f>
        <v>0</v>
      </c>
      <c r="H5" s="18">
        <f>'Monthly Data'!AL5</f>
        <v>723726</v>
      </c>
      <c r="I5" s="18">
        <f>'Monthly Data'!CD5</f>
        <v>30</v>
      </c>
      <c r="K5" s="18">
        <f>'GS 50-999 Predicted Monthly'!$V$10</f>
        <v>-9326437.7987639103</v>
      </c>
      <c r="L5" s="18">
        <f>E5*'GS 50-999 Predicted Monthly'!$V$11</f>
        <v>6399232.039828321</v>
      </c>
      <c r="M5" s="18">
        <f>F5*'GS 50-999 Predicted Monthly'!$V$12</f>
        <v>44201.312118154296</v>
      </c>
      <c r="N5" s="18">
        <f>G5*'GS 50-999 Predicted Monthly'!$V$13</f>
        <v>0</v>
      </c>
      <c r="O5" s="18">
        <f>H5*'GS 50-999 Predicted Monthly'!$V$14</f>
        <v>5193720.3852142664</v>
      </c>
      <c r="P5" s="18">
        <f>I5*'GS 50-999 Predicted Monthly'!$V$15</f>
        <v>23157856.034688119</v>
      </c>
      <c r="Q5" s="18">
        <f t="shared" si="4"/>
        <v>25468571.973084949</v>
      </c>
      <c r="R5" s="18">
        <f t="shared" si="2"/>
        <v>484437.93285174295</v>
      </c>
      <c r="S5" s="279">
        <f t="shared" si="3"/>
        <v>1.9389822840032326E-2</v>
      </c>
      <c r="U5" s="1" t="s">
        <v>205</v>
      </c>
    </row>
    <row r="6" spans="1:25" x14ac:dyDescent="0.25">
      <c r="A6" s="3">
        <f>'Monthly Data'!A6</f>
        <v>42125</v>
      </c>
      <c r="B6" s="1">
        <f t="shared" si="0"/>
        <v>2015</v>
      </c>
      <c r="C6" s="1">
        <f t="shared" si="1"/>
        <v>5</v>
      </c>
      <c r="D6" s="24">
        <f>'Monthly Data'!N6</f>
        <v>25167162.68985121</v>
      </c>
      <c r="E6" s="278">
        <f>'Monthly Data'!BB6</f>
        <v>108.22189440993786</v>
      </c>
      <c r="F6" s="278">
        <f>'Monthly Data'!BI6</f>
        <v>105.49404761904762</v>
      </c>
      <c r="G6" s="278">
        <f>'Monthly Data'!CG6</f>
        <v>0</v>
      </c>
      <c r="H6" s="18">
        <f>'Monthly Data'!AL6</f>
        <v>723726</v>
      </c>
      <c r="I6" s="18">
        <f>'Monthly Data'!CD6</f>
        <v>31</v>
      </c>
      <c r="K6" s="18">
        <f>'GS 50-999 Predicted Monthly'!$V$10</f>
        <v>-9326437.7987639103</v>
      </c>
      <c r="L6" s="18">
        <f>E6*'GS 50-999 Predicted Monthly'!$V$11</f>
        <v>1997220.6419495938</v>
      </c>
      <c r="M6" s="18">
        <f>F6*'GS 50-999 Predicted Monthly'!$V$12</f>
        <v>3041070.8644023626</v>
      </c>
      <c r="N6" s="18">
        <f>G6*'GS 50-999 Predicted Monthly'!$V$13</f>
        <v>0</v>
      </c>
      <c r="O6" s="18">
        <f>H6*'GS 50-999 Predicted Monthly'!$V$14</f>
        <v>5193720.3852142664</v>
      </c>
      <c r="P6" s="18">
        <f>I6*'GS 50-999 Predicted Monthly'!$V$15</f>
        <v>23929784.569177721</v>
      </c>
      <c r="Q6" s="18">
        <f t="shared" si="4"/>
        <v>24835358.661980033</v>
      </c>
      <c r="R6" s="18">
        <f t="shared" si="2"/>
        <v>-331804.0278711766</v>
      </c>
      <c r="S6" s="279">
        <f t="shared" si="3"/>
        <v>1.3184006157554594E-2</v>
      </c>
      <c r="U6" s="1" t="s">
        <v>179</v>
      </c>
    </row>
    <row r="7" spans="1:25" x14ac:dyDescent="0.25">
      <c r="A7" s="3">
        <f>'Monthly Data'!A7</f>
        <v>42156</v>
      </c>
      <c r="B7" s="1">
        <f t="shared" si="0"/>
        <v>2015</v>
      </c>
      <c r="C7" s="1">
        <f t="shared" si="1"/>
        <v>6</v>
      </c>
      <c r="D7" s="24">
        <f>'Monthly Data'!N7</f>
        <v>24309134.101347797</v>
      </c>
      <c r="E7" s="278">
        <f>'Monthly Data'!BB7</f>
        <v>44.925000000000004</v>
      </c>
      <c r="F7" s="278">
        <f>'Monthly Data'!BI7</f>
        <v>150.2583333333333</v>
      </c>
      <c r="G7" s="278">
        <f>'Monthly Data'!CG7</f>
        <v>0</v>
      </c>
      <c r="H7" s="18">
        <f>'Monthly Data'!AL7</f>
        <v>723726</v>
      </c>
      <c r="I7" s="18">
        <f>'Monthly Data'!CD7</f>
        <v>30</v>
      </c>
      <c r="K7" s="18">
        <f>'GS 50-999 Predicted Monthly'!$V$10</f>
        <v>-9326437.7987639103</v>
      </c>
      <c r="L7" s="18">
        <f>E7*'GS 50-999 Predicted Monthly'!$V$11</f>
        <v>829084.88923426368</v>
      </c>
      <c r="M7" s="18">
        <f>F7*'GS 50-999 Predicted Monthly'!$V$12</f>
        <v>4331488.3630567389</v>
      </c>
      <c r="N7" s="18">
        <f>G7*'GS 50-999 Predicted Monthly'!$V$13</f>
        <v>0</v>
      </c>
      <c r="O7" s="18">
        <f>H7*'GS 50-999 Predicted Monthly'!$V$14</f>
        <v>5193720.3852142664</v>
      </c>
      <c r="P7" s="18">
        <f>I7*'GS 50-999 Predicted Monthly'!$V$15</f>
        <v>23157856.034688119</v>
      </c>
      <c r="Q7" s="18">
        <f t="shared" si="4"/>
        <v>24185711.873429477</v>
      </c>
      <c r="R7" s="18">
        <f t="shared" si="2"/>
        <v>-123422.2279183194</v>
      </c>
      <c r="S7" s="279">
        <f t="shared" si="3"/>
        <v>5.0771955678781816E-3</v>
      </c>
      <c r="U7" s="1" t="s">
        <v>206</v>
      </c>
    </row>
    <row r="8" spans="1:25" x14ac:dyDescent="0.25">
      <c r="A8" s="3">
        <f>'Monthly Data'!A8</f>
        <v>42186</v>
      </c>
      <c r="B8" s="1">
        <f t="shared" si="0"/>
        <v>2015</v>
      </c>
      <c r="C8" s="1">
        <f t="shared" si="1"/>
        <v>7</v>
      </c>
      <c r="D8" s="24">
        <f>'Monthly Data'!N8</f>
        <v>27428159.367891241</v>
      </c>
      <c r="E8" s="278">
        <f>'Monthly Data'!BB8</f>
        <v>6.0874999999999986</v>
      </c>
      <c r="F8" s="278">
        <f>'Monthly Data'!BI8</f>
        <v>267.53749999999997</v>
      </c>
      <c r="G8" s="278">
        <f>'Monthly Data'!CG8</f>
        <v>0</v>
      </c>
      <c r="H8" s="18">
        <f>'Monthly Data'!AL8</f>
        <v>730341</v>
      </c>
      <c r="I8" s="18">
        <f>'Monthly Data'!CD8</f>
        <v>31</v>
      </c>
      <c r="K8" s="18">
        <f>'GS 50-999 Predicted Monthly'!$V$10</f>
        <v>-9326437.7987639103</v>
      </c>
      <c r="L8" s="18">
        <f>E8*'GS 50-999 Predicted Monthly'!$V$11</f>
        <v>112344.00140709135</v>
      </c>
      <c r="M8" s="18">
        <f>F8*'GS 50-999 Predicted Monthly'!$V$12</f>
        <v>7712288.1787895896</v>
      </c>
      <c r="N8" s="18">
        <f>G8*'GS 50-999 Predicted Monthly'!$V$13</f>
        <v>0</v>
      </c>
      <c r="O8" s="18">
        <f>H8*'GS 50-999 Predicted Monthly'!$V$14</f>
        <v>5241192.0255148662</v>
      </c>
      <c r="P8" s="18">
        <f>I8*'GS 50-999 Predicted Monthly'!$V$15</f>
        <v>23929784.569177721</v>
      </c>
      <c r="Q8" s="18">
        <f t="shared" si="4"/>
        <v>27669170.976125356</v>
      </c>
      <c r="R8" s="18">
        <f t="shared" si="2"/>
        <v>241011.60823411494</v>
      </c>
      <c r="S8" s="279">
        <f t="shared" si="3"/>
        <v>8.7870135579077562E-3</v>
      </c>
    </row>
    <row r="9" spans="1:25" x14ac:dyDescent="0.25">
      <c r="A9" s="3">
        <f>'Monthly Data'!A9</f>
        <v>42217</v>
      </c>
      <c r="B9" s="1">
        <f t="shared" si="0"/>
        <v>2015</v>
      </c>
      <c r="C9" s="1">
        <f t="shared" si="1"/>
        <v>8</v>
      </c>
      <c r="D9" s="24">
        <f>'Monthly Data'!N9</f>
        <v>26677898.168446716</v>
      </c>
      <c r="E9" s="278">
        <f>'Monthly Data'!BB9</f>
        <v>9.4166666666666572</v>
      </c>
      <c r="F9" s="278">
        <f>'Monthly Data'!BI9</f>
        <v>229.94166666666666</v>
      </c>
      <c r="G9" s="278">
        <f>'Monthly Data'!CG9</f>
        <v>0</v>
      </c>
      <c r="H9" s="18">
        <f>'Monthly Data'!AL9</f>
        <v>730341</v>
      </c>
      <c r="I9" s="18">
        <f>'Monthly Data'!CD9</f>
        <v>31</v>
      </c>
      <c r="K9" s="18">
        <f>'GS 50-999 Predicted Monthly'!$V$10</f>
        <v>-9326437.7987639103</v>
      </c>
      <c r="L9" s="18">
        <f>E9*'GS 50-999 Predicted Monthly'!$V$11</f>
        <v>173783.3286653157</v>
      </c>
      <c r="M9" s="18">
        <f>F9*'GS 50-999 Predicted Monthly'!$V$12</f>
        <v>6628515.2460664753</v>
      </c>
      <c r="N9" s="18">
        <f>G9*'GS 50-999 Predicted Monthly'!$V$13</f>
        <v>0</v>
      </c>
      <c r="O9" s="18">
        <f>H9*'GS 50-999 Predicted Monthly'!$V$14</f>
        <v>5241192.0255148662</v>
      </c>
      <c r="P9" s="18">
        <f>I9*'GS 50-999 Predicted Monthly'!$V$15</f>
        <v>23929784.569177721</v>
      </c>
      <c r="Q9" s="18">
        <f t="shared" si="4"/>
        <v>26646837.370660469</v>
      </c>
      <c r="R9" s="18">
        <f t="shared" si="2"/>
        <v>-31060.797786246985</v>
      </c>
      <c r="S9" s="279">
        <f t="shared" si="3"/>
        <v>1.1642895399827317E-3</v>
      </c>
      <c r="V9" s="1" t="s">
        <v>148</v>
      </c>
      <c r="W9" s="1" t="s">
        <v>149</v>
      </c>
      <c r="X9" s="1" t="s">
        <v>150</v>
      </c>
      <c r="Y9" s="1" t="s">
        <v>151</v>
      </c>
    </row>
    <row r="10" spans="1:25" x14ac:dyDescent="0.25">
      <c r="A10" s="3">
        <f>'Monthly Data'!A10</f>
        <v>42248</v>
      </c>
      <c r="B10" s="1">
        <f t="shared" si="0"/>
        <v>2015</v>
      </c>
      <c r="C10" s="1">
        <f t="shared" si="1"/>
        <v>9</v>
      </c>
      <c r="D10" s="24">
        <f>'Monthly Data'!N10</f>
        <v>25368422.182837464</v>
      </c>
      <c r="E10" s="278">
        <f>'Monthly Data'!BB10</f>
        <v>42.631547619047623</v>
      </c>
      <c r="F10" s="278">
        <f>'Monthly Data'!BI10</f>
        <v>188.96011904761906</v>
      </c>
      <c r="G10" s="278">
        <f>'Monthly Data'!CG10</f>
        <v>0</v>
      </c>
      <c r="H10" s="18">
        <f>'Monthly Data'!AL10</f>
        <v>730341</v>
      </c>
      <c r="I10" s="18">
        <f>'Monthly Data'!CD10</f>
        <v>30</v>
      </c>
      <c r="K10" s="18">
        <f>'GS 50-999 Predicted Monthly'!$V$10</f>
        <v>-9326437.7987639103</v>
      </c>
      <c r="L10" s="18">
        <f>E10*'GS 50-999 Predicted Monthly'!$V$11</f>
        <v>786759.5311212762</v>
      </c>
      <c r="M10" s="18">
        <f>F10*'GS 50-999 Predicted Monthly'!$V$12</f>
        <v>5447142.5216787411</v>
      </c>
      <c r="N10" s="18">
        <f>G10*'GS 50-999 Predicted Monthly'!$V$13</f>
        <v>0</v>
      </c>
      <c r="O10" s="18">
        <f>H10*'GS 50-999 Predicted Monthly'!$V$14</f>
        <v>5241192.0255148662</v>
      </c>
      <c r="P10" s="18">
        <f>I10*'GS 50-999 Predicted Monthly'!$V$15</f>
        <v>23157856.034688119</v>
      </c>
      <c r="Q10" s="18">
        <f t="shared" si="4"/>
        <v>25306512.314239092</v>
      </c>
      <c r="R10" s="18">
        <f t="shared" si="2"/>
        <v>-61909.868598371744</v>
      </c>
      <c r="S10" s="279">
        <f t="shared" si="3"/>
        <v>2.4404303961897845E-3</v>
      </c>
      <c r="U10" s="1" t="s">
        <v>152</v>
      </c>
      <c r="V10" s="1">
        <v>-9326437.7987639103</v>
      </c>
      <c r="W10" s="1">
        <v>5537103.0431687897</v>
      </c>
      <c r="X10" s="1">
        <v>-1.6843533028105899</v>
      </c>
      <c r="Y10" s="1">
        <v>9.4849462133772405E-2</v>
      </c>
    </row>
    <row r="11" spans="1:25" x14ac:dyDescent="0.25">
      <c r="A11" s="3">
        <f>'Monthly Data'!A11</f>
        <v>42278</v>
      </c>
      <c r="B11" s="1">
        <f t="shared" si="0"/>
        <v>2015</v>
      </c>
      <c r="C11" s="1">
        <f t="shared" si="1"/>
        <v>10</v>
      </c>
      <c r="D11" s="24">
        <f>'Monthly Data'!N11</f>
        <v>25684615.714819368</v>
      </c>
      <c r="E11" s="278">
        <f>'Monthly Data'!BB11</f>
        <v>276.98750000000001</v>
      </c>
      <c r="F11" s="278">
        <f>'Monthly Data'!BI11</f>
        <v>13.895833333333337</v>
      </c>
      <c r="G11" s="278">
        <f>'Monthly Data'!CG11</f>
        <v>0</v>
      </c>
      <c r="H11" s="18">
        <f>'Monthly Data'!AL11</f>
        <v>737784</v>
      </c>
      <c r="I11" s="18">
        <f>'Monthly Data'!CD11</f>
        <v>31</v>
      </c>
      <c r="K11" s="18">
        <f>'GS 50-999 Predicted Monthly'!$V$10</f>
        <v>-9326437.7987639103</v>
      </c>
      <c r="L11" s="18">
        <f>E11*'GS 50-999 Predicted Monthly'!$V$11</f>
        <v>5111767.4069399135</v>
      </c>
      <c r="M11" s="18">
        <f>F11*'GS 50-999 Predicted Monthly'!$V$12</f>
        <v>400574.39107077342</v>
      </c>
      <c r="N11" s="18">
        <f>G11*'GS 50-999 Predicted Monthly'!$V$13</f>
        <v>0</v>
      </c>
      <c r="O11" s="18">
        <f>H11*'GS 50-999 Predicted Monthly'!$V$14</f>
        <v>5294605.6942612566</v>
      </c>
      <c r="P11" s="18">
        <f>I11*'GS 50-999 Predicted Monthly'!$V$15</f>
        <v>23929784.569177721</v>
      </c>
      <c r="Q11" s="18">
        <f t="shared" si="4"/>
        <v>25410294.262685753</v>
      </c>
      <c r="R11" s="18">
        <f t="shared" si="2"/>
        <v>-274321.45213361457</v>
      </c>
      <c r="S11" s="279">
        <f t="shared" si="3"/>
        <v>1.0680379849924641E-2</v>
      </c>
      <c r="U11" s="1" t="s">
        <v>53</v>
      </c>
      <c r="V11" s="1">
        <v>18454.866760918499</v>
      </c>
      <c r="W11" s="1">
        <v>1137.3755116698801</v>
      </c>
      <c r="X11" s="1">
        <v>16.2258344509486</v>
      </c>
      <c r="Y11" s="283">
        <v>2.1035060226809801E-31</v>
      </c>
    </row>
    <row r="12" spans="1:25" x14ac:dyDescent="0.25">
      <c r="A12" s="3">
        <f>'Monthly Data'!A12</f>
        <v>42309</v>
      </c>
      <c r="B12" s="1">
        <f t="shared" si="0"/>
        <v>2015</v>
      </c>
      <c r="C12" s="1">
        <f t="shared" si="1"/>
        <v>11</v>
      </c>
      <c r="D12" s="24">
        <f>'Monthly Data'!N12</f>
        <v>27097679.115704805</v>
      </c>
      <c r="E12" s="278">
        <f>'Monthly Data'!BB12</f>
        <v>371.77083333333326</v>
      </c>
      <c r="F12" s="278">
        <f>'Monthly Data'!BI12</f>
        <v>3.5374999999999979</v>
      </c>
      <c r="G12" s="278">
        <f>'Monthly Data'!CG12</f>
        <v>0</v>
      </c>
      <c r="H12" s="18">
        <f>'Monthly Data'!AL12</f>
        <v>737784</v>
      </c>
      <c r="I12" s="18">
        <f>'Monthly Data'!CD12</f>
        <v>30</v>
      </c>
      <c r="K12" s="18">
        <f>'GS 50-999 Predicted Monthly'!$V$10</f>
        <v>-9326437.7987639103</v>
      </c>
      <c r="L12" s="18">
        <f>E12*'GS 50-999 Predicted Monthly'!$V$11</f>
        <v>6860981.1947623035</v>
      </c>
      <c r="M12" s="18">
        <f>F12*'GS 50-999 Predicted Monthly'!$V$12</f>
        <v>101975.30975085047</v>
      </c>
      <c r="N12" s="18">
        <f>G12*'GS 50-999 Predicted Monthly'!$V$13</f>
        <v>0</v>
      </c>
      <c r="O12" s="18">
        <f>H12*'GS 50-999 Predicted Monthly'!$V$14</f>
        <v>5294605.6942612566</v>
      </c>
      <c r="P12" s="18">
        <f>I12*'GS 50-999 Predicted Monthly'!$V$15</f>
        <v>23157856.034688119</v>
      </c>
      <c r="Q12" s="18">
        <f t="shared" si="4"/>
        <v>26088980.434698619</v>
      </c>
      <c r="R12" s="18">
        <f t="shared" si="2"/>
        <v>-1008698.6810061857</v>
      </c>
      <c r="S12" s="279">
        <f t="shared" si="3"/>
        <v>3.7224541507747858E-2</v>
      </c>
      <c r="U12" s="1" t="s">
        <v>60</v>
      </c>
      <c r="V12" s="1">
        <v>28826.942685752801</v>
      </c>
      <c r="W12" s="1">
        <v>2587.3977782484899</v>
      </c>
      <c r="X12" s="1">
        <v>11.141287562389</v>
      </c>
      <c r="Y12" s="283">
        <v>5.9700954865151203E-20</v>
      </c>
    </row>
    <row r="13" spans="1:25" x14ac:dyDescent="0.25">
      <c r="A13" s="3">
        <f>'Monthly Data'!A13</f>
        <v>42339</v>
      </c>
      <c r="B13" s="1">
        <f t="shared" si="0"/>
        <v>2015</v>
      </c>
      <c r="C13" s="1">
        <f t="shared" si="1"/>
        <v>12</v>
      </c>
      <c r="D13" s="24">
        <f>'Monthly Data'!N13</f>
        <v>28956193.241493594</v>
      </c>
      <c r="E13" s="278">
        <f>'Monthly Data'!BB13</f>
        <v>437.62590579710155</v>
      </c>
      <c r="F13" s="278">
        <f>'Monthly Data'!BI13</f>
        <v>0</v>
      </c>
      <c r="G13" s="278">
        <f>'Monthly Data'!CG13</f>
        <v>0</v>
      </c>
      <c r="H13" s="18">
        <f>'Monthly Data'!AL13</f>
        <v>737784</v>
      </c>
      <c r="I13" s="18">
        <f>'Monthly Data'!CD13</f>
        <v>31</v>
      </c>
      <c r="K13" s="18">
        <f>'GS 50-999 Predicted Monthly'!$V$10</f>
        <v>-9326437.7987639103</v>
      </c>
      <c r="L13" s="18">
        <f>E13*'GS 50-999 Predicted Monthly'!$V$11</f>
        <v>8076327.7826117799</v>
      </c>
      <c r="M13" s="18">
        <f>F13*'GS 50-999 Predicted Monthly'!$V$12</f>
        <v>0</v>
      </c>
      <c r="N13" s="18">
        <f>G13*'GS 50-999 Predicted Monthly'!$V$13</f>
        <v>0</v>
      </c>
      <c r="O13" s="18">
        <f>H13*'GS 50-999 Predicted Monthly'!$V$14</f>
        <v>5294605.6942612566</v>
      </c>
      <c r="P13" s="18">
        <f>I13*'GS 50-999 Predicted Monthly'!$V$15</f>
        <v>23929784.569177721</v>
      </c>
      <c r="Q13" s="18">
        <f t="shared" si="4"/>
        <v>27974280.247286849</v>
      </c>
      <c r="R13" s="18">
        <f t="shared" si="2"/>
        <v>-981912.99420674518</v>
      </c>
      <c r="S13" s="279">
        <f t="shared" si="3"/>
        <v>3.3910292904099193E-2</v>
      </c>
      <c r="U13" s="1" t="s">
        <v>84</v>
      </c>
      <c r="V13" s="1">
        <v>-2849745.1264616302</v>
      </c>
      <c r="W13" s="1">
        <v>802892.82980640198</v>
      </c>
      <c r="X13" s="1">
        <v>-3.5493468376704498</v>
      </c>
      <c r="Y13" s="1">
        <v>5.6214671289268295E-4</v>
      </c>
    </row>
    <row r="14" spans="1:25" x14ac:dyDescent="0.25">
      <c r="A14" s="3">
        <f>'Monthly Data'!A14</f>
        <v>42370</v>
      </c>
      <c r="B14" s="1">
        <f t="shared" si="0"/>
        <v>2016</v>
      </c>
      <c r="C14" s="1">
        <f t="shared" si="1"/>
        <v>1</v>
      </c>
      <c r="D14" s="24">
        <f>'Monthly Data'!N14</f>
        <v>32424680.392063037</v>
      </c>
      <c r="E14" s="278">
        <f>'Monthly Data'!BB14</f>
        <v>675.87916666666683</v>
      </c>
      <c r="F14" s="278">
        <f>'Monthly Data'!BI14</f>
        <v>0</v>
      </c>
      <c r="G14" s="278">
        <f>'Monthly Data'!CG14</f>
        <v>0</v>
      </c>
      <c r="H14" s="18">
        <f>'Monthly Data'!AL14</f>
        <v>743287</v>
      </c>
      <c r="I14" s="18">
        <f>'Monthly Data'!CD14</f>
        <v>31</v>
      </c>
      <c r="K14" s="18">
        <f>'GS 50-999 Predicted Monthly'!$V$10</f>
        <v>-9326437.7987639103</v>
      </c>
      <c r="L14" s="18">
        <f>E14*'GS 50-999 Predicted Monthly'!$V$11</f>
        <v>12473259.967313964</v>
      </c>
      <c r="M14" s="18">
        <f>F14*'GS 50-999 Predicted Monthly'!$V$12</f>
        <v>0</v>
      </c>
      <c r="N14" s="18">
        <f>G14*'GS 50-999 Predicted Monthly'!$V$13</f>
        <v>0</v>
      </c>
      <c r="O14" s="18">
        <f>H14*'GS 50-999 Predicted Monthly'!$V$14</f>
        <v>5334097.2190646129</v>
      </c>
      <c r="P14" s="18">
        <f>I14*'GS 50-999 Predicted Monthly'!$V$15</f>
        <v>23929784.569177721</v>
      </c>
      <c r="Q14" s="18">
        <f t="shared" si="4"/>
        <v>32410703.956792388</v>
      </c>
      <c r="R14" s="18">
        <f t="shared" si="2"/>
        <v>-13976.43527064845</v>
      </c>
      <c r="S14" s="279">
        <f t="shared" si="3"/>
        <v>4.3104311597376985E-4</v>
      </c>
      <c r="U14" s="1" t="s">
        <v>37</v>
      </c>
      <c r="V14" s="1">
        <v>7.17636285723363</v>
      </c>
      <c r="W14" s="1">
        <v>3.5373727450531001</v>
      </c>
      <c r="X14" s="1">
        <v>2.0287267908844302</v>
      </c>
      <c r="Y14" s="1">
        <v>4.4816356525947301E-2</v>
      </c>
    </row>
    <row r="15" spans="1:25" x14ac:dyDescent="0.25">
      <c r="A15" s="3">
        <f>'Monthly Data'!A15</f>
        <v>42401</v>
      </c>
      <c r="B15" s="1">
        <f t="shared" si="0"/>
        <v>2016</v>
      </c>
      <c r="C15" s="1">
        <f t="shared" si="1"/>
        <v>2</v>
      </c>
      <c r="D15" s="24">
        <f>'Monthly Data'!N15</f>
        <v>28882414.638769343</v>
      </c>
      <c r="E15" s="278">
        <f>'Monthly Data'!BB15</f>
        <v>603.70833333333337</v>
      </c>
      <c r="F15" s="278">
        <f>'Monthly Data'!BI15</f>
        <v>0</v>
      </c>
      <c r="G15" s="278">
        <f>'Monthly Data'!CG15</f>
        <v>0</v>
      </c>
      <c r="H15" s="18">
        <f>'Monthly Data'!AL15</f>
        <v>743287</v>
      </c>
      <c r="I15" s="18">
        <f>'Monthly Data'!CD15</f>
        <v>29</v>
      </c>
      <c r="K15" s="18">
        <f>'GS 50-999 Predicted Monthly'!$V$10</f>
        <v>-9326437.7987639103</v>
      </c>
      <c r="L15" s="18">
        <f>E15*'GS 50-999 Predicted Monthly'!$V$11</f>
        <v>11141356.85412284</v>
      </c>
      <c r="M15" s="18">
        <f>F15*'GS 50-999 Predicted Monthly'!$V$12</f>
        <v>0</v>
      </c>
      <c r="N15" s="18">
        <f>G15*'GS 50-999 Predicted Monthly'!$V$13</f>
        <v>0</v>
      </c>
      <c r="O15" s="18">
        <f>H15*'GS 50-999 Predicted Monthly'!$V$14</f>
        <v>5334097.2190646129</v>
      </c>
      <c r="P15" s="18">
        <f>I15*'GS 50-999 Predicted Monthly'!$V$15</f>
        <v>22385927.500198513</v>
      </c>
      <c r="Q15" s="18">
        <f t="shared" si="4"/>
        <v>29534943.774622057</v>
      </c>
      <c r="R15" s="18">
        <f t="shared" si="2"/>
        <v>652529.13585271314</v>
      </c>
      <c r="S15" s="279">
        <f t="shared" si="3"/>
        <v>2.2592610209840713E-2</v>
      </c>
      <c r="U15" s="1" t="s">
        <v>203</v>
      </c>
      <c r="V15" s="1">
        <v>771928.53448960395</v>
      </c>
      <c r="W15" s="1">
        <v>159051.11736341001</v>
      </c>
      <c r="X15" s="1">
        <v>4.8533361304583202</v>
      </c>
      <c r="Y15" s="283">
        <v>3.8870573975114901E-6</v>
      </c>
    </row>
    <row r="16" spans="1:25" x14ac:dyDescent="0.25">
      <c r="A16" s="3">
        <f>'Monthly Data'!A16</f>
        <v>42430</v>
      </c>
      <c r="B16" s="1">
        <f t="shared" si="0"/>
        <v>2016</v>
      </c>
      <c r="C16" s="1">
        <f t="shared" si="1"/>
        <v>3</v>
      </c>
      <c r="D16" s="24">
        <f>'Monthly Data'!N16</f>
        <v>31071039.310371984</v>
      </c>
      <c r="E16" s="278">
        <f>'Monthly Data'!BB16</f>
        <v>515.07934782608686</v>
      </c>
      <c r="F16" s="278">
        <f>'Monthly Data'!BI16</f>
        <v>0</v>
      </c>
      <c r="G16" s="278">
        <f>'Monthly Data'!CG16</f>
        <v>0</v>
      </c>
      <c r="H16" s="18">
        <f>'Monthly Data'!AL16</f>
        <v>743287</v>
      </c>
      <c r="I16" s="18">
        <f>'Monthly Data'!CD16</f>
        <v>31</v>
      </c>
      <c r="K16" s="18">
        <f>'GS 50-999 Predicted Monthly'!$V$10</f>
        <v>-9326437.7987639103</v>
      </c>
      <c r="L16" s="18">
        <f>E16*'GS 50-999 Predicted Monthly'!$V$11</f>
        <v>9505720.7354312297</v>
      </c>
      <c r="M16" s="18">
        <f>F16*'GS 50-999 Predicted Monthly'!$V$12</f>
        <v>0</v>
      </c>
      <c r="N16" s="18">
        <f>G16*'GS 50-999 Predicted Monthly'!$V$13</f>
        <v>0</v>
      </c>
      <c r="O16" s="18">
        <f>H16*'GS 50-999 Predicted Monthly'!$V$14</f>
        <v>5334097.2190646129</v>
      </c>
      <c r="P16" s="18">
        <f>I16*'GS 50-999 Predicted Monthly'!$V$15</f>
        <v>23929784.569177721</v>
      </c>
      <c r="Q16" s="18">
        <f t="shared" si="4"/>
        <v>29443164.724909652</v>
      </c>
      <c r="R16" s="18">
        <f t="shared" si="2"/>
        <v>-1627874.5854623318</v>
      </c>
      <c r="S16" s="279">
        <f t="shared" si="3"/>
        <v>5.2392022333122359E-2</v>
      </c>
    </row>
    <row r="17" spans="1:24" x14ac:dyDescent="0.25">
      <c r="A17" s="3">
        <f>'Monthly Data'!A17</f>
        <v>42461</v>
      </c>
      <c r="B17" s="1">
        <f t="shared" si="0"/>
        <v>2016</v>
      </c>
      <c r="C17" s="1">
        <f t="shared" si="1"/>
        <v>4</v>
      </c>
      <c r="D17" s="24">
        <f>'Monthly Data'!N17</f>
        <v>25693792.188505106</v>
      </c>
      <c r="E17" s="278">
        <f>'Monthly Data'!BB17</f>
        <v>405.98333333333341</v>
      </c>
      <c r="F17" s="278">
        <f>'Monthly Data'!BI17</f>
        <v>3.2208333333333368</v>
      </c>
      <c r="G17" s="278">
        <f>'Monthly Data'!CG17</f>
        <v>0</v>
      </c>
      <c r="H17" s="18">
        <f>'Monthly Data'!AL17</f>
        <v>740632</v>
      </c>
      <c r="I17" s="18">
        <f>'Monthly Data'!CD17</f>
        <v>30</v>
      </c>
      <c r="K17" s="18">
        <f>'GS 50-999 Predicted Monthly'!$V$10</f>
        <v>-9326437.7987639103</v>
      </c>
      <c r="L17" s="18">
        <f>E17*'GS 50-999 Predicted Monthly'!$V$11</f>
        <v>7492368.3238202306</v>
      </c>
      <c r="M17" s="18">
        <f>F17*'GS 50-999 Predicted Monthly'!$V$12</f>
        <v>92846.777900362242</v>
      </c>
      <c r="N17" s="18">
        <f>G17*'GS 50-999 Predicted Monthly'!$V$13</f>
        <v>0</v>
      </c>
      <c r="O17" s="18">
        <f>H17*'GS 50-999 Predicted Monthly'!$V$14</f>
        <v>5315043.9756786581</v>
      </c>
      <c r="P17" s="18">
        <f>I17*'GS 50-999 Predicted Monthly'!$V$15</f>
        <v>23157856.034688119</v>
      </c>
      <c r="Q17" s="18">
        <f t="shared" si="4"/>
        <v>26731677.313323461</v>
      </c>
      <c r="R17" s="18">
        <f t="shared" si="2"/>
        <v>1037885.1248183548</v>
      </c>
      <c r="S17" s="279">
        <f t="shared" si="3"/>
        <v>4.039439243548814E-2</v>
      </c>
      <c r="U17" s="1" t="s">
        <v>153</v>
      </c>
    </row>
    <row r="18" spans="1:24" x14ac:dyDescent="0.25">
      <c r="A18" s="3">
        <f>'Monthly Data'!A18</f>
        <v>42491</v>
      </c>
      <c r="B18" s="1">
        <f t="shared" si="0"/>
        <v>2016</v>
      </c>
      <c r="C18" s="1">
        <f t="shared" si="1"/>
        <v>5</v>
      </c>
      <c r="D18" s="24">
        <f>'Monthly Data'!N18</f>
        <v>25563625.514173936</v>
      </c>
      <c r="E18" s="278">
        <f>'Monthly Data'!BB18</f>
        <v>154.58611111111114</v>
      </c>
      <c r="F18" s="278">
        <f>'Monthly Data'!BI18</f>
        <v>98.295833333333348</v>
      </c>
      <c r="G18" s="278">
        <f>'Monthly Data'!CG18</f>
        <v>0</v>
      </c>
      <c r="H18" s="18">
        <f>'Monthly Data'!AL18</f>
        <v>740632</v>
      </c>
      <c r="I18" s="18">
        <f>'Monthly Data'!CD18</f>
        <v>31</v>
      </c>
      <c r="K18" s="18">
        <f>'GS 50-999 Predicted Monthly'!$V$10</f>
        <v>-9326437.7987639103</v>
      </c>
      <c r="L18" s="18">
        <f>E18*'GS 50-999 Predicted Monthly'!$V$11</f>
        <v>2852866.0836440991</v>
      </c>
      <c r="M18" s="18">
        <f>F18*'GS 50-999 Predicted Monthly'!$V$12</f>
        <v>2833568.3537483104</v>
      </c>
      <c r="N18" s="18">
        <f>G18*'GS 50-999 Predicted Monthly'!$V$13</f>
        <v>0</v>
      </c>
      <c r="O18" s="18">
        <f>H18*'GS 50-999 Predicted Monthly'!$V$14</f>
        <v>5315043.9756786581</v>
      </c>
      <c r="P18" s="18">
        <f>I18*'GS 50-999 Predicted Monthly'!$V$15</f>
        <v>23929784.569177721</v>
      </c>
      <c r="Q18" s="18">
        <f t="shared" si="4"/>
        <v>25604825.183484878</v>
      </c>
      <c r="R18" s="18">
        <f t="shared" si="2"/>
        <v>41199.669310942292</v>
      </c>
      <c r="S18" s="279">
        <f t="shared" si="3"/>
        <v>1.611652043959838E-3</v>
      </c>
      <c r="U18" s="1" t="s">
        <v>154</v>
      </c>
      <c r="V18" s="1">
        <v>274746486702072</v>
      </c>
      <c r="W18" s="1" t="s">
        <v>155</v>
      </c>
      <c r="X18" s="1">
        <v>1552435.7960622299</v>
      </c>
    </row>
    <row r="19" spans="1:24" x14ac:dyDescent="0.25">
      <c r="A19" s="3">
        <f>'Monthly Data'!A19</f>
        <v>42522</v>
      </c>
      <c r="B19" s="1">
        <f t="shared" si="0"/>
        <v>2016</v>
      </c>
      <c r="C19" s="1">
        <f t="shared" si="1"/>
        <v>6</v>
      </c>
      <c r="D19" s="24">
        <f>'Monthly Data'!N19</f>
        <v>24988466.374266114</v>
      </c>
      <c r="E19" s="278">
        <f>'Monthly Data'!BB19</f>
        <v>30.204166666666669</v>
      </c>
      <c r="F19" s="278">
        <f>'Monthly Data'!BI19</f>
        <v>203.85416666666669</v>
      </c>
      <c r="G19" s="278">
        <f>'Monthly Data'!CG19</f>
        <v>0</v>
      </c>
      <c r="H19" s="18">
        <f>'Monthly Data'!AL19</f>
        <v>740632</v>
      </c>
      <c r="I19" s="18">
        <f>'Monthly Data'!CD19</f>
        <v>30</v>
      </c>
      <c r="K19" s="18">
        <f>'GS 50-999 Predicted Monthly'!$V$10</f>
        <v>-9326437.7987639103</v>
      </c>
      <c r="L19" s="18">
        <f>E19*'GS 50-999 Predicted Monthly'!$V$11</f>
        <v>557413.87145790923</v>
      </c>
      <c r="M19" s="18">
        <f>F19*'GS 50-999 Predicted Monthly'!$V$12</f>
        <v>5876492.3787519</v>
      </c>
      <c r="N19" s="18">
        <f>G19*'GS 50-999 Predicted Monthly'!$V$13</f>
        <v>0</v>
      </c>
      <c r="O19" s="18">
        <f>H19*'GS 50-999 Predicted Monthly'!$V$14</f>
        <v>5315043.9756786581</v>
      </c>
      <c r="P19" s="18">
        <f>I19*'GS 50-999 Predicted Monthly'!$V$15</f>
        <v>23157856.034688119</v>
      </c>
      <c r="Q19" s="18">
        <f t="shared" si="4"/>
        <v>25580368.461812675</v>
      </c>
      <c r="R19" s="18">
        <f t="shared" si="2"/>
        <v>591902.08754656091</v>
      </c>
      <c r="S19" s="279">
        <f t="shared" si="3"/>
        <v>2.3687011386826034E-2</v>
      </c>
      <c r="U19" s="1" t="s">
        <v>156</v>
      </c>
      <c r="V19" s="1">
        <v>0.77293565898971694</v>
      </c>
      <c r="W19" s="1" t="s">
        <v>157</v>
      </c>
      <c r="X19" s="1">
        <v>0.76297669666470502</v>
      </c>
    </row>
    <row r="20" spans="1:24" x14ac:dyDescent="0.25">
      <c r="A20" s="3">
        <f>'Monthly Data'!A20</f>
        <v>42552</v>
      </c>
      <c r="B20" s="1">
        <f t="shared" si="0"/>
        <v>2016</v>
      </c>
      <c r="C20" s="1">
        <f t="shared" si="1"/>
        <v>7</v>
      </c>
      <c r="D20" s="24">
        <f>'Monthly Data'!N20</f>
        <v>30177913.769882832</v>
      </c>
      <c r="E20" s="278">
        <f>'Monthly Data'!BB20</f>
        <v>1.6583333333333314</v>
      </c>
      <c r="F20" s="278">
        <f>'Monthly Data'!BI20</f>
        <v>313.22916666666657</v>
      </c>
      <c r="G20" s="278">
        <f>'Monthly Data'!CG20</f>
        <v>0</v>
      </c>
      <c r="H20" s="18">
        <f>'Monthly Data'!AL20</f>
        <v>746606</v>
      </c>
      <c r="I20" s="18">
        <f>'Monthly Data'!CD20</f>
        <v>31</v>
      </c>
      <c r="K20" s="18">
        <f>'GS 50-999 Predicted Monthly'!$V$10</f>
        <v>-9326437.7987639103</v>
      </c>
      <c r="L20" s="18">
        <f>E20*'GS 50-999 Predicted Monthly'!$V$11</f>
        <v>30604.320711856475</v>
      </c>
      <c r="M20" s="18">
        <f>F20*'GS 50-999 Predicted Monthly'!$V$12</f>
        <v>9029439.2350061089</v>
      </c>
      <c r="N20" s="18">
        <f>G20*'GS 50-999 Predicted Monthly'!$V$13</f>
        <v>0</v>
      </c>
      <c r="O20" s="18">
        <f>H20*'GS 50-999 Predicted Monthly'!$V$14</f>
        <v>5357915.5673877718</v>
      </c>
      <c r="P20" s="18">
        <f>I20*'GS 50-999 Predicted Monthly'!$V$15</f>
        <v>23929784.569177721</v>
      </c>
      <c r="Q20" s="18">
        <f t="shared" si="4"/>
        <v>29021305.893519547</v>
      </c>
      <c r="R20" s="18">
        <f t="shared" si="2"/>
        <v>-1156607.8763632849</v>
      </c>
      <c r="S20" s="279">
        <f t="shared" si="3"/>
        <v>3.8326303308533032E-2</v>
      </c>
      <c r="U20" s="1" t="s">
        <v>204</v>
      </c>
      <c r="V20" s="1">
        <v>71.320898710565302</v>
      </c>
      <c r="W20" s="1" t="s">
        <v>159</v>
      </c>
      <c r="X20" s="283">
        <v>1.77565999196288E-33</v>
      </c>
    </row>
    <row r="21" spans="1:24" x14ac:dyDescent="0.25">
      <c r="A21" s="3">
        <f>'Monthly Data'!A21</f>
        <v>42583</v>
      </c>
      <c r="B21" s="1">
        <f t="shared" si="0"/>
        <v>2016</v>
      </c>
      <c r="C21" s="1">
        <f t="shared" si="1"/>
        <v>8</v>
      </c>
      <c r="D21" s="24">
        <f>'Monthly Data'!N21</f>
        <v>30103803.929514974</v>
      </c>
      <c r="E21" s="278">
        <f>'Monthly Data'!BB21</f>
        <v>1.1291666666666664</v>
      </c>
      <c r="F21" s="278">
        <f>'Monthly Data'!BI21</f>
        <v>328.02499999999998</v>
      </c>
      <c r="G21" s="278">
        <f>'Monthly Data'!CG21</f>
        <v>0</v>
      </c>
      <c r="H21" s="18">
        <f>'Monthly Data'!AL21</f>
        <v>746606</v>
      </c>
      <c r="I21" s="18">
        <f>'Monthly Data'!CD21</f>
        <v>31</v>
      </c>
      <c r="K21" s="18">
        <f>'GS 50-999 Predicted Monthly'!$V$10</f>
        <v>-9326437.7987639103</v>
      </c>
      <c r="L21" s="18">
        <f>E21*'GS 50-999 Predicted Monthly'!$V$11</f>
        <v>20838.620384203801</v>
      </c>
      <c r="M21" s="18">
        <f>F21*'GS 50-999 Predicted Monthly'!$V$12</f>
        <v>9455957.8744940627</v>
      </c>
      <c r="N21" s="18">
        <f>G21*'GS 50-999 Predicted Monthly'!$V$13</f>
        <v>0</v>
      </c>
      <c r="O21" s="18">
        <f>H21*'GS 50-999 Predicted Monthly'!$V$14</f>
        <v>5357915.5673877718</v>
      </c>
      <c r="P21" s="18">
        <f>I21*'GS 50-999 Predicted Monthly'!$V$15</f>
        <v>23929784.569177721</v>
      </c>
      <c r="Q21" s="18">
        <f t="shared" si="4"/>
        <v>29438058.832679849</v>
      </c>
      <c r="R21" s="18">
        <f t="shared" si="2"/>
        <v>-665745.09683512524</v>
      </c>
      <c r="S21" s="279">
        <f t="shared" si="3"/>
        <v>2.2114982491711024E-2</v>
      </c>
      <c r="U21" s="1" t="s">
        <v>160</v>
      </c>
      <c r="V21" s="1">
        <v>-5.3659284141242797E-2</v>
      </c>
      <c r="W21" s="1" t="s">
        <v>161</v>
      </c>
      <c r="X21" s="1">
        <v>1.9458959052038201</v>
      </c>
    </row>
    <row r="22" spans="1:24" x14ac:dyDescent="0.25">
      <c r="A22" s="3">
        <f>'Monthly Data'!A22</f>
        <v>42614</v>
      </c>
      <c r="B22" s="1">
        <f t="shared" si="0"/>
        <v>2016</v>
      </c>
      <c r="C22" s="1">
        <f t="shared" si="1"/>
        <v>9</v>
      </c>
      <c r="D22" s="24">
        <f>'Monthly Data'!N22</f>
        <v>25339421.831471663</v>
      </c>
      <c r="E22" s="278">
        <f>'Monthly Data'!BB22</f>
        <v>40.929166666666667</v>
      </c>
      <c r="F22" s="278">
        <f>'Monthly Data'!BI22</f>
        <v>176.5541666666667</v>
      </c>
      <c r="G22" s="278">
        <f>'Monthly Data'!CG22</f>
        <v>0</v>
      </c>
      <c r="H22" s="18">
        <f>'Monthly Data'!AL22</f>
        <v>746606</v>
      </c>
      <c r="I22" s="18">
        <f>'Monthly Data'!CD22</f>
        <v>30</v>
      </c>
      <c r="K22" s="18">
        <f>'GS 50-999 Predicted Monthly'!$V$10</f>
        <v>-9326437.7987639103</v>
      </c>
      <c r="L22" s="18">
        <f>E22*'GS 50-999 Predicted Monthly'!$V$11</f>
        <v>755342.31746876007</v>
      </c>
      <c r="M22" s="18">
        <f>F22*'GS 50-999 Predicted Monthly'!$V$12</f>
        <v>5089516.8434308488</v>
      </c>
      <c r="N22" s="18">
        <f>G22*'GS 50-999 Predicted Monthly'!$V$13</f>
        <v>0</v>
      </c>
      <c r="O22" s="18">
        <f>H22*'GS 50-999 Predicted Monthly'!$V$14</f>
        <v>5357915.5673877718</v>
      </c>
      <c r="P22" s="18">
        <f>I22*'GS 50-999 Predicted Monthly'!$V$15</f>
        <v>23157856.034688119</v>
      </c>
      <c r="Q22" s="18">
        <f t="shared" si="4"/>
        <v>25034192.964211591</v>
      </c>
      <c r="R22" s="18">
        <f t="shared" si="2"/>
        <v>-305228.86726007238</v>
      </c>
      <c r="S22" s="279">
        <f t="shared" si="3"/>
        <v>1.2045612930322542E-2</v>
      </c>
    </row>
    <row r="23" spans="1:24" x14ac:dyDescent="0.25">
      <c r="A23" s="3">
        <f>'Monthly Data'!A23</f>
        <v>42644</v>
      </c>
      <c r="B23" s="1">
        <f t="shared" si="0"/>
        <v>2016</v>
      </c>
      <c r="C23" s="1">
        <f t="shared" si="1"/>
        <v>10</v>
      </c>
      <c r="D23" s="24">
        <f>'Monthly Data'!N23</f>
        <v>26431491.689325772</v>
      </c>
      <c r="E23" s="278">
        <f>'Monthly Data'!BB23</f>
        <v>222.13333333333333</v>
      </c>
      <c r="F23" s="278">
        <f>'Monthly Data'!BI23</f>
        <v>52.383333333333333</v>
      </c>
      <c r="G23" s="278">
        <f>'Monthly Data'!CG23</f>
        <v>0</v>
      </c>
      <c r="H23" s="18">
        <f>'Monthly Data'!AL23</f>
        <v>745380</v>
      </c>
      <c r="I23" s="18">
        <f>'Monthly Data'!CD23</f>
        <v>31</v>
      </c>
      <c r="K23" s="18">
        <f>'GS 50-999 Predicted Monthly'!$V$10</f>
        <v>-9326437.7987639103</v>
      </c>
      <c r="L23" s="18">
        <f>E23*'GS 50-999 Predicted Monthly'!$V$11</f>
        <v>4099441.0698253624</v>
      </c>
      <c r="M23" s="18">
        <f>F23*'GS 50-999 Predicted Monthly'!$V$12</f>
        <v>1510051.3476886842</v>
      </c>
      <c r="N23" s="18">
        <f>G23*'GS 50-999 Predicted Monthly'!$V$13</f>
        <v>0</v>
      </c>
      <c r="O23" s="18">
        <f>H23*'GS 50-999 Predicted Monthly'!$V$14</f>
        <v>5349117.346524803</v>
      </c>
      <c r="P23" s="18">
        <f>I23*'GS 50-999 Predicted Monthly'!$V$15</f>
        <v>23929784.569177721</v>
      </c>
      <c r="Q23" s="18">
        <f t="shared" si="4"/>
        <v>25561956.534452662</v>
      </c>
      <c r="R23" s="18">
        <f t="shared" si="2"/>
        <v>-869535.15487311035</v>
      </c>
      <c r="S23" s="279">
        <f t="shared" si="3"/>
        <v>3.2897695109060675E-2</v>
      </c>
      <c r="U23" s="1" t="s">
        <v>162</v>
      </c>
    </row>
    <row r="24" spans="1:24" x14ac:dyDescent="0.25">
      <c r="A24" s="3">
        <f>'Monthly Data'!A24</f>
        <v>42675</v>
      </c>
      <c r="B24" s="1">
        <f t="shared" si="0"/>
        <v>2016</v>
      </c>
      <c r="C24" s="1">
        <f t="shared" si="1"/>
        <v>11</v>
      </c>
      <c r="D24" s="24">
        <f>'Monthly Data'!N24</f>
        <v>26484968.386753168</v>
      </c>
      <c r="E24" s="278">
        <f>'Monthly Data'!BB24</f>
        <v>377.33511904761912</v>
      </c>
      <c r="F24" s="278">
        <f>'Monthly Data'!BI24</f>
        <v>1.3291666666666675</v>
      </c>
      <c r="G24" s="278">
        <f>'Monthly Data'!CG24</f>
        <v>0</v>
      </c>
      <c r="H24" s="18">
        <f>'Monthly Data'!AL24</f>
        <v>745380</v>
      </c>
      <c r="I24" s="18">
        <f>'Monthly Data'!CD24</f>
        <v>30</v>
      </c>
      <c r="K24" s="18">
        <f>'GS 50-999 Predicted Monthly'!$V$10</f>
        <v>-9326437.7987639103</v>
      </c>
      <c r="L24" s="18">
        <f>E24*'GS 50-999 Predicted Monthly'!$V$11</f>
        <v>6963669.3462391309</v>
      </c>
      <c r="M24" s="18">
        <f>F24*'GS 50-999 Predicted Monthly'!$V$12</f>
        <v>38315.811319813125</v>
      </c>
      <c r="N24" s="18">
        <f>G24*'GS 50-999 Predicted Monthly'!$V$13</f>
        <v>0</v>
      </c>
      <c r="O24" s="18">
        <f>H24*'GS 50-999 Predicted Monthly'!$V$14</f>
        <v>5349117.346524803</v>
      </c>
      <c r="P24" s="18">
        <f>I24*'GS 50-999 Predicted Monthly'!$V$15</f>
        <v>23157856.034688119</v>
      </c>
      <c r="Q24" s="18">
        <f t="shared" si="4"/>
        <v>26182520.740007956</v>
      </c>
      <c r="R24" s="18">
        <f t="shared" si="2"/>
        <v>-302447.64674521238</v>
      </c>
      <c r="S24" s="279">
        <f t="shared" si="3"/>
        <v>1.1419596290569328E-2</v>
      </c>
      <c r="U24" s="1" t="s">
        <v>163</v>
      </c>
      <c r="V24" s="1">
        <v>27790810.467496</v>
      </c>
      <c r="W24" s="1" t="s">
        <v>164</v>
      </c>
      <c r="X24" s="1">
        <v>3187534.5664732899</v>
      </c>
    </row>
    <row r="25" spans="1:24" x14ac:dyDescent="0.25">
      <c r="A25" s="3">
        <f>'Monthly Data'!A25</f>
        <v>42705</v>
      </c>
      <c r="B25" s="1">
        <f t="shared" si="0"/>
        <v>2016</v>
      </c>
      <c r="C25" s="1">
        <f t="shared" si="1"/>
        <v>12</v>
      </c>
      <c r="D25" s="24">
        <f>'Monthly Data'!N25</f>
        <v>31221242.491340503</v>
      </c>
      <c r="E25" s="278">
        <f>'Monthly Data'!BB25</f>
        <v>616.67083333333335</v>
      </c>
      <c r="F25" s="278">
        <f>'Monthly Data'!BI25</f>
        <v>0</v>
      </c>
      <c r="G25" s="278">
        <f>'Monthly Data'!CG25</f>
        <v>0</v>
      </c>
      <c r="H25" s="18">
        <f>'Monthly Data'!AL25</f>
        <v>745380</v>
      </c>
      <c r="I25" s="18">
        <f>'Monthly Data'!CD25</f>
        <v>31</v>
      </c>
      <c r="K25" s="18">
        <f>'GS 50-999 Predicted Monthly'!$V$10</f>
        <v>-9326437.7987639103</v>
      </c>
      <c r="L25" s="18">
        <f>E25*'GS 50-999 Predicted Monthly'!$V$11</f>
        <v>11380578.064511245</v>
      </c>
      <c r="M25" s="18">
        <f>F25*'GS 50-999 Predicted Monthly'!$V$12</f>
        <v>0</v>
      </c>
      <c r="N25" s="18">
        <f>G25*'GS 50-999 Predicted Monthly'!$V$13</f>
        <v>0</v>
      </c>
      <c r="O25" s="18">
        <f>H25*'GS 50-999 Predicted Monthly'!$V$14</f>
        <v>5349117.346524803</v>
      </c>
      <c r="P25" s="18">
        <f>I25*'GS 50-999 Predicted Monthly'!$V$15</f>
        <v>23929784.569177721</v>
      </c>
      <c r="Q25" s="18">
        <f t="shared" si="4"/>
        <v>31333042.18144986</v>
      </c>
      <c r="R25" s="18">
        <f t="shared" si="2"/>
        <v>111799.69010935724</v>
      </c>
      <c r="S25" s="279">
        <f t="shared" si="3"/>
        <v>3.5808853584339542E-3</v>
      </c>
    </row>
    <row r="26" spans="1:24" x14ac:dyDescent="0.25">
      <c r="A26" s="3">
        <f>'Monthly Data'!A26</f>
        <v>42736</v>
      </c>
      <c r="B26" s="1">
        <f t="shared" si="0"/>
        <v>2017</v>
      </c>
      <c r="C26" s="1">
        <f t="shared" si="1"/>
        <v>1</v>
      </c>
      <c r="D26" s="24">
        <f>'Monthly Data'!N26</f>
        <v>34806736.410082474</v>
      </c>
      <c r="E26" s="278">
        <f>'Monthly Data'!BB26</f>
        <v>620.2166666666667</v>
      </c>
      <c r="F26" s="278">
        <f>'Monthly Data'!BI26</f>
        <v>0</v>
      </c>
      <c r="G26" s="278">
        <f>'Monthly Data'!CG26</f>
        <v>0</v>
      </c>
      <c r="H26" s="18">
        <f>'Monthly Data'!AL26</f>
        <v>756702</v>
      </c>
      <c r="I26" s="18">
        <f>'Monthly Data'!CD26</f>
        <v>31</v>
      </c>
      <c r="K26" s="18">
        <f>'GS 50-999 Predicted Monthly'!$V$10</f>
        <v>-9326437.7987639103</v>
      </c>
      <c r="L26" s="18">
        <f>E26*'GS 50-999 Predicted Monthly'!$V$11</f>
        <v>11446015.946234336</v>
      </c>
      <c r="M26" s="18">
        <f>F26*'GS 50-999 Predicted Monthly'!$V$12</f>
        <v>0</v>
      </c>
      <c r="N26" s="18">
        <f>G26*'GS 50-999 Predicted Monthly'!$V$13</f>
        <v>0</v>
      </c>
      <c r="O26" s="18">
        <f>H26*'GS 50-999 Predicted Monthly'!$V$14</f>
        <v>5430368.1267944025</v>
      </c>
      <c r="P26" s="18">
        <f>I26*'GS 50-999 Predicted Monthly'!$V$15</f>
        <v>23929784.569177721</v>
      </c>
      <c r="Q26" s="18">
        <f t="shared" si="4"/>
        <v>31479730.843442548</v>
      </c>
      <c r="R26" s="18">
        <f t="shared" si="2"/>
        <v>-3327005.5666399263</v>
      </c>
      <c r="S26" s="279">
        <f t="shared" si="3"/>
        <v>9.5585105349784871E-2</v>
      </c>
    </row>
    <row r="27" spans="1:24" x14ac:dyDescent="0.25">
      <c r="A27" s="3">
        <f>'Monthly Data'!A27</f>
        <v>42767</v>
      </c>
      <c r="B27" s="1">
        <f t="shared" si="0"/>
        <v>2017</v>
      </c>
      <c r="C27" s="1">
        <f t="shared" si="1"/>
        <v>2</v>
      </c>
      <c r="D27" s="24">
        <f>'Monthly Data'!N27</f>
        <v>28838170.041093104</v>
      </c>
      <c r="E27" s="278">
        <f>'Monthly Data'!BB27</f>
        <v>530.08333333333337</v>
      </c>
      <c r="F27" s="278">
        <f>'Monthly Data'!BI27</f>
        <v>0</v>
      </c>
      <c r="G27" s="278">
        <f>'Monthly Data'!CG27</f>
        <v>0</v>
      </c>
      <c r="H27" s="18">
        <f>'Monthly Data'!AL27</f>
        <v>756702</v>
      </c>
      <c r="I27" s="18">
        <f>'Monthly Data'!CD27</f>
        <v>28</v>
      </c>
      <c r="K27" s="18">
        <f>'GS 50-999 Predicted Monthly'!$V$10</f>
        <v>-9326437.7987639103</v>
      </c>
      <c r="L27" s="18">
        <f>E27*'GS 50-999 Predicted Monthly'!$V$11</f>
        <v>9782617.2888502162</v>
      </c>
      <c r="M27" s="18">
        <f>F27*'GS 50-999 Predicted Monthly'!$V$12</f>
        <v>0</v>
      </c>
      <c r="N27" s="18">
        <f>G27*'GS 50-999 Predicted Monthly'!$V$13</f>
        <v>0</v>
      </c>
      <c r="O27" s="18">
        <f>H27*'GS 50-999 Predicted Monthly'!$V$14</f>
        <v>5430368.1267944025</v>
      </c>
      <c r="P27" s="18">
        <f>I27*'GS 50-999 Predicted Monthly'!$V$15</f>
        <v>21613998.965708911</v>
      </c>
      <c r="Q27" s="18">
        <f t="shared" si="4"/>
        <v>27500546.582589619</v>
      </c>
      <c r="R27" s="18">
        <f t="shared" si="2"/>
        <v>-1337623.4585034847</v>
      </c>
      <c r="S27" s="279">
        <f t="shared" si="3"/>
        <v>4.6383784289968158E-2</v>
      </c>
    </row>
    <row r="28" spans="1:24" x14ac:dyDescent="0.25">
      <c r="A28" s="3">
        <f>'Monthly Data'!A28</f>
        <v>42795</v>
      </c>
      <c r="B28" s="1">
        <f t="shared" si="0"/>
        <v>2017</v>
      </c>
      <c r="C28" s="1">
        <f t="shared" si="1"/>
        <v>3</v>
      </c>
      <c r="D28" s="24">
        <f>'Monthly Data'!N28</f>
        <v>30947017.582069278</v>
      </c>
      <c r="E28" s="278">
        <f>'Monthly Data'!BB28</f>
        <v>599.67916666666667</v>
      </c>
      <c r="F28" s="278">
        <f>'Monthly Data'!BI28</f>
        <v>0</v>
      </c>
      <c r="G28" s="278">
        <f>'Monthly Data'!CG28</f>
        <v>0</v>
      </c>
      <c r="H28" s="18">
        <f>'Monthly Data'!AL28</f>
        <v>756702</v>
      </c>
      <c r="I28" s="18">
        <f>'Monthly Data'!CD28</f>
        <v>31</v>
      </c>
      <c r="K28" s="18">
        <f>'GS 50-999 Predicted Monthly'!$V$10</f>
        <v>-9326437.7987639103</v>
      </c>
      <c r="L28" s="18">
        <f>E28*'GS 50-999 Predicted Monthly'!$V$11</f>
        <v>11066999.120131971</v>
      </c>
      <c r="M28" s="18">
        <f>F28*'GS 50-999 Predicted Monthly'!$V$12</f>
        <v>0</v>
      </c>
      <c r="N28" s="18">
        <f>G28*'GS 50-999 Predicted Monthly'!$V$13</f>
        <v>0</v>
      </c>
      <c r="O28" s="18">
        <f>H28*'GS 50-999 Predicted Monthly'!$V$14</f>
        <v>5430368.1267944025</v>
      </c>
      <c r="P28" s="18">
        <f>I28*'GS 50-999 Predicted Monthly'!$V$15</f>
        <v>23929784.569177721</v>
      </c>
      <c r="Q28" s="18">
        <f t="shared" si="4"/>
        <v>31100714.017340183</v>
      </c>
      <c r="R28" s="18">
        <f t="shared" si="2"/>
        <v>153696.43527090549</v>
      </c>
      <c r="S28" s="279">
        <f t="shared" si="3"/>
        <v>4.9664377145007118E-3</v>
      </c>
    </row>
    <row r="29" spans="1:24" x14ac:dyDescent="0.25">
      <c r="A29" s="3">
        <f>'Monthly Data'!A29</f>
        <v>42826</v>
      </c>
      <c r="B29" s="1">
        <f t="shared" si="0"/>
        <v>2017</v>
      </c>
      <c r="C29" s="1">
        <f t="shared" si="1"/>
        <v>4</v>
      </c>
      <c r="D29" s="24">
        <f>'Monthly Data'!N29</f>
        <v>25802014.556424748</v>
      </c>
      <c r="E29" s="278">
        <f>'Monthly Data'!BB29</f>
        <v>288.73333333333335</v>
      </c>
      <c r="F29" s="278">
        <f>'Monthly Data'!BI29</f>
        <v>12.412500000000001</v>
      </c>
      <c r="G29" s="278">
        <f>'Monthly Data'!CG29</f>
        <v>0</v>
      </c>
      <c r="H29" s="18">
        <f>'Monthly Data'!AL29</f>
        <v>764644</v>
      </c>
      <c r="I29" s="18">
        <f>'Monthly Data'!CD29</f>
        <v>30</v>
      </c>
      <c r="K29" s="18">
        <f>'GS 50-999 Predicted Monthly'!$V$10</f>
        <v>-9326437.7987639103</v>
      </c>
      <c r="L29" s="18">
        <f>E29*'GS 50-999 Predicted Monthly'!$V$11</f>
        <v>5328535.1961025354</v>
      </c>
      <c r="M29" s="18">
        <f>F29*'GS 50-999 Predicted Monthly'!$V$12</f>
        <v>357814.42608690669</v>
      </c>
      <c r="N29" s="18">
        <f>G29*'GS 50-999 Predicted Monthly'!$V$13</f>
        <v>0</v>
      </c>
      <c r="O29" s="18">
        <f>H29*'GS 50-999 Predicted Monthly'!$V$14</f>
        <v>5487362.8006065516</v>
      </c>
      <c r="P29" s="18">
        <f>I29*'GS 50-999 Predicted Monthly'!$V$15</f>
        <v>23157856.034688119</v>
      </c>
      <c r="Q29" s="18">
        <f t="shared" si="4"/>
        <v>25005130.658720203</v>
      </c>
      <c r="R29" s="18">
        <f t="shared" si="2"/>
        <v>-796883.89770454541</v>
      </c>
      <c r="S29" s="279">
        <f t="shared" si="3"/>
        <v>3.088456120206784E-2</v>
      </c>
    </row>
    <row r="30" spans="1:24" x14ac:dyDescent="0.25">
      <c r="A30" s="3">
        <f>'Monthly Data'!A30</f>
        <v>42856</v>
      </c>
      <c r="B30" s="1">
        <f t="shared" si="0"/>
        <v>2017</v>
      </c>
      <c r="C30" s="1">
        <f t="shared" si="1"/>
        <v>5</v>
      </c>
      <c r="D30" s="24">
        <f>'Monthly Data'!N30</f>
        <v>27647143.955622979</v>
      </c>
      <c r="E30" s="278">
        <f>'Monthly Data'!BB30</f>
        <v>188.63749999999999</v>
      </c>
      <c r="F30" s="278">
        <f>'Monthly Data'!BI30</f>
        <v>54.529166666666683</v>
      </c>
      <c r="G30" s="278">
        <f>'Monthly Data'!CG30</f>
        <v>0</v>
      </c>
      <c r="H30" s="18">
        <f>'Monthly Data'!AL30</f>
        <v>764644</v>
      </c>
      <c r="I30" s="18">
        <f>'Monthly Data'!CD30</f>
        <v>31</v>
      </c>
      <c r="K30" s="18">
        <f>'GS 50-999 Predicted Monthly'!$V$10</f>
        <v>-9326437.7987639103</v>
      </c>
      <c r="L30" s="18">
        <f>E30*'GS 50-999 Predicted Monthly'!$V$11</f>
        <v>3481279.9286127631</v>
      </c>
      <c r="M30" s="18">
        <f>F30*'GS 50-999 Predicted Monthly'!$V$12</f>
        <v>1571909.1622018625</v>
      </c>
      <c r="N30" s="18">
        <f>G30*'GS 50-999 Predicted Monthly'!$V$13</f>
        <v>0</v>
      </c>
      <c r="O30" s="18">
        <f>H30*'GS 50-999 Predicted Monthly'!$V$14</f>
        <v>5487362.8006065516</v>
      </c>
      <c r="P30" s="18">
        <f>I30*'GS 50-999 Predicted Monthly'!$V$15</f>
        <v>23929784.569177721</v>
      </c>
      <c r="Q30" s="18">
        <f t="shared" si="4"/>
        <v>25143898.661834989</v>
      </c>
      <c r="R30" s="18">
        <f t="shared" si="2"/>
        <v>-2503245.2937879898</v>
      </c>
      <c r="S30" s="279">
        <f t="shared" si="3"/>
        <v>9.054263607864893E-2</v>
      </c>
    </row>
    <row r="31" spans="1:24" x14ac:dyDescent="0.25">
      <c r="A31" s="3">
        <f>'Monthly Data'!A31</f>
        <v>42887</v>
      </c>
      <c r="B31" s="1">
        <f t="shared" si="0"/>
        <v>2017</v>
      </c>
      <c r="C31" s="1">
        <f t="shared" si="1"/>
        <v>6</v>
      </c>
      <c r="D31" s="24">
        <f>'Monthly Data'!N31</f>
        <v>24510322.97232236</v>
      </c>
      <c r="E31" s="278">
        <f>'Monthly Data'!BB31</f>
        <v>47.73249999999998</v>
      </c>
      <c r="F31" s="278">
        <f>'Monthly Data'!BI31</f>
        <v>168.62166666666667</v>
      </c>
      <c r="G31" s="278">
        <f>'Monthly Data'!CG31</f>
        <v>0</v>
      </c>
      <c r="H31" s="18">
        <f>'Monthly Data'!AL31</f>
        <v>764644</v>
      </c>
      <c r="I31" s="18">
        <f>'Monthly Data'!CD31</f>
        <v>30</v>
      </c>
      <c r="K31" s="18">
        <f>'GS 50-999 Predicted Monthly'!$V$10</f>
        <v>-9326437.7987639103</v>
      </c>
      <c r="L31" s="18">
        <f>E31*'GS 50-999 Predicted Monthly'!$V$11</f>
        <v>880896.92766554188</v>
      </c>
      <c r="M31" s="18">
        <f>F31*'GS 50-999 Predicted Monthly'!$V$12</f>
        <v>4860847.1205761135</v>
      </c>
      <c r="N31" s="18">
        <f>G31*'GS 50-999 Predicted Monthly'!$V$13</f>
        <v>0</v>
      </c>
      <c r="O31" s="18">
        <f>H31*'GS 50-999 Predicted Monthly'!$V$14</f>
        <v>5487362.8006065516</v>
      </c>
      <c r="P31" s="18">
        <f>I31*'GS 50-999 Predicted Monthly'!$V$15</f>
        <v>23157856.034688119</v>
      </c>
      <c r="Q31" s="18">
        <f t="shared" si="4"/>
        <v>25060525.084772415</v>
      </c>
      <c r="R31" s="18">
        <f t="shared" si="2"/>
        <v>550202.11245005578</v>
      </c>
      <c r="S31" s="279">
        <f t="shared" si="3"/>
        <v>2.2447770805442142E-2</v>
      </c>
    </row>
    <row r="32" spans="1:24" x14ac:dyDescent="0.25">
      <c r="A32" s="3">
        <f>'Monthly Data'!A32</f>
        <v>42917</v>
      </c>
      <c r="B32" s="1">
        <f t="shared" si="0"/>
        <v>2017</v>
      </c>
      <c r="C32" s="1">
        <f t="shared" si="1"/>
        <v>7</v>
      </c>
      <c r="D32" s="24">
        <f>'Monthly Data'!N32</f>
        <v>31469547.442503113</v>
      </c>
      <c r="E32" s="278">
        <f>'Monthly Data'!BB32</f>
        <v>1.8041666666666707</v>
      </c>
      <c r="F32" s="278">
        <f>'Monthly Data'!BI32</f>
        <v>260.16666666666657</v>
      </c>
      <c r="G32" s="278">
        <f>'Monthly Data'!CG32</f>
        <v>0</v>
      </c>
      <c r="H32" s="18">
        <f>'Monthly Data'!AL32</f>
        <v>765060</v>
      </c>
      <c r="I32" s="18">
        <f>'Monthly Data'!CD32</f>
        <v>31</v>
      </c>
      <c r="K32" s="18">
        <f>'GS 50-999 Predicted Monthly'!$V$10</f>
        <v>-9326437.7987639103</v>
      </c>
      <c r="L32" s="18">
        <f>E32*'GS 50-999 Predicted Monthly'!$V$11</f>
        <v>33295.655447823869</v>
      </c>
      <c r="M32" s="18">
        <f>F32*'GS 50-999 Predicted Monthly'!$V$12</f>
        <v>7499809.5887433514</v>
      </c>
      <c r="N32" s="18">
        <f>G32*'GS 50-999 Predicted Monthly'!$V$13</f>
        <v>0</v>
      </c>
      <c r="O32" s="18">
        <f>H32*'GS 50-999 Predicted Monthly'!$V$14</f>
        <v>5490348.1675551608</v>
      </c>
      <c r="P32" s="18">
        <f>I32*'GS 50-999 Predicted Monthly'!$V$15</f>
        <v>23929784.569177721</v>
      </c>
      <c r="Q32" s="18">
        <f t="shared" si="4"/>
        <v>27626800.182160147</v>
      </c>
      <c r="R32" s="18">
        <f t="shared" si="2"/>
        <v>-3842747.2603429668</v>
      </c>
      <c r="S32" s="279">
        <f t="shared" si="3"/>
        <v>0.12211002612490418</v>
      </c>
    </row>
    <row r="33" spans="1:19" x14ac:dyDescent="0.25">
      <c r="A33" s="3">
        <f>'Monthly Data'!A33</f>
        <v>42948</v>
      </c>
      <c r="B33" s="1">
        <f t="shared" si="0"/>
        <v>2017</v>
      </c>
      <c r="C33" s="1">
        <f t="shared" si="1"/>
        <v>8</v>
      </c>
      <c r="D33" s="24">
        <f>'Monthly Data'!N33</f>
        <v>27041145.811984874</v>
      </c>
      <c r="E33" s="278">
        <f>'Monthly Data'!BB33</f>
        <v>17.950000000000006</v>
      </c>
      <c r="F33" s="278">
        <f>'Monthly Data'!BI33</f>
        <v>217.42409420289852</v>
      </c>
      <c r="G33" s="278">
        <f>'Monthly Data'!CG33</f>
        <v>0</v>
      </c>
      <c r="H33" s="18">
        <f>'Monthly Data'!AL33</f>
        <v>765060</v>
      </c>
      <c r="I33" s="18">
        <f>'Monthly Data'!CD33</f>
        <v>31</v>
      </c>
      <c r="K33" s="18">
        <f>'GS 50-999 Predicted Monthly'!$V$10</f>
        <v>-9326437.7987639103</v>
      </c>
      <c r="L33" s="18">
        <f>E33*'GS 50-999 Predicted Monthly'!$V$11</f>
        <v>331264.8583584872</v>
      </c>
      <c r="M33" s="18">
        <f>F33*'GS 50-999 Predicted Monthly'!$V$12</f>
        <v>6267671.9020886738</v>
      </c>
      <c r="N33" s="18">
        <f>G33*'GS 50-999 Predicted Monthly'!$V$13</f>
        <v>0</v>
      </c>
      <c r="O33" s="18">
        <f>H33*'GS 50-999 Predicted Monthly'!$V$14</f>
        <v>5490348.1675551608</v>
      </c>
      <c r="P33" s="18">
        <f>I33*'GS 50-999 Predicted Monthly'!$V$15</f>
        <v>23929784.569177721</v>
      </c>
      <c r="Q33" s="18">
        <f t="shared" si="4"/>
        <v>26692631.698416132</v>
      </c>
      <c r="R33" s="18">
        <f t="shared" si="2"/>
        <v>-348514.11356874183</v>
      </c>
      <c r="S33" s="279">
        <f t="shared" si="3"/>
        <v>1.288828942353017E-2</v>
      </c>
    </row>
    <row r="34" spans="1:19" x14ac:dyDescent="0.25">
      <c r="A34" s="3">
        <f>'Monthly Data'!A34</f>
        <v>42979</v>
      </c>
      <c r="B34" s="1">
        <f t="shared" si="0"/>
        <v>2017</v>
      </c>
      <c r="C34" s="1">
        <f t="shared" si="1"/>
        <v>9</v>
      </c>
      <c r="D34" s="24">
        <f>'Monthly Data'!N34</f>
        <v>27701627.05622584</v>
      </c>
      <c r="E34" s="278">
        <f>'Monthly Data'!BB34</f>
        <v>65.699999999999989</v>
      </c>
      <c r="F34" s="278">
        <f>'Monthly Data'!BI34</f>
        <v>161.3125</v>
      </c>
      <c r="G34" s="278">
        <f>'Monthly Data'!CG34</f>
        <v>0</v>
      </c>
      <c r="H34" s="18">
        <f>'Monthly Data'!AL34</f>
        <v>765060</v>
      </c>
      <c r="I34" s="18">
        <f>'Monthly Data'!CD34</f>
        <v>30</v>
      </c>
      <c r="K34" s="18">
        <f>'GS 50-999 Predicted Monthly'!$V$10</f>
        <v>-9326437.7987639103</v>
      </c>
      <c r="L34" s="18">
        <f>E34*'GS 50-999 Predicted Monthly'!$V$11</f>
        <v>1212484.7461923452</v>
      </c>
      <c r="M34" s="18">
        <f>F34*'GS 50-999 Predicted Monthly'!$V$12</f>
        <v>4650146.1919954987</v>
      </c>
      <c r="N34" s="18">
        <f>G34*'GS 50-999 Predicted Monthly'!$V$13</f>
        <v>0</v>
      </c>
      <c r="O34" s="18">
        <f>H34*'GS 50-999 Predicted Monthly'!$V$14</f>
        <v>5490348.1675551608</v>
      </c>
      <c r="P34" s="18">
        <f>I34*'GS 50-999 Predicted Monthly'!$V$15</f>
        <v>23157856.034688119</v>
      </c>
      <c r="Q34" s="18">
        <f t="shared" si="4"/>
        <v>25184397.341667213</v>
      </c>
      <c r="R34" s="18">
        <f t="shared" ref="R34:R65" si="5">Q34-D34</f>
        <v>-2517229.7145586275</v>
      </c>
      <c r="S34" s="279">
        <f t="shared" ref="S34:S65" si="6">ABS(R34/D34)</f>
        <v>9.0869381406710165E-2</v>
      </c>
    </row>
    <row r="35" spans="1:19" x14ac:dyDescent="0.25">
      <c r="A35" s="3">
        <f>'Monthly Data'!A35</f>
        <v>43009</v>
      </c>
      <c r="B35" s="1">
        <f t="shared" si="0"/>
        <v>2017</v>
      </c>
      <c r="C35" s="1">
        <f t="shared" si="1"/>
        <v>10</v>
      </c>
      <c r="D35" s="24">
        <f>'Monthly Data'!N35</f>
        <v>28543126.735597521</v>
      </c>
      <c r="E35" s="278">
        <f>'Monthly Data'!BB35</f>
        <v>179.70833333333334</v>
      </c>
      <c r="F35" s="278">
        <f>'Monthly Data'!BI35</f>
        <v>59.400000000000006</v>
      </c>
      <c r="G35" s="278">
        <f>'Monthly Data'!CG35</f>
        <v>0</v>
      </c>
      <c r="H35" s="18">
        <f>'Monthly Data'!AL35</f>
        <v>771453</v>
      </c>
      <c r="I35" s="18">
        <f>'Monthly Data'!CD35</f>
        <v>31</v>
      </c>
      <c r="K35" s="18">
        <f>'GS 50-999 Predicted Monthly'!$V$10</f>
        <v>-9326437.7987639103</v>
      </c>
      <c r="L35" s="18">
        <f>E35*'GS 50-999 Predicted Monthly'!$V$11</f>
        <v>3316493.3474933957</v>
      </c>
      <c r="M35" s="18">
        <f>F35*'GS 50-999 Predicted Monthly'!$V$12</f>
        <v>1712320.3955337165</v>
      </c>
      <c r="N35" s="18">
        <f>G35*'GS 50-999 Predicted Monthly'!$V$13</f>
        <v>0</v>
      </c>
      <c r="O35" s="18">
        <f>H35*'GS 50-999 Predicted Monthly'!$V$14</f>
        <v>5536226.6553014554</v>
      </c>
      <c r="P35" s="18">
        <f>I35*'GS 50-999 Predicted Monthly'!$V$15</f>
        <v>23929784.569177721</v>
      </c>
      <c r="Q35" s="18">
        <f t="shared" si="4"/>
        <v>25168387.168742377</v>
      </c>
      <c r="R35" s="18">
        <f t="shared" si="5"/>
        <v>-3374739.5668551438</v>
      </c>
      <c r="S35" s="279">
        <f t="shared" si="6"/>
        <v>0.11823300222558807</v>
      </c>
    </row>
    <row r="36" spans="1:19" x14ac:dyDescent="0.25">
      <c r="A36" s="3">
        <f>'Monthly Data'!A36</f>
        <v>43040</v>
      </c>
      <c r="B36" s="1">
        <f t="shared" si="0"/>
        <v>2017</v>
      </c>
      <c r="C36" s="1">
        <f t="shared" si="1"/>
        <v>11</v>
      </c>
      <c r="D36" s="24">
        <f>'Monthly Data'!N36</f>
        <v>28958644.867446724</v>
      </c>
      <c r="E36" s="278">
        <f>'Monthly Data'!BB36</f>
        <v>442.61174242424244</v>
      </c>
      <c r="F36" s="278">
        <f>'Monthly Data'!BI36</f>
        <v>0</v>
      </c>
      <c r="G36" s="278">
        <f>'Monthly Data'!CG36</f>
        <v>0</v>
      </c>
      <c r="H36" s="18">
        <f>'Monthly Data'!AL36</f>
        <v>771453</v>
      </c>
      <c r="I36" s="18">
        <f>'Monthly Data'!CD36</f>
        <v>30</v>
      </c>
      <c r="K36" s="18">
        <f>'GS 50-999 Predicted Monthly'!$V$10</f>
        <v>-9326437.7987639103</v>
      </c>
      <c r="L36" s="18">
        <f>E36*'GS 50-999 Predicted Monthly'!$V$11</f>
        <v>8168340.7332573719</v>
      </c>
      <c r="M36" s="18">
        <f>F36*'GS 50-999 Predicted Monthly'!$V$12</f>
        <v>0</v>
      </c>
      <c r="N36" s="18">
        <f>G36*'GS 50-999 Predicted Monthly'!$V$13</f>
        <v>0</v>
      </c>
      <c r="O36" s="18">
        <f>H36*'GS 50-999 Predicted Monthly'!$V$14</f>
        <v>5536226.6553014554</v>
      </c>
      <c r="P36" s="18">
        <f>I36*'GS 50-999 Predicted Monthly'!$V$15</f>
        <v>23157856.034688119</v>
      </c>
      <c r="Q36" s="18">
        <f t="shared" si="4"/>
        <v>27535985.624483034</v>
      </c>
      <c r="R36" s="18">
        <f t="shared" si="5"/>
        <v>-1422659.2429636903</v>
      </c>
      <c r="S36" s="279">
        <f t="shared" si="6"/>
        <v>4.9127272684052418E-2</v>
      </c>
    </row>
    <row r="37" spans="1:19" x14ac:dyDescent="0.25">
      <c r="A37" s="3">
        <f>'Monthly Data'!A37</f>
        <v>43070</v>
      </c>
      <c r="B37" s="1">
        <f t="shared" si="0"/>
        <v>2017</v>
      </c>
      <c r="C37" s="1">
        <f t="shared" si="1"/>
        <v>12</v>
      </c>
      <c r="D37" s="24">
        <f>'Monthly Data'!N37</f>
        <v>32603693.979294565</v>
      </c>
      <c r="E37" s="278">
        <f>'Monthly Data'!BB37</f>
        <v>736.31250000000011</v>
      </c>
      <c r="F37" s="278">
        <f>'Monthly Data'!BI37</f>
        <v>0</v>
      </c>
      <c r="G37" s="278">
        <f>'Monthly Data'!CG37</f>
        <v>0</v>
      </c>
      <c r="H37" s="18">
        <f>'Monthly Data'!AL37</f>
        <v>771453</v>
      </c>
      <c r="I37" s="18">
        <f>'Monthly Data'!CD37</f>
        <v>31</v>
      </c>
      <c r="K37" s="18">
        <f>'GS 50-999 Predicted Monthly'!$V$10</f>
        <v>-9326437.7987639103</v>
      </c>
      <c r="L37" s="18">
        <f>E37*'GS 50-999 Predicted Monthly'!$V$11</f>
        <v>13588549.081898805</v>
      </c>
      <c r="M37" s="18">
        <f>F37*'GS 50-999 Predicted Monthly'!$V$12</f>
        <v>0</v>
      </c>
      <c r="N37" s="18">
        <f>G37*'GS 50-999 Predicted Monthly'!$V$13</f>
        <v>0</v>
      </c>
      <c r="O37" s="18">
        <f>H37*'GS 50-999 Predicted Monthly'!$V$14</f>
        <v>5536226.6553014554</v>
      </c>
      <c r="P37" s="18">
        <f>I37*'GS 50-999 Predicted Monthly'!$V$15</f>
        <v>23929784.569177721</v>
      </c>
      <c r="Q37" s="18">
        <f t="shared" si="4"/>
        <v>33728122.507614069</v>
      </c>
      <c r="R37" s="18">
        <f t="shared" si="5"/>
        <v>1124428.5283195041</v>
      </c>
      <c r="S37" s="279">
        <f t="shared" si="6"/>
        <v>3.4487764761673582E-2</v>
      </c>
    </row>
    <row r="38" spans="1:19" x14ac:dyDescent="0.25">
      <c r="A38" s="3">
        <f>'Monthly Data'!A38</f>
        <v>43101</v>
      </c>
      <c r="B38" s="1">
        <f t="shared" si="0"/>
        <v>2018</v>
      </c>
      <c r="C38" s="1">
        <f t="shared" si="1"/>
        <v>1</v>
      </c>
      <c r="D38" s="24">
        <f>'Monthly Data'!N38</f>
        <v>33872703.090109438</v>
      </c>
      <c r="E38" s="278">
        <f>'Monthly Data'!BB38</f>
        <v>750.53750000000002</v>
      </c>
      <c r="F38" s="278">
        <f>'Monthly Data'!BI38</f>
        <v>0</v>
      </c>
      <c r="G38" s="278">
        <f>'Monthly Data'!CG38</f>
        <v>0</v>
      </c>
      <c r="H38" s="18">
        <f>'Monthly Data'!AL38</f>
        <v>779459</v>
      </c>
      <c r="I38" s="18">
        <f>'Monthly Data'!CD38</f>
        <v>31</v>
      </c>
      <c r="K38" s="18">
        <f>'GS 50-999 Predicted Monthly'!$V$10</f>
        <v>-9326437.7987639103</v>
      </c>
      <c r="L38" s="18">
        <f>E38*'GS 50-999 Predicted Monthly'!$V$11</f>
        <v>13851069.561572868</v>
      </c>
      <c r="M38" s="18">
        <f>F38*'GS 50-999 Predicted Monthly'!$V$12</f>
        <v>0</v>
      </c>
      <c r="N38" s="18">
        <f>G38*'GS 50-999 Predicted Monthly'!$V$13</f>
        <v>0</v>
      </c>
      <c r="O38" s="18">
        <f>H38*'GS 50-999 Predicted Monthly'!$V$14</f>
        <v>5593680.6163364677</v>
      </c>
      <c r="P38" s="18">
        <f>I38*'GS 50-999 Predicted Monthly'!$V$15</f>
        <v>23929784.569177721</v>
      </c>
      <c r="Q38" s="18">
        <f t="shared" si="4"/>
        <v>34048096.948323146</v>
      </c>
      <c r="R38" s="18">
        <f t="shared" si="5"/>
        <v>175393.8582137078</v>
      </c>
      <c r="S38" s="279">
        <f t="shared" si="6"/>
        <v>5.1780295699200172E-3</v>
      </c>
    </row>
    <row r="39" spans="1:19" x14ac:dyDescent="0.25">
      <c r="A39" s="3">
        <f>'Monthly Data'!A39</f>
        <v>43132</v>
      </c>
      <c r="B39" s="1">
        <f t="shared" si="0"/>
        <v>2018</v>
      </c>
      <c r="C39" s="1">
        <f t="shared" si="1"/>
        <v>2</v>
      </c>
      <c r="D39" s="24">
        <f>'Monthly Data'!N39</f>
        <v>27039739.170188677</v>
      </c>
      <c r="E39" s="278">
        <f>'Monthly Data'!BB39</f>
        <v>576.49583333333317</v>
      </c>
      <c r="F39" s="278">
        <f>'Monthly Data'!BI39</f>
        <v>0</v>
      </c>
      <c r="G39" s="278">
        <f>'Monthly Data'!CG39</f>
        <v>0</v>
      </c>
      <c r="H39" s="18">
        <f>'Monthly Data'!AL39</f>
        <v>779459</v>
      </c>
      <c r="I39" s="18">
        <f>'Monthly Data'!CD39</f>
        <v>28</v>
      </c>
      <c r="K39" s="18">
        <f>'GS 50-999 Predicted Monthly'!$V$10</f>
        <v>-9326437.7987639103</v>
      </c>
      <c r="L39" s="18">
        <f>E39*'GS 50-999 Predicted Monthly'!$V$11</f>
        <v>10639153.792391341</v>
      </c>
      <c r="M39" s="18">
        <f>F39*'GS 50-999 Predicted Monthly'!$V$12</f>
        <v>0</v>
      </c>
      <c r="N39" s="18">
        <f>G39*'GS 50-999 Predicted Monthly'!$V$13</f>
        <v>0</v>
      </c>
      <c r="O39" s="18">
        <f>H39*'GS 50-999 Predicted Monthly'!$V$14</f>
        <v>5593680.6163364677</v>
      </c>
      <c r="P39" s="18">
        <f>I39*'GS 50-999 Predicted Monthly'!$V$15</f>
        <v>21613998.965708911</v>
      </c>
      <c r="Q39" s="18">
        <f t="shared" si="4"/>
        <v>28520395.575672809</v>
      </c>
      <c r="R39" s="18">
        <f t="shared" si="5"/>
        <v>1480656.4054841325</v>
      </c>
      <c r="S39" s="279">
        <f t="shared" si="6"/>
        <v>5.4758531366181105E-2</v>
      </c>
    </row>
    <row r="40" spans="1:19" x14ac:dyDescent="0.25">
      <c r="A40" s="3">
        <f>'Monthly Data'!A40</f>
        <v>43160</v>
      </c>
      <c r="B40" s="1">
        <f t="shared" si="0"/>
        <v>2018</v>
      </c>
      <c r="C40" s="1">
        <f t="shared" si="1"/>
        <v>3</v>
      </c>
      <c r="D40" s="24">
        <f>'Monthly Data'!N40</f>
        <v>28989337.312387191</v>
      </c>
      <c r="E40" s="278">
        <f>'Monthly Data'!BB40</f>
        <v>567.2791666666667</v>
      </c>
      <c r="F40" s="278">
        <f>'Monthly Data'!BI40</f>
        <v>0</v>
      </c>
      <c r="G40" s="278">
        <f>'Monthly Data'!CG40</f>
        <v>0</v>
      </c>
      <c r="H40" s="18">
        <f>'Monthly Data'!AL40</f>
        <v>779459</v>
      </c>
      <c r="I40" s="18">
        <f>'Monthly Data'!CD40</f>
        <v>31</v>
      </c>
      <c r="K40" s="18">
        <f>'GS 50-999 Predicted Monthly'!$V$10</f>
        <v>-9326437.7987639103</v>
      </c>
      <c r="L40" s="18">
        <f>E40*'GS 50-999 Predicted Monthly'!$V$11</f>
        <v>10469061.437078213</v>
      </c>
      <c r="M40" s="18">
        <f>F40*'GS 50-999 Predicted Monthly'!$V$12</f>
        <v>0</v>
      </c>
      <c r="N40" s="18">
        <f>G40*'GS 50-999 Predicted Monthly'!$V$13</f>
        <v>0</v>
      </c>
      <c r="O40" s="18">
        <f>H40*'GS 50-999 Predicted Monthly'!$V$14</f>
        <v>5593680.6163364677</v>
      </c>
      <c r="P40" s="18">
        <f>I40*'GS 50-999 Predicted Monthly'!$V$15</f>
        <v>23929784.569177721</v>
      </c>
      <c r="Q40" s="18">
        <f t="shared" si="4"/>
        <v>30666088.823828492</v>
      </c>
      <c r="R40" s="18">
        <f t="shared" si="5"/>
        <v>1676751.5114413016</v>
      </c>
      <c r="S40" s="279">
        <f t="shared" si="6"/>
        <v>5.7840284287037594E-2</v>
      </c>
    </row>
    <row r="41" spans="1:19" x14ac:dyDescent="0.25">
      <c r="A41" s="3">
        <f>'Monthly Data'!A41</f>
        <v>43191</v>
      </c>
      <c r="B41" s="1">
        <f t="shared" si="0"/>
        <v>2018</v>
      </c>
      <c r="C41" s="1">
        <f t="shared" si="1"/>
        <v>4</v>
      </c>
      <c r="D41" s="24">
        <f>'Monthly Data'!N41</f>
        <v>27292635.35976962</v>
      </c>
      <c r="E41" s="278">
        <f>'Monthly Data'!BB41</f>
        <v>452.51666666666677</v>
      </c>
      <c r="F41" s="278">
        <f>'Monthly Data'!BI41</f>
        <v>0</v>
      </c>
      <c r="G41" s="278">
        <f>'Monthly Data'!CG41</f>
        <v>0</v>
      </c>
      <c r="H41" s="18">
        <f>'Monthly Data'!AL41</f>
        <v>784896</v>
      </c>
      <c r="I41" s="18">
        <f>'Monthly Data'!CD41</f>
        <v>30</v>
      </c>
      <c r="K41" s="18">
        <f>'GS 50-999 Predicted Monthly'!$V$10</f>
        <v>-9326437.7987639103</v>
      </c>
      <c r="L41" s="18">
        <f>E41*'GS 50-999 Predicted Monthly'!$V$11</f>
        <v>8351134.790428305</v>
      </c>
      <c r="M41" s="18">
        <f>F41*'GS 50-999 Predicted Monthly'!$V$12</f>
        <v>0</v>
      </c>
      <c r="N41" s="18">
        <f>G41*'GS 50-999 Predicted Monthly'!$V$13</f>
        <v>0</v>
      </c>
      <c r="O41" s="18">
        <f>H41*'GS 50-999 Predicted Monthly'!$V$14</f>
        <v>5632698.5011912473</v>
      </c>
      <c r="P41" s="18">
        <f>I41*'GS 50-999 Predicted Monthly'!$V$15</f>
        <v>23157856.034688119</v>
      </c>
      <c r="Q41" s="18">
        <f t="shared" si="4"/>
        <v>27815251.527543761</v>
      </c>
      <c r="R41" s="18">
        <f t="shared" si="5"/>
        <v>522616.16777414083</v>
      </c>
      <c r="S41" s="279">
        <f t="shared" si="6"/>
        <v>1.9148615034240955E-2</v>
      </c>
    </row>
    <row r="42" spans="1:19" x14ac:dyDescent="0.25">
      <c r="A42" s="3">
        <f>'Monthly Data'!A42</f>
        <v>43221</v>
      </c>
      <c r="B42" s="1">
        <f t="shared" si="0"/>
        <v>2018</v>
      </c>
      <c r="C42" s="1">
        <f t="shared" si="1"/>
        <v>5</v>
      </c>
      <c r="D42" s="24">
        <f>'Monthly Data'!N42</f>
        <v>23108874.049163755</v>
      </c>
      <c r="E42" s="278">
        <f>'Monthly Data'!BB42</f>
        <v>95.407196969696969</v>
      </c>
      <c r="F42" s="278">
        <f>'Monthly Data'!BI42</f>
        <v>127.46720779220779</v>
      </c>
      <c r="G42" s="278">
        <f>'Monthly Data'!CG42</f>
        <v>0</v>
      </c>
      <c r="H42" s="18">
        <f>'Monthly Data'!AL42</f>
        <v>784896</v>
      </c>
      <c r="I42" s="18">
        <f>'Monthly Data'!CD42</f>
        <v>31</v>
      </c>
      <c r="K42" s="18">
        <f>'GS 50-999 Predicted Monthly'!$V$10</f>
        <v>-9326437.7987639103</v>
      </c>
      <c r="L42" s="18">
        <f>E42*'GS 50-999 Predicted Monthly'!$V$11</f>
        <v>1760727.1081084649</v>
      </c>
      <c r="M42" s="18">
        <f>F42*'GS 50-999 Predicted Monthly'!$V$12</f>
        <v>3674489.8933389168</v>
      </c>
      <c r="N42" s="18">
        <f>G42*'GS 50-999 Predicted Monthly'!$V$13</f>
        <v>0</v>
      </c>
      <c r="O42" s="18">
        <f>H42*'GS 50-999 Predicted Monthly'!$V$14</f>
        <v>5632698.5011912473</v>
      </c>
      <c r="P42" s="18">
        <f>I42*'GS 50-999 Predicted Monthly'!$V$15</f>
        <v>23929784.569177721</v>
      </c>
      <c r="Q42" s="18">
        <f t="shared" si="4"/>
        <v>25671262.273052439</v>
      </c>
      <c r="R42" s="18">
        <f t="shared" si="5"/>
        <v>2562388.2238886841</v>
      </c>
      <c r="S42" s="279">
        <f t="shared" si="6"/>
        <v>0.11088330043416415</v>
      </c>
    </row>
    <row r="43" spans="1:19" x14ac:dyDescent="0.25">
      <c r="A43" s="3">
        <f>'Monthly Data'!A43</f>
        <v>43252</v>
      </c>
      <c r="B43" s="1">
        <f t="shared" si="0"/>
        <v>2018</v>
      </c>
      <c r="C43" s="1">
        <f t="shared" si="1"/>
        <v>6</v>
      </c>
      <c r="D43" s="24">
        <f>'Monthly Data'!N43</f>
        <v>26998818.891324371</v>
      </c>
      <c r="E43" s="278">
        <f>'Monthly Data'!BB43</f>
        <v>23.060227272727261</v>
      </c>
      <c r="F43" s="278">
        <f>'Monthly Data'!BI43</f>
        <v>198.19393939393944</v>
      </c>
      <c r="G43" s="278">
        <f>'Monthly Data'!CG43</f>
        <v>0</v>
      </c>
      <c r="H43" s="18">
        <f>'Monthly Data'!AL43</f>
        <v>784896</v>
      </c>
      <c r="I43" s="18">
        <f>'Monthly Data'!CD43</f>
        <v>30</v>
      </c>
      <c r="K43" s="18">
        <f>'GS 50-999 Predicted Monthly'!$V$10</f>
        <v>-9326437.7987639103</v>
      </c>
      <c r="L43" s="18">
        <f>E43*'GS 50-999 Predicted Monthly'!$V$11</f>
        <v>425573.42179468059</v>
      </c>
      <c r="M43" s="18">
        <f>F43*'GS 50-999 Predicted Monthly'!$V$12</f>
        <v>5713325.3315726565</v>
      </c>
      <c r="N43" s="18">
        <f>G43*'GS 50-999 Predicted Monthly'!$V$13</f>
        <v>0</v>
      </c>
      <c r="O43" s="18">
        <f>H43*'GS 50-999 Predicted Monthly'!$V$14</f>
        <v>5632698.5011912473</v>
      </c>
      <c r="P43" s="18">
        <f>I43*'GS 50-999 Predicted Monthly'!$V$15</f>
        <v>23157856.034688119</v>
      </c>
      <c r="Q43" s="18">
        <f t="shared" si="4"/>
        <v>25603015.490482792</v>
      </c>
      <c r="R43" s="18">
        <f t="shared" si="5"/>
        <v>-1395803.4008415788</v>
      </c>
      <c r="S43" s="279">
        <f t="shared" si="6"/>
        <v>5.169868380020496E-2</v>
      </c>
    </row>
    <row r="44" spans="1:19" x14ac:dyDescent="0.25">
      <c r="A44" s="3">
        <f>'Monthly Data'!A44</f>
        <v>43282</v>
      </c>
      <c r="B44" s="1">
        <f t="shared" si="0"/>
        <v>2018</v>
      </c>
      <c r="C44" s="1">
        <f t="shared" si="1"/>
        <v>7</v>
      </c>
      <c r="D44" s="24">
        <f>'Monthly Data'!N44</f>
        <v>29341632.11251267</v>
      </c>
      <c r="E44" s="278">
        <f>'Monthly Data'!BB44</f>
        <v>0.19999999999999574</v>
      </c>
      <c r="F44" s="278">
        <f>'Monthly Data'!BI44</f>
        <v>318.39861424807077</v>
      </c>
      <c r="G44" s="278">
        <f>'Monthly Data'!CG44</f>
        <v>0</v>
      </c>
      <c r="H44" s="18">
        <f>'Monthly Data'!AL44</f>
        <v>794140</v>
      </c>
      <c r="I44" s="18">
        <f>'Monthly Data'!CD44</f>
        <v>31</v>
      </c>
      <c r="K44" s="18">
        <f>'GS 50-999 Predicted Monthly'!$V$10</f>
        <v>-9326437.7987639103</v>
      </c>
      <c r="L44" s="18">
        <f>E44*'GS 50-999 Predicted Monthly'!$V$11</f>
        <v>3690.973352183621</v>
      </c>
      <c r="M44" s="18">
        <f>F44*'GS 50-999 Predicted Monthly'!$V$12</f>
        <v>9178458.604152251</v>
      </c>
      <c r="N44" s="18">
        <f>G44*'GS 50-999 Predicted Monthly'!$V$13</f>
        <v>0</v>
      </c>
      <c r="O44" s="18">
        <f>H44*'GS 50-999 Predicted Monthly'!$V$14</f>
        <v>5699036.799443515</v>
      </c>
      <c r="P44" s="18">
        <f>I44*'GS 50-999 Predicted Monthly'!$V$15</f>
        <v>23929784.569177721</v>
      </c>
      <c r="Q44" s="18">
        <f t="shared" si="4"/>
        <v>29484533.147361763</v>
      </c>
      <c r="R44" s="18">
        <f t="shared" si="5"/>
        <v>142901.03484909236</v>
      </c>
      <c r="S44" s="279">
        <f t="shared" si="6"/>
        <v>4.8702483318285679E-3</v>
      </c>
    </row>
    <row r="45" spans="1:19" x14ac:dyDescent="0.25">
      <c r="A45" s="3">
        <f>'Monthly Data'!A45</f>
        <v>43313</v>
      </c>
      <c r="B45" s="1">
        <f t="shared" si="0"/>
        <v>2018</v>
      </c>
      <c r="C45" s="1">
        <f t="shared" si="1"/>
        <v>8</v>
      </c>
      <c r="D45" s="24">
        <f>'Monthly Data'!N45</f>
        <v>26369450.398397464</v>
      </c>
      <c r="E45" s="278">
        <f>'Monthly Data'!BB45</f>
        <v>0.90833333333333144</v>
      </c>
      <c r="F45" s="278">
        <f>'Monthly Data'!BI45</f>
        <v>314.24583333333334</v>
      </c>
      <c r="G45" s="278">
        <f>'Monthly Data'!CG45</f>
        <v>0</v>
      </c>
      <c r="H45" s="18">
        <f>'Monthly Data'!AL45</f>
        <v>794140</v>
      </c>
      <c r="I45" s="18">
        <f>'Monthly Data'!CD45</f>
        <v>31</v>
      </c>
      <c r="K45" s="18">
        <f>'GS 50-999 Predicted Monthly'!$V$10</f>
        <v>-9326437.7987639103</v>
      </c>
      <c r="L45" s="18">
        <f>E45*'GS 50-999 Predicted Monthly'!$V$11</f>
        <v>16763.170641167602</v>
      </c>
      <c r="M45" s="18">
        <f>F45*'GS 50-999 Predicted Monthly'!$V$12</f>
        <v>9058746.6267366279</v>
      </c>
      <c r="N45" s="18">
        <f>G45*'GS 50-999 Predicted Monthly'!$V$13</f>
        <v>0</v>
      </c>
      <c r="O45" s="18">
        <f>H45*'GS 50-999 Predicted Monthly'!$V$14</f>
        <v>5699036.799443515</v>
      </c>
      <c r="P45" s="18">
        <f>I45*'GS 50-999 Predicted Monthly'!$V$15</f>
        <v>23929784.569177721</v>
      </c>
      <c r="Q45" s="18">
        <f t="shared" si="4"/>
        <v>29377893.36723512</v>
      </c>
      <c r="R45" s="18">
        <f t="shared" si="5"/>
        <v>3008442.9688376561</v>
      </c>
      <c r="S45" s="279">
        <f t="shared" si="6"/>
        <v>0.1140881938525532</v>
      </c>
    </row>
    <row r="46" spans="1:19" x14ac:dyDescent="0.25">
      <c r="A46" s="3">
        <f>'Monthly Data'!A46</f>
        <v>43344</v>
      </c>
      <c r="B46" s="1">
        <f t="shared" si="0"/>
        <v>2018</v>
      </c>
      <c r="C46" s="1">
        <f t="shared" si="1"/>
        <v>9</v>
      </c>
      <c r="D46" s="24">
        <f>'Monthly Data'!N46</f>
        <v>25218454.832945697</v>
      </c>
      <c r="E46" s="278">
        <f>'Monthly Data'!BB46</f>
        <v>59.1875</v>
      </c>
      <c r="F46" s="278">
        <f>'Monthly Data'!BI46</f>
        <v>183.48333333333329</v>
      </c>
      <c r="G46" s="278">
        <f>'Monthly Data'!CG46</f>
        <v>0</v>
      </c>
      <c r="H46" s="18">
        <f>'Monthly Data'!AL46</f>
        <v>794140</v>
      </c>
      <c r="I46" s="18">
        <f>'Monthly Data'!CD46</f>
        <v>30</v>
      </c>
      <c r="K46" s="18">
        <f>'GS 50-999 Predicted Monthly'!$V$10</f>
        <v>-9326437.7987639103</v>
      </c>
      <c r="L46" s="18">
        <f>E46*'GS 50-999 Predicted Monthly'!$V$11</f>
        <v>1092297.4264118636</v>
      </c>
      <c r="M46" s="18">
        <f>F46*'GS 50-999 Predicted Monthly'!$V$12</f>
        <v>5289263.5337908752</v>
      </c>
      <c r="N46" s="18">
        <f>G46*'GS 50-999 Predicted Monthly'!$V$13</f>
        <v>0</v>
      </c>
      <c r="O46" s="18">
        <f>H46*'GS 50-999 Predicted Monthly'!$V$14</f>
        <v>5699036.799443515</v>
      </c>
      <c r="P46" s="18">
        <f>I46*'GS 50-999 Predicted Monthly'!$V$15</f>
        <v>23157856.034688119</v>
      </c>
      <c r="Q46" s="18">
        <f t="shared" si="4"/>
        <v>25912015.995570462</v>
      </c>
      <c r="R46" s="18">
        <f t="shared" si="5"/>
        <v>693561.16262476519</v>
      </c>
      <c r="S46" s="279">
        <f t="shared" si="6"/>
        <v>2.7502127597393018E-2</v>
      </c>
    </row>
    <row r="47" spans="1:19" x14ac:dyDescent="0.25">
      <c r="A47" s="3">
        <f>'Monthly Data'!A47</f>
        <v>43374</v>
      </c>
      <c r="B47" s="1">
        <f t="shared" si="0"/>
        <v>2018</v>
      </c>
      <c r="C47" s="1">
        <f t="shared" si="1"/>
        <v>10</v>
      </c>
      <c r="D47" s="24">
        <f>'Monthly Data'!N47</f>
        <v>25367309.651391424</v>
      </c>
      <c r="E47" s="278">
        <f>'Monthly Data'!BB47</f>
        <v>305.10000000000002</v>
      </c>
      <c r="F47" s="278">
        <f>'Monthly Data'!BI47</f>
        <v>25.358333333333334</v>
      </c>
      <c r="G47" s="278">
        <f>'Monthly Data'!CG47</f>
        <v>0</v>
      </c>
      <c r="H47" s="18">
        <f>'Monthly Data'!AL47</f>
        <v>799632</v>
      </c>
      <c r="I47" s="18">
        <f>'Monthly Data'!CD47</f>
        <v>31</v>
      </c>
      <c r="K47" s="18">
        <f>'GS 50-999 Predicted Monthly'!$V$10</f>
        <v>-9326437.7987639103</v>
      </c>
      <c r="L47" s="18">
        <f>E47*'GS 50-999 Predicted Monthly'!$V$11</f>
        <v>5630579.8487562342</v>
      </c>
      <c r="M47" s="18">
        <f>F47*'GS 50-999 Predicted Monthly'!$V$12</f>
        <v>731003.22160621476</v>
      </c>
      <c r="N47" s="18">
        <f>G47*'GS 50-999 Predicted Monthly'!$V$13</f>
        <v>0</v>
      </c>
      <c r="O47" s="18">
        <f>H47*'GS 50-999 Predicted Monthly'!$V$14</f>
        <v>5738449.3842554418</v>
      </c>
      <c r="P47" s="18">
        <f>I47*'GS 50-999 Predicted Monthly'!$V$15</f>
        <v>23929784.569177721</v>
      </c>
      <c r="Q47" s="18">
        <f t="shared" si="4"/>
        <v>26703379.2250317</v>
      </c>
      <c r="R47" s="18">
        <f t="shared" si="5"/>
        <v>1336069.5736402757</v>
      </c>
      <c r="S47" s="279">
        <f t="shared" si="6"/>
        <v>5.2668950393286618E-2</v>
      </c>
    </row>
    <row r="48" spans="1:19" x14ac:dyDescent="0.25">
      <c r="A48" s="3">
        <f>'Monthly Data'!A48</f>
        <v>43405</v>
      </c>
      <c r="B48" s="1">
        <f t="shared" si="0"/>
        <v>2018</v>
      </c>
      <c r="C48" s="1">
        <f t="shared" si="1"/>
        <v>11</v>
      </c>
      <c r="D48" s="24">
        <f>'Monthly Data'!N48</f>
        <v>28453365.92921941</v>
      </c>
      <c r="E48" s="278">
        <f>'Monthly Data'!BB48</f>
        <v>503.52500000000003</v>
      </c>
      <c r="F48" s="278">
        <f>'Monthly Data'!BI48</f>
        <v>0</v>
      </c>
      <c r="G48" s="278">
        <f>'Monthly Data'!CG48</f>
        <v>0</v>
      </c>
      <c r="H48" s="18">
        <f>'Monthly Data'!AL48</f>
        <v>799632</v>
      </c>
      <c r="I48" s="18">
        <f>'Monthly Data'!CD48</f>
        <v>30</v>
      </c>
      <c r="K48" s="18">
        <f>'GS 50-999 Predicted Monthly'!$V$10</f>
        <v>-9326437.7987639103</v>
      </c>
      <c r="L48" s="18">
        <f>E48*'GS 50-999 Predicted Monthly'!$V$11</f>
        <v>9292486.7857914884</v>
      </c>
      <c r="M48" s="18">
        <f>F48*'GS 50-999 Predicted Monthly'!$V$12</f>
        <v>0</v>
      </c>
      <c r="N48" s="18">
        <f>G48*'GS 50-999 Predicted Monthly'!$V$13</f>
        <v>0</v>
      </c>
      <c r="O48" s="18">
        <f>H48*'GS 50-999 Predicted Monthly'!$V$14</f>
        <v>5738449.3842554418</v>
      </c>
      <c r="P48" s="18">
        <f>I48*'GS 50-999 Predicted Monthly'!$V$15</f>
        <v>23157856.034688119</v>
      </c>
      <c r="Q48" s="18">
        <f t="shared" si="4"/>
        <v>28862354.40597114</v>
      </c>
      <c r="R48" s="18">
        <f t="shared" si="5"/>
        <v>408988.47675172985</v>
      </c>
      <c r="S48" s="279">
        <f t="shared" si="6"/>
        <v>1.4373992791191366E-2</v>
      </c>
    </row>
    <row r="49" spans="1:21" x14ac:dyDescent="0.25">
      <c r="A49" s="3">
        <f>'Monthly Data'!A49</f>
        <v>43435</v>
      </c>
      <c r="B49" s="1">
        <f t="shared" si="0"/>
        <v>2018</v>
      </c>
      <c r="C49" s="1">
        <f t="shared" si="1"/>
        <v>12</v>
      </c>
      <c r="D49" s="24">
        <f>'Monthly Data'!N49</f>
        <v>29806855.699458219</v>
      </c>
      <c r="E49" s="278">
        <f>'Monthly Data'!BB49</f>
        <v>584.91666666666663</v>
      </c>
      <c r="F49" s="278">
        <f>'Monthly Data'!BI49</f>
        <v>0</v>
      </c>
      <c r="G49" s="278">
        <f>'Monthly Data'!CG49</f>
        <v>0</v>
      </c>
      <c r="H49" s="18">
        <f>'Monthly Data'!AL49</f>
        <v>799632</v>
      </c>
      <c r="I49" s="18">
        <f>'Monthly Data'!CD49</f>
        <v>31</v>
      </c>
      <c r="K49" s="18">
        <f>'GS 50-999 Predicted Monthly'!$V$10</f>
        <v>-9326437.7987639103</v>
      </c>
      <c r="L49" s="18">
        <f>E49*'GS 50-999 Predicted Monthly'!$V$11</f>
        <v>10794559.149573911</v>
      </c>
      <c r="M49" s="18">
        <f>F49*'GS 50-999 Predicted Monthly'!$V$12</f>
        <v>0</v>
      </c>
      <c r="N49" s="18">
        <f>G49*'GS 50-999 Predicted Monthly'!$V$13</f>
        <v>0</v>
      </c>
      <c r="O49" s="18">
        <f>H49*'GS 50-999 Predicted Monthly'!$V$14</f>
        <v>5738449.3842554418</v>
      </c>
      <c r="P49" s="18">
        <f>I49*'GS 50-999 Predicted Monthly'!$V$15</f>
        <v>23929784.569177721</v>
      </c>
      <c r="Q49" s="18">
        <f t="shared" si="4"/>
        <v>31136355.304243162</v>
      </c>
      <c r="R49" s="18">
        <f t="shared" si="5"/>
        <v>1329499.6047849432</v>
      </c>
      <c r="S49" s="279">
        <f t="shared" si="6"/>
        <v>4.4603819275345728E-2</v>
      </c>
    </row>
    <row r="50" spans="1:21" x14ac:dyDescent="0.25">
      <c r="A50" s="3">
        <f>'Monthly Data'!A50</f>
        <v>43466</v>
      </c>
      <c r="B50" s="1">
        <f t="shared" si="0"/>
        <v>2019</v>
      </c>
      <c r="C50" s="1">
        <f t="shared" si="1"/>
        <v>1</v>
      </c>
      <c r="D50" s="24">
        <f>'Monthly Data'!N50</f>
        <v>34592789.583499245</v>
      </c>
      <c r="E50" s="278">
        <f>'Monthly Data'!BB50</f>
        <v>779.93333333333351</v>
      </c>
      <c r="F50" s="278">
        <f>'Monthly Data'!BI50</f>
        <v>0</v>
      </c>
      <c r="G50" s="278">
        <f>'Monthly Data'!CG50</f>
        <v>0</v>
      </c>
      <c r="H50" s="18">
        <f>'Monthly Data'!AL50</f>
        <v>800724</v>
      </c>
      <c r="I50" s="18">
        <f>'Monthly Data'!CD50</f>
        <v>31</v>
      </c>
      <c r="K50" s="18">
        <f>'GS 50-999 Predicted Monthly'!$V$10</f>
        <v>-9326437.7987639103</v>
      </c>
      <c r="L50" s="18">
        <f>E50*'GS 50-999 Predicted Monthly'!$V$11</f>
        <v>14393565.749065705</v>
      </c>
      <c r="M50" s="18">
        <f>F50*'GS 50-999 Predicted Monthly'!$V$12</f>
        <v>0</v>
      </c>
      <c r="N50" s="18">
        <f>G50*'GS 50-999 Predicted Monthly'!$V$13</f>
        <v>0</v>
      </c>
      <c r="O50" s="18">
        <f>H50*'GS 50-999 Predicted Monthly'!$V$14</f>
        <v>5746285.972495541</v>
      </c>
      <c r="P50" s="18">
        <f>I50*'GS 50-999 Predicted Monthly'!$V$15</f>
        <v>23929784.569177721</v>
      </c>
      <c r="Q50" s="18">
        <f t="shared" si="4"/>
        <v>34743198.491975054</v>
      </c>
      <c r="R50" s="18">
        <f t="shared" si="5"/>
        <v>150408.9084758088</v>
      </c>
      <c r="S50" s="279">
        <f t="shared" si="6"/>
        <v>4.3479843715048009E-3</v>
      </c>
    </row>
    <row r="51" spans="1:21" x14ac:dyDescent="0.25">
      <c r="A51" s="3">
        <f>'Monthly Data'!A51</f>
        <v>43497</v>
      </c>
      <c r="B51" s="1">
        <f t="shared" si="0"/>
        <v>2019</v>
      </c>
      <c r="C51" s="1">
        <f t="shared" si="1"/>
        <v>2</v>
      </c>
      <c r="D51" s="24">
        <f>'Monthly Data'!N51</f>
        <v>30102232.581914391</v>
      </c>
      <c r="E51" s="278">
        <f>'Monthly Data'!BB51</f>
        <v>639.30416666666645</v>
      </c>
      <c r="F51" s="278">
        <f>'Monthly Data'!BI51</f>
        <v>0</v>
      </c>
      <c r="G51" s="278">
        <f>'Monthly Data'!CG51</f>
        <v>0</v>
      </c>
      <c r="H51" s="18">
        <f>'Monthly Data'!AL51</f>
        <v>800724</v>
      </c>
      <c r="I51" s="18">
        <f>'Monthly Data'!CD51</f>
        <v>28</v>
      </c>
      <c r="K51" s="18">
        <f>'GS 50-999 Predicted Monthly'!$V$10</f>
        <v>-9326437.7987639103</v>
      </c>
      <c r="L51" s="18">
        <f>E51*'GS 50-999 Predicted Monthly'!$V$11</f>
        <v>11798273.215533363</v>
      </c>
      <c r="M51" s="18">
        <f>F51*'GS 50-999 Predicted Monthly'!$V$12</f>
        <v>0</v>
      </c>
      <c r="N51" s="18">
        <f>G51*'GS 50-999 Predicted Monthly'!$V$13</f>
        <v>0</v>
      </c>
      <c r="O51" s="18">
        <f>H51*'GS 50-999 Predicted Monthly'!$V$14</f>
        <v>5746285.972495541</v>
      </c>
      <c r="P51" s="18">
        <f>I51*'GS 50-999 Predicted Monthly'!$V$15</f>
        <v>21613998.965708911</v>
      </c>
      <c r="Q51" s="18">
        <f t="shared" si="4"/>
        <v>29832120.354973905</v>
      </c>
      <c r="R51" s="18">
        <f t="shared" si="5"/>
        <v>-270112.22694048658</v>
      </c>
      <c r="S51" s="279">
        <f t="shared" si="6"/>
        <v>8.9731625787374883E-3</v>
      </c>
    </row>
    <row r="52" spans="1:21" x14ac:dyDescent="0.25">
      <c r="A52" s="3">
        <f>'Monthly Data'!A52</f>
        <v>43525</v>
      </c>
      <c r="B52" s="1">
        <f t="shared" si="0"/>
        <v>2019</v>
      </c>
      <c r="C52" s="1">
        <f t="shared" si="1"/>
        <v>3</v>
      </c>
      <c r="D52" s="24">
        <f>'Monthly Data'!N52</f>
        <v>30690466.510151513</v>
      </c>
      <c r="E52" s="278">
        <f>'Monthly Data'!BB52</f>
        <v>611.45833333333337</v>
      </c>
      <c r="F52" s="278">
        <f>'Monthly Data'!BI52</f>
        <v>0</v>
      </c>
      <c r="G52" s="278">
        <f>'Monthly Data'!CG52</f>
        <v>0</v>
      </c>
      <c r="H52" s="18">
        <f>'Monthly Data'!AL52</f>
        <v>800724</v>
      </c>
      <c r="I52" s="18">
        <f>'Monthly Data'!CD52</f>
        <v>31</v>
      </c>
      <c r="K52" s="18">
        <f>'GS 50-999 Predicted Monthly'!$V$10</f>
        <v>-9326437.7987639103</v>
      </c>
      <c r="L52" s="18">
        <f>E52*'GS 50-999 Predicted Monthly'!$V$11</f>
        <v>11284382.071519958</v>
      </c>
      <c r="M52" s="18">
        <f>F52*'GS 50-999 Predicted Monthly'!$V$12</f>
        <v>0</v>
      </c>
      <c r="N52" s="18">
        <f>G52*'GS 50-999 Predicted Monthly'!$V$13</f>
        <v>0</v>
      </c>
      <c r="O52" s="18">
        <f>H52*'GS 50-999 Predicted Monthly'!$V$14</f>
        <v>5746285.972495541</v>
      </c>
      <c r="P52" s="18">
        <f>I52*'GS 50-999 Predicted Monthly'!$V$15</f>
        <v>23929784.569177721</v>
      </c>
      <c r="Q52" s="18">
        <f t="shared" si="4"/>
        <v>31634014.814429309</v>
      </c>
      <c r="R52" s="18">
        <f t="shared" si="5"/>
        <v>943548.3042777963</v>
      </c>
      <c r="S52" s="279">
        <f t="shared" si="6"/>
        <v>3.0744019611617764E-2</v>
      </c>
    </row>
    <row r="53" spans="1:21" x14ac:dyDescent="0.25">
      <c r="A53" s="3">
        <f>'Monthly Data'!A53</f>
        <v>43556</v>
      </c>
      <c r="B53" s="1">
        <f t="shared" si="0"/>
        <v>2019</v>
      </c>
      <c r="C53" s="1">
        <f t="shared" si="1"/>
        <v>4</v>
      </c>
      <c r="D53" s="24">
        <f>'Monthly Data'!N53</f>
        <v>25578026.449102744</v>
      </c>
      <c r="E53" s="278">
        <f>'Monthly Data'!BB53</f>
        <v>366.65416666666664</v>
      </c>
      <c r="F53" s="278">
        <f>'Monthly Data'!BI53</f>
        <v>0.84583333333333144</v>
      </c>
      <c r="G53" s="278">
        <f>'Monthly Data'!CG53</f>
        <v>0</v>
      </c>
      <c r="H53" s="18">
        <f>'Monthly Data'!AL53</f>
        <v>806630</v>
      </c>
      <c r="I53" s="18">
        <f>'Monthly Data'!CD53</f>
        <v>30</v>
      </c>
      <c r="K53" s="18">
        <f>'GS 50-999 Predicted Monthly'!$V$10</f>
        <v>-9326437.7987639103</v>
      </c>
      <c r="L53" s="18">
        <f>E53*'GS 50-999 Predicted Monthly'!$V$11</f>
        <v>6766553.7931689378</v>
      </c>
      <c r="M53" s="18">
        <f>F53*'GS 50-999 Predicted Monthly'!$V$12</f>
        <v>24382.789021699191</v>
      </c>
      <c r="N53" s="18">
        <f>G53*'GS 50-999 Predicted Monthly'!$V$13</f>
        <v>0</v>
      </c>
      <c r="O53" s="18">
        <f>H53*'GS 50-999 Predicted Monthly'!$V$14</f>
        <v>5788669.5715303626</v>
      </c>
      <c r="P53" s="18">
        <f>I53*'GS 50-999 Predicted Monthly'!$V$15</f>
        <v>23157856.034688119</v>
      </c>
      <c r="Q53" s="18">
        <f t="shared" si="4"/>
        <v>26411024.389645208</v>
      </c>
      <c r="R53" s="18">
        <f t="shared" si="5"/>
        <v>832997.94054246321</v>
      </c>
      <c r="S53" s="279">
        <f t="shared" si="6"/>
        <v>3.2566935615616431E-2</v>
      </c>
    </row>
    <row r="54" spans="1:21" x14ac:dyDescent="0.25">
      <c r="A54" s="3">
        <f>'Monthly Data'!A54</f>
        <v>43586</v>
      </c>
      <c r="B54" s="1">
        <f t="shared" si="0"/>
        <v>2019</v>
      </c>
      <c r="C54" s="1">
        <f t="shared" si="1"/>
        <v>5</v>
      </c>
      <c r="D54" s="24">
        <f>'Monthly Data'!N54</f>
        <v>24776294.111912861</v>
      </c>
      <c r="E54" s="278">
        <f>'Monthly Data'!BB54</f>
        <v>205.53464912280697</v>
      </c>
      <c r="F54" s="278">
        <f>'Monthly Data'!BI54</f>
        <v>27.579166666666666</v>
      </c>
      <c r="G54" s="278">
        <f>'Monthly Data'!CG54</f>
        <v>0</v>
      </c>
      <c r="H54" s="18">
        <f>'Monthly Data'!AL54</f>
        <v>806630</v>
      </c>
      <c r="I54" s="18">
        <f>'Monthly Data'!CD54</f>
        <v>31</v>
      </c>
      <c r="K54" s="18">
        <f>'GS 50-999 Predicted Monthly'!$V$10</f>
        <v>-9326437.7987639103</v>
      </c>
      <c r="L54" s="18">
        <f>E54*'GS 50-999 Predicted Monthly'!$V$11</f>
        <v>3793114.564313537</v>
      </c>
      <c r="M54" s="18">
        <f>F54*'GS 50-999 Predicted Monthly'!$V$12</f>
        <v>795023.05682082416</v>
      </c>
      <c r="N54" s="18">
        <f>G54*'GS 50-999 Predicted Monthly'!$V$13</f>
        <v>0</v>
      </c>
      <c r="O54" s="18">
        <f>H54*'GS 50-999 Predicted Monthly'!$V$14</f>
        <v>5788669.5715303626</v>
      </c>
      <c r="P54" s="18">
        <f>I54*'GS 50-999 Predicted Monthly'!$V$15</f>
        <v>23929784.569177721</v>
      </c>
      <c r="Q54" s="18">
        <f t="shared" si="4"/>
        <v>24980153.963078532</v>
      </c>
      <c r="R54" s="18">
        <f t="shared" si="5"/>
        <v>203859.8511656709</v>
      </c>
      <c r="S54" s="279">
        <f t="shared" si="6"/>
        <v>8.2280203102550204E-3</v>
      </c>
    </row>
    <row r="55" spans="1:21" x14ac:dyDescent="0.25">
      <c r="A55" s="3">
        <f>'Monthly Data'!A55</f>
        <v>43617</v>
      </c>
      <c r="B55" s="1">
        <f t="shared" si="0"/>
        <v>2019</v>
      </c>
      <c r="C55" s="1">
        <f t="shared" si="1"/>
        <v>6</v>
      </c>
      <c r="D55" s="24">
        <f>'Monthly Data'!N55</f>
        <v>24832534.618167989</v>
      </c>
      <c r="E55" s="278">
        <f>'Monthly Data'!BB55</f>
        <v>46.120833333333351</v>
      </c>
      <c r="F55" s="278">
        <f>'Monthly Data'!BI55</f>
        <v>173.67083333333326</v>
      </c>
      <c r="G55" s="278">
        <f>'Monthly Data'!CG55</f>
        <v>0</v>
      </c>
      <c r="H55" s="18">
        <f>'Monthly Data'!AL55</f>
        <v>806630</v>
      </c>
      <c r="I55" s="18">
        <f>'Monthly Data'!CD55</f>
        <v>30</v>
      </c>
      <c r="K55" s="18">
        <f>'GS 50-999 Predicted Monthly'!$V$10</f>
        <v>-9326437.7987639103</v>
      </c>
      <c r="L55" s="18">
        <f>E55*'GS 50-999 Predicted Monthly'!$V$11</f>
        <v>851153.83406919567</v>
      </c>
      <c r="M55" s="18">
        <f>F55*'GS 50-999 Predicted Monthly'!$V$12</f>
        <v>5006399.1586869247</v>
      </c>
      <c r="N55" s="18">
        <f>G55*'GS 50-999 Predicted Monthly'!$V$13</f>
        <v>0</v>
      </c>
      <c r="O55" s="18">
        <f>H55*'GS 50-999 Predicted Monthly'!$V$14</f>
        <v>5788669.5715303626</v>
      </c>
      <c r="P55" s="18">
        <f>I55*'GS 50-999 Predicted Monthly'!$V$15</f>
        <v>23157856.034688119</v>
      </c>
      <c r="Q55" s="18">
        <f t="shared" si="4"/>
        <v>25477640.800210692</v>
      </c>
      <c r="R55" s="18">
        <f t="shared" si="5"/>
        <v>645106.18204270303</v>
      </c>
      <c r="S55" s="279">
        <f t="shared" si="6"/>
        <v>2.5978265689025969E-2</v>
      </c>
    </row>
    <row r="56" spans="1:21" x14ac:dyDescent="0.25">
      <c r="A56" s="3">
        <f>'Monthly Data'!A56</f>
        <v>43647</v>
      </c>
      <c r="B56" s="1">
        <f t="shared" si="0"/>
        <v>2019</v>
      </c>
      <c r="C56" s="1">
        <f t="shared" si="1"/>
        <v>7</v>
      </c>
      <c r="D56" s="24">
        <f>'Monthly Data'!N56</f>
        <v>29793419.238445286</v>
      </c>
      <c r="E56" s="278">
        <f>'Monthly Data'!BB56</f>
        <v>0</v>
      </c>
      <c r="F56" s="278">
        <f>'Monthly Data'!BI56</f>
        <v>321.60000000000002</v>
      </c>
      <c r="G56" s="278">
        <f>'Monthly Data'!CG56</f>
        <v>0</v>
      </c>
      <c r="H56" s="18">
        <f>'Monthly Data'!AL56</f>
        <v>810347</v>
      </c>
      <c r="I56" s="18">
        <f>'Monthly Data'!CD56</f>
        <v>31</v>
      </c>
      <c r="K56" s="18">
        <f>'GS 50-999 Predicted Monthly'!$V$10</f>
        <v>-9326437.7987639103</v>
      </c>
      <c r="L56" s="18">
        <f>E56*'GS 50-999 Predicted Monthly'!$V$11</f>
        <v>0</v>
      </c>
      <c r="M56" s="18">
        <f>F56*'GS 50-999 Predicted Monthly'!$V$12</f>
        <v>9270744.767738102</v>
      </c>
      <c r="N56" s="18">
        <f>G56*'GS 50-999 Predicted Monthly'!$V$13</f>
        <v>0</v>
      </c>
      <c r="O56" s="18">
        <f>H56*'GS 50-999 Predicted Monthly'!$V$14</f>
        <v>5815344.1122707007</v>
      </c>
      <c r="P56" s="18">
        <f>I56*'GS 50-999 Predicted Monthly'!$V$15</f>
        <v>23929784.569177721</v>
      </c>
      <c r="Q56" s="18">
        <f t="shared" si="4"/>
        <v>29689435.650422614</v>
      </c>
      <c r="R56" s="18">
        <f t="shared" si="5"/>
        <v>-103983.58802267164</v>
      </c>
      <c r="S56" s="279">
        <f t="shared" si="6"/>
        <v>3.4901528820999411E-3</v>
      </c>
    </row>
    <row r="57" spans="1:21" x14ac:dyDescent="0.25">
      <c r="A57" s="3">
        <f>'Monthly Data'!A57</f>
        <v>43678</v>
      </c>
      <c r="B57" s="1">
        <f t="shared" si="0"/>
        <v>2019</v>
      </c>
      <c r="C57" s="1">
        <f t="shared" si="1"/>
        <v>8</v>
      </c>
      <c r="D57" s="24">
        <f>'Monthly Data'!N57</f>
        <v>26285773.15454014</v>
      </c>
      <c r="E57" s="278">
        <f>'Monthly Data'!BB57</f>
        <v>4.645833333333325</v>
      </c>
      <c r="F57" s="278">
        <f>'Monthly Data'!BI57</f>
        <v>252.07083333333335</v>
      </c>
      <c r="G57" s="278">
        <f>'Monthly Data'!CG57</f>
        <v>0</v>
      </c>
      <c r="H57" s="18">
        <f>'Monthly Data'!AL57</f>
        <v>810347</v>
      </c>
      <c r="I57" s="18">
        <f>'Monthly Data'!CD57</f>
        <v>31</v>
      </c>
      <c r="K57" s="18">
        <f>'GS 50-999 Predicted Monthly'!$V$10</f>
        <v>-9326437.7987639103</v>
      </c>
      <c r="L57" s="18">
        <f>E57*'GS 50-999 Predicted Monthly'!$V$11</f>
        <v>85738.235160100376</v>
      </c>
      <c r="M57" s="18">
        <f>F57*'GS 50-999 Predicted Monthly'!$V$12</f>
        <v>7266431.4652499473</v>
      </c>
      <c r="N57" s="18">
        <f>G57*'GS 50-999 Predicted Monthly'!$V$13</f>
        <v>0</v>
      </c>
      <c r="O57" s="18">
        <f>H57*'GS 50-999 Predicted Monthly'!$V$14</f>
        <v>5815344.1122707007</v>
      </c>
      <c r="P57" s="18">
        <f>I57*'GS 50-999 Predicted Monthly'!$V$15</f>
        <v>23929784.569177721</v>
      </c>
      <c r="Q57" s="18">
        <f t="shared" si="4"/>
        <v>27770860.58309456</v>
      </c>
      <c r="R57" s="18">
        <f t="shared" si="5"/>
        <v>1485087.4285544194</v>
      </c>
      <c r="S57" s="279">
        <f t="shared" si="6"/>
        <v>5.6497764772725036E-2</v>
      </c>
    </row>
    <row r="58" spans="1:21" x14ac:dyDescent="0.25">
      <c r="A58" s="3">
        <f>'Monthly Data'!A58</f>
        <v>43709</v>
      </c>
      <c r="B58" s="1">
        <f t="shared" si="0"/>
        <v>2019</v>
      </c>
      <c r="C58" s="1">
        <f t="shared" si="1"/>
        <v>9</v>
      </c>
      <c r="D58" s="24">
        <f>'Monthly Data'!N58</f>
        <v>24447792.044599112</v>
      </c>
      <c r="E58" s="278">
        <f>'Monthly Data'!BB58</f>
        <v>62.054166666666653</v>
      </c>
      <c r="F58" s="278">
        <f>'Monthly Data'!BI58</f>
        <v>131.93750000000003</v>
      </c>
      <c r="G58" s="278">
        <f>'Monthly Data'!CG58</f>
        <v>0</v>
      </c>
      <c r="H58" s="18">
        <f>'Monthly Data'!AL58</f>
        <v>810347</v>
      </c>
      <c r="I58" s="18">
        <f>'Monthly Data'!CD58</f>
        <v>30</v>
      </c>
      <c r="K58" s="18">
        <f>'GS 50-999 Predicted Monthly'!$V$10</f>
        <v>-9326437.7987639103</v>
      </c>
      <c r="L58" s="18">
        <f>E58*'GS 50-999 Predicted Monthly'!$V$11</f>
        <v>1145201.3777931631</v>
      </c>
      <c r="M58" s="18">
        <f>F58*'GS 50-999 Predicted Monthly'!$V$12</f>
        <v>3803354.750601511</v>
      </c>
      <c r="N58" s="18">
        <f>G58*'GS 50-999 Predicted Monthly'!$V$13</f>
        <v>0</v>
      </c>
      <c r="O58" s="18">
        <f>H58*'GS 50-999 Predicted Monthly'!$V$14</f>
        <v>5815344.1122707007</v>
      </c>
      <c r="P58" s="18">
        <f>I58*'GS 50-999 Predicted Monthly'!$V$15</f>
        <v>23157856.034688119</v>
      </c>
      <c r="Q58" s="18">
        <f t="shared" si="4"/>
        <v>24595318.476589583</v>
      </c>
      <c r="R58" s="18">
        <f t="shared" si="5"/>
        <v>147526.43199047074</v>
      </c>
      <c r="S58" s="279">
        <f t="shared" si="6"/>
        <v>6.0343458305496169E-3</v>
      </c>
    </row>
    <row r="59" spans="1:21" x14ac:dyDescent="0.25">
      <c r="A59" s="3">
        <f>'Monthly Data'!A59</f>
        <v>43739</v>
      </c>
      <c r="B59" s="1">
        <f t="shared" si="0"/>
        <v>2019</v>
      </c>
      <c r="C59" s="1">
        <f t="shared" si="1"/>
        <v>10</v>
      </c>
      <c r="D59" s="24">
        <f>'Monthly Data'!N59</f>
        <v>24249973.509908725</v>
      </c>
      <c r="E59" s="278">
        <f>'Monthly Data'!BB59</f>
        <v>243.77916666666664</v>
      </c>
      <c r="F59" s="278">
        <f>'Monthly Data'!BI59</f>
        <v>16.670833333333334</v>
      </c>
      <c r="G59" s="278">
        <f>'Monthly Data'!CG59</f>
        <v>0</v>
      </c>
      <c r="H59" s="18">
        <f>'Monthly Data'!AL59</f>
        <v>811397</v>
      </c>
      <c r="I59" s="18">
        <f>'Monthly Data'!CD59</f>
        <v>31</v>
      </c>
      <c r="K59" s="18">
        <f>'GS 50-999 Predicted Monthly'!$V$10</f>
        <v>-9326437.7987639103</v>
      </c>
      <c r="L59" s="18">
        <f>E59*'GS 50-999 Predicted Monthly'!$V$11</f>
        <v>4498912.039921077</v>
      </c>
      <c r="M59" s="18">
        <f>F59*'GS 50-999 Predicted Monthly'!$V$12</f>
        <v>480569.15702373738</v>
      </c>
      <c r="N59" s="18">
        <f>G59*'GS 50-999 Predicted Monthly'!$V$13</f>
        <v>0</v>
      </c>
      <c r="O59" s="18">
        <f>H59*'GS 50-999 Predicted Monthly'!$V$14</f>
        <v>5822879.2932707956</v>
      </c>
      <c r="P59" s="18">
        <f>I59*'GS 50-999 Predicted Monthly'!$V$15</f>
        <v>23929784.569177721</v>
      </c>
      <c r="Q59" s="18">
        <f t="shared" si="4"/>
        <v>25405707.260629419</v>
      </c>
      <c r="R59" s="18">
        <f t="shared" si="5"/>
        <v>1155733.7507206947</v>
      </c>
      <c r="S59" s="279">
        <f t="shared" si="6"/>
        <v>4.7659175802746881E-2</v>
      </c>
    </row>
    <row r="60" spans="1:21" x14ac:dyDescent="0.25">
      <c r="A60" s="3">
        <f>'Monthly Data'!A60</f>
        <v>43770</v>
      </c>
      <c r="B60" s="1">
        <f t="shared" si="0"/>
        <v>2019</v>
      </c>
      <c r="C60" s="1">
        <f t="shared" si="1"/>
        <v>11</v>
      </c>
      <c r="D60" s="24">
        <f>'Monthly Data'!N60</f>
        <v>30825542.226426981</v>
      </c>
      <c r="E60" s="278">
        <f>'Monthly Data'!BB60</f>
        <v>529.72500000000002</v>
      </c>
      <c r="F60" s="278">
        <f>'Monthly Data'!BI60</f>
        <v>0</v>
      </c>
      <c r="G60" s="278">
        <f>'Monthly Data'!CG60</f>
        <v>0</v>
      </c>
      <c r="H60" s="18">
        <f>'Monthly Data'!AL60</f>
        <v>811397</v>
      </c>
      <c r="I60" s="18">
        <f>'Monthly Data'!CD60</f>
        <v>30</v>
      </c>
      <c r="K60" s="18">
        <f>'GS 50-999 Predicted Monthly'!$V$10</f>
        <v>-9326437.7987639103</v>
      </c>
      <c r="L60" s="18">
        <f>E60*'GS 50-999 Predicted Monthly'!$V$11</f>
        <v>9776004.2949275523</v>
      </c>
      <c r="M60" s="18">
        <f>F60*'GS 50-999 Predicted Monthly'!$V$12</f>
        <v>0</v>
      </c>
      <c r="N60" s="18">
        <f>G60*'GS 50-999 Predicted Monthly'!$V$13</f>
        <v>0</v>
      </c>
      <c r="O60" s="18">
        <f>H60*'GS 50-999 Predicted Monthly'!$V$14</f>
        <v>5822879.2932707956</v>
      </c>
      <c r="P60" s="18">
        <f>I60*'GS 50-999 Predicted Monthly'!$V$15</f>
        <v>23157856.034688119</v>
      </c>
      <c r="Q60" s="18">
        <f t="shared" si="4"/>
        <v>29430301.824122556</v>
      </c>
      <c r="R60" s="18">
        <f t="shared" si="5"/>
        <v>-1395240.4023044258</v>
      </c>
      <c r="S60" s="279">
        <f t="shared" si="6"/>
        <v>4.5262477203345843E-2</v>
      </c>
    </row>
    <row r="61" spans="1:21" x14ac:dyDescent="0.25">
      <c r="A61" s="3">
        <f>'Monthly Data'!A61</f>
        <v>43800</v>
      </c>
      <c r="B61" s="1">
        <f t="shared" si="0"/>
        <v>2019</v>
      </c>
      <c r="C61" s="1">
        <f t="shared" si="1"/>
        <v>12</v>
      </c>
      <c r="D61" s="24">
        <f>'Monthly Data'!N61</f>
        <v>30515644.19160156</v>
      </c>
      <c r="E61" s="278">
        <f>'Monthly Data'!BB61</f>
        <v>614.42916666666667</v>
      </c>
      <c r="F61" s="278">
        <f>'Monthly Data'!BI61</f>
        <v>0</v>
      </c>
      <c r="G61" s="278">
        <f>'Monthly Data'!CG61</f>
        <v>0</v>
      </c>
      <c r="H61" s="18">
        <f>'Monthly Data'!AL61</f>
        <v>811397</v>
      </c>
      <c r="I61" s="18">
        <f>'Monthly Data'!CD61</f>
        <v>31</v>
      </c>
      <c r="K61" s="18">
        <f>'GS 50-999 Predicted Monthly'!$V$10</f>
        <v>-9326437.7987639103</v>
      </c>
      <c r="L61" s="18">
        <f>E61*'GS 50-999 Predicted Monthly'!$V$11</f>
        <v>11339208.40485552</v>
      </c>
      <c r="M61" s="18">
        <f>F61*'GS 50-999 Predicted Monthly'!$V$12</f>
        <v>0</v>
      </c>
      <c r="N61" s="18">
        <f>G61*'GS 50-999 Predicted Monthly'!$V$13</f>
        <v>0</v>
      </c>
      <c r="O61" s="18">
        <f>H61*'GS 50-999 Predicted Monthly'!$V$14</f>
        <v>5822879.2932707956</v>
      </c>
      <c r="P61" s="18">
        <f>I61*'GS 50-999 Predicted Monthly'!$V$15</f>
        <v>23929784.569177721</v>
      </c>
      <c r="Q61" s="18">
        <f t="shared" si="4"/>
        <v>31765434.468540125</v>
      </c>
      <c r="R61" s="18">
        <f t="shared" si="5"/>
        <v>1249790.2769385651</v>
      </c>
      <c r="S61" s="279">
        <f t="shared" si="6"/>
        <v>4.0955723205166002E-2</v>
      </c>
    </row>
    <row r="62" spans="1:21" x14ac:dyDescent="0.25">
      <c r="A62" s="3">
        <f>'Monthly Data'!A62</f>
        <v>43831</v>
      </c>
      <c r="B62" s="1">
        <f t="shared" si="0"/>
        <v>2020</v>
      </c>
      <c r="C62" s="1">
        <f t="shared" si="1"/>
        <v>1</v>
      </c>
      <c r="D62" s="24">
        <f>'Monthly Data'!N62</f>
        <v>31665184.615771491</v>
      </c>
      <c r="E62" s="278">
        <f>'Monthly Data'!BB62</f>
        <v>628.82083333333333</v>
      </c>
      <c r="F62" s="278">
        <f>'Monthly Data'!BI62</f>
        <v>0</v>
      </c>
      <c r="G62" s="278">
        <f>'Monthly Data'!CG62</f>
        <v>0</v>
      </c>
      <c r="H62" s="18">
        <f>'Monthly Data'!AL62</f>
        <v>800126</v>
      </c>
      <c r="I62" s="18">
        <f>'Monthly Data'!CD62</f>
        <v>31</v>
      </c>
      <c r="K62" s="18">
        <f>'GS 50-999 Predicted Monthly'!$V$10</f>
        <v>-9326437.7987639103</v>
      </c>
      <c r="L62" s="18">
        <f>E62*'GS 50-999 Predicted Monthly'!$V$11</f>
        <v>11604804.695656404</v>
      </c>
      <c r="M62" s="18">
        <f>F62*'GS 50-999 Predicted Monthly'!$V$12</f>
        <v>0</v>
      </c>
      <c r="N62" s="18">
        <f>G62*'GS 50-999 Predicted Monthly'!$V$13</f>
        <v>0</v>
      </c>
      <c r="O62" s="18">
        <f>H62*'GS 50-999 Predicted Monthly'!$V$14</f>
        <v>5741994.5075069154</v>
      </c>
      <c r="P62" s="18">
        <f>I62*'GS 50-999 Predicted Monthly'!$V$15</f>
        <v>23929784.569177721</v>
      </c>
      <c r="Q62" s="18">
        <f t="shared" si="4"/>
        <v>31950145.973577131</v>
      </c>
      <c r="R62" s="18">
        <f t="shared" si="5"/>
        <v>284961.35780563951</v>
      </c>
      <c r="S62" s="279">
        <f t="shared" si="6"/>
        <v>8.9992008972437417E-3</v>
      </c>
    </row>
    <row r="63" spans="1:21" x14ac:dyDescent="0.25">
      <c r="A63" s="3">
        <f>'Monthly Data'!A63</f>
        <v>43862</v>
      </c>
      <c r="B63" s="1">
        <f t="shared" ref="B63:B115" si="7">YEAR(A63)</f>
        <v>2020</v>
      </c>
      <c r="C63" s="1">
        <f t="shared" ref="C63:C115" si="8">MONTH(A63)</f>
        <v>2</v>
      </c>
      <c r="D63" s="24">
        <f>'Monthly Data'!N63</f>
        <v>28996456.425020933</v>
      </c>
      <c r="E63" s="278">
        <f>'Monthly Data'!BB63</f>
        <v>620.40000000000009</v>
      </c>
      <c r="F63" s="278">
        <f>'Monthly Data'!BI63</f>
        <v>0</v>
      </c>
      <c r="G63" s="278">
        <f>'Monthly Data'!CG63</f>
        <v>0</v>
      </c>
      <c r="H63" s="18">
        <f>'Monthly Data'!AL63</f>
        <v>800126</v>
      </c>
      <c r="I63" s="18">
        <f>'Monthly Data'!CD63</f>
        <v>29</v>
      </c>
      <c r="K63" s="18">
        <f>'GS 50-999 Predicted Monthly'!$V$10</f>
        <v>-9326437.7987639103</v>
      </c>
      <c r="L63" s="18">
        <f>E63*'GS 50-999 Predicted Monthly'!$V$11</f>
        <v>11449399.33847384</v>
      </c>
      <c r="M63" s="18">
        <f>F63*'GS 50-999 Predicted Monthly'!$V$12</f>
        <v>0</v>
      </c>
      <c r="N63" s="18">
        <f>G63*'GS 50-999 Predicted Monthly'!$V$13</f>
        <v>0</v>
      </c>
      <c r="O63" s="18">
        <f>H63*'GS 50-999 Predicted Monthly'!$V$14</f>
        <v>5741994.5075069154</v>
      </c>
      <c r="P63" s="18">
        <f>I63*'GS 50-999 Predicted Monthly'!$V$15</f>
        <v>22385927.500198513</v>
      </c>
      <c r="Q63" s="18">
        <f t="shared" si="4"/>
        <v>30250883.547415357</v>
      </c>
      <c r="R63" s="18">
        <f t="shared" si="5"/>
        <v>1254427.1223944239</v>
      </c>
      <c r="S63" s="279">
        <f t="shared" si="6"/>
        <v>4.3261393875424846E-2</v>
      </c>
    </row>
    <row r="64" spans="1:21" x14ac:dyDescent="0.25">
      <c r="A64" s="3">
        <f>'Monthly Data'!A64</f>
        <v>43891</v>
      </c>
      <c r="B64" s="1">
        <f t="shared" si="7"/>
        <v>2020</v>
      </c>
      <c r="C64" s="1">
        <f t="shared" si="8"/>
        <v>3</v>
      </c>
      <c r="D64" s="24">
        <f>'Monthly Data'!N64</f>
        <v>27523984.230147589</v>
      </c>
      <c r="E64" s="278">
        <f>'Monthly Data'!BB64</f>
        <v>481.57083333333344</v>
      </c>
      <c r="F64" s="278">
        <f>'Monthly Data'!BI64</f>
        <v>0</v>
      </c>
      <c r="G64" s="278">
        <f>'Monthly Data'!CG64</f>
        <v>0.5</v>
      </c>
      <c r="H64" s="18">
        <f>'Monthly Data'!AL64</f>
        <v>800126</v>
      </c>
      <c r="I64" s="18">
        <f>'Monthly Data'!CD64</f>
        <v>31</v>
      </c>
      <c r="K64" s="18">
        <f>'GS 50-999 Predicted Monthly'!$V$10</f>
        <v>-9326437.7987639103</v>
      </c>
      <c r="L64" s="18">
        <f>E64*'GS 50-999 Predicted Monthly'!$V$11</f>
        <v>8887325.5651111584</v>
      </c>
      <c r="M64" s="18">
        <f>F64*'GS 50-999 Predicted Monthly'!$V$12</f>
        <v>0</v>
      </c>
      <c r="N64" s="18">
        <f>G64*'GS 50-999 Predicted Monthly'!$V$13</f>
        <v>-1424872.5632308151</v>
      </c>
      <c r="O64" s="18">
        <f>H64*'GS 50-999 Predicted Monthly'!$V$14</f>
        <v>5741994.5075069154</v>
      </c>
      <c r="P64" s="18">
        <f>I64*'GS 50-999 Predicted Monthly'!$V$15</f>
        <v>23929784.569177721</v>
      </c>
      <c r="Q64" s="18">
        <f t="shared" si="4"/>
        <v>27807794.279801071</v>
      </c>
      <c r="R64" s="18">
        <f t="shared" si="5"/>
        <v>283810.04965348169</v>
      </c>
      <c r="S64" s="279">
        <f t="shared" si="6"/>
        <v>1.0311372339133179E-2</v>
      </c>
      <c r="U64" s="18"/>
    </row>
    <row r="65" spans="1:26" x14ac:dyDescent="0.25">
      <c r="A65" s="3">
        <f>'Monthly Data'!A65</f>
        <v>43922</v>
      </c>
      <c r="B65" s="1">
        <f t="shared" si="7"/>
        <v>2020</v>
      </c>
      <c r="C65" s="1">
        <f t="shared" si="8"/>
        <v>4</v>
      </c>
      <c r="D65" s="24">
        <f>'Monthly Data'!N65</f>
        <v>22124574.074711651</v>
      </c>
      <c r="E65" s="278">
        <f>'Monthly Data'!BB65</f>
        <v>379.67500000000013</v>
      </c>
      <c r="F65" s="278">
        <f>'Monthly Data'!BI65</f>
        <v>0</v>
      </c>
      <c r="G65" s="278">
        <f>'Monthly Data'!CG65</f>
        <v>1</v>
      </c>
      <c r="H65" s="18">
        <f>'Monthly Data'!AL65</f>
        <v>706539</v>
      </c>
      <c r="I65" s="18">
        <f>'Monthly Data'!CD65</f>
        <v>30</v>
      </c>
      <c r="K65" s="18">
        <f>'GS 50-999 Predicted Monthly'!$V$10</f>
        <v>-9326437.7987639103</v>
      </c>
      <c r="L65" s="18">
        <f>E65*'GS 50-999 Predicted Monthly'!$V$11</f>
        <v>7006851.5374517338</v>
      </c>
      <c r="M65" s="18">
        <f>F65*'GS 50-999 Predicted Monthly'!$V$12</f>
        <v>0</v>
      </c>
      <c r="N65" s="18">
        <f>G65*'GS 50-999 Predicted Monthly'!$V$13</f>
        <v>-2849745.1264616302</v>
      </c>
      <c r="O65" s="18">
        <f>H65*'GS 50-999 Predicted Monthly'!$V$14</f>
        <v>5070380.2367869914</v>
      </c>
      <c r="P65" s="18">
        <f>I65*'GS 50-999 Predicted Monthly'!$V$15</f>
        <v>23157856.034688119</v>
      </c>
      <c r="Q65" s="18">
        <f t="shared" si="4"/>
        <v>23058904.883701302</v>
      </c>
      <c r="R65" s="18">
        <f t="shared" si="5"/>
        <v>934330.8089896515</v>
      </c>
      <c r="S65" s="279">
        <f t="shared" si="6"/>
        <v>4.2230454056857526E-2</v>
      </c>
      <c r="U65" s="18"/>
    </row>
    <row r="66" spans="1:26" x14ac:dyDescent="0.25">
      <c r="A66" s="3">
        <f>'Monthly Data'!A66</f>
        <v>43952</v>
      </c>
      <c r="B66" s="1">
        <f t="shared" si="7"/>
        <v>2020</v>
      </c>
      <c r="C66" s="1">
        <f t="shared" si="8"/>
        <v>5</v>
      </c>
      <c r="D66" s="24">
        <f>'Monthly Data'!N66</f>
        <v>21859678.942449689</v>
      </c>
      <c r="E66" s="278">
        <f>'Monthly Data'!BB66</f>
        <v>212.73690476190475</v>
      </c>
      <c r="F66" s="278">
        <f>'Monthly Data'!BI66</f>
        <v>77.750595238095229</v>
      </c>
      <c r="G66" s="278">
        <f>'Monthly Data'!CG66</f>
        <v>1</v>
      </c>
      <c r="H66" s="18">
        <f>'Monthly Data'!AL66</f>
        <v>706539</v>
      </c>
      <c r="I66" s="18">
        <f>'Monthly Data'!CD66</f>
        <v>31</v>
      </c>
      <c r="K66" s="18">
        <f>'GS 50-999 Predicted Monthly'!$V$10</f>
        <v>-9326437.7987639103</v>
      </c>
      <c r="L66" s="18">
        <f>E66*'GS 50-999 Predicted Monthly'!$V$11</f>
        <v>3926031.2325111604</v>
      </c>
      <c r="M66" s="18">
        <f>F66*'GS 50-999 Predicted Monthly'!$V$12</f>
        <v>2241311.9527117359</v>
      </c>
      <c r="N66" s="18">
        <f>G66*'GS 50-999 Predicted Monthly'!$V$13</f>
        <v>-2849745.1264616302</v>
      </c>
      <c r="O66" s="18">
        <f>H66*'GS 50-999 Predicted Monthly'!$V$14</f>
        <v>5070380.2367869914</v>
      </c>
      <c r="P66" s="18">
        <f>I66*'GS 50-999 Predicted Monthly'!$V$15</f>
        <v>23929784.569177721</v>
      </c>
      <c r="Q66" s="18">
        <f t="shared" si="4"/>
        <v>22991325.065962069</v>
      </c>
      <c r="R66" s="18">
        <f t="shared" ref="R66:R97" si="9">Q66-D66</f>
        <v>1131646.1235123798</v>
      </c>
      <c r="S66" s="279">
        <f t="shared" ref="S66:S97" si="10">ABS(R66/D66)</f>
        <v>5.1768652526493271E-2</v>
      </c>
      <c r="U66" s="18"/>
    </row>
    <row r="67" spans="1:26" x14ac:dyDescent="0.25">
      <c r="A67" s="3">
        <f>'Monthly Data'!A67</f>
        <v>43983</v>
      </c>
      <c r="B67" s="1">
        <f t="shared" si="7"/>
        <v>2020</v>
      </c>
      <c r="C67" s="1">
        <f t="shared" si="8"/>
        <v>6</v>
      </c>
      <c r="D67" s="24">
        <f>'Monthly Data'!N67</f>
        <v>24219008.095878799</v>
      </c>
      <c r="E67" s="278">
        <f>'Monthly Data'!BB67</f>
        <v>29.733333333333348</v>
      </c>
      <c r="F67" s="278">
        <f>'Monthly Data'!BI67</f>
        <v>222.53623188405788</v>
      </c>
      <c r="G67" s="278">
        <f>'Monthly Data'!CG67</f>
        <v>0.5</v>
      </c>
      <c r="H67" s="18">
        <f>'Monthly Data'!AL67</f>
        <v>706539</v>
      </c>
      <c r="I67" s="18">
        <f>'Monthly Data'!CD67</f>
        <v>30</v>
      </c>
      <c r="K67" s="18">
        <f>'GS 50-999 Predicted Monthly'!$V$10</f>
        <v>-9326437.7987639103</v>
      </c>
      <c r="L67" s="18">
        <f>E67*'GS 50-999 Predicted Monthly'!$V$11</f>
        <v>548724.70502464368</v>
      </c>
      <c r="M67" s="18">
        <f>F67*'GS 50-999 Predicted Monthly'!$V$12</f>
        <v>6415039.2020251313</v>
      </c>
      <c r="N67" s="18">
        <f>G67*'GS 50-999 Predicted Monthly'!$V$13</f>
        <v>-1424872.5632308151</v>
      </c>
      <c r="O67" s="18">
        <f>H67*'GS 50-999 Predicted Monthly'!$V$14</f>
        <v>5070380.2367869914</v>
      </c>
      <c r="P67" s="18">
        <f>I67*'GS 50-999 Predicted Monthly'!$V$15</f>
        <v>23157856.034688119</v>
      </c>
      <c r="Q67" s="18">
        <f t="shared" ref="Q67:Q121" si="11">SUM(K67:P67)</f>
        <v>24440689.816530161</v>
      </c>
      <c r="R67" s="18">
        <f t="shared" si="9"/>
        <v>221681.72065136209</v>
      </c>
      <c r="S67" s="279">
        <f t="shared" si="10"/>
        <v>9.1532122114069709E-3</v>
      </c>
      <c r="U67" s="18"/>
    </row>
    <row r="68" spans="1:26" x14ac:dyDescent="0.25">
      <c r="A68" s="3">
        <f>'Monthly Data'!A68</f>
        <v>44013</v>
      </c>
      <c r="B68" s="1">
        <f t="shared" si="7"/>
        <v>2020</v>
      </c>
      <c r="C68" s="1">
        <f t="shared" si="8"/>
        <v>7</v>
      </c>
      <c r="D68" s="24">
        <f>'Monthly Data'!N68</f>
        <v>28888464.206618078</v>
      </c>
      <c r="E68" s="278">
        <f>'Monthly Data'!BB68</f>
        <v>0</v>
      </c>
      <c r="F68" s="278">
        <f>'Monthly Data'!BI68</f>
        <v>370.88750000000005</v>
      </c>
      <c r="G68" s="278">
        <f>'Monthly Data'!CG68</f>
        <v>0.5</v>
      </c>
      <c r="H68" s="18">
        <f>'Monthly Data'!AL68</f>
        <v>777225</v>
      </c>
      <c r="I68" s="18">
        <f>'Monthly Data'!CD68</f>
        <v>31</v>
      </c>
      <c r="K68" s="18">
        <f>'GS 50-999 Predicted Monthly'!$V$10</f>
        <v>-9326437.7987639103</v>
      </c>
      <c r="L68" s="18">
        <f>E68*'GS 50-999 Predicted Monthly'!$V$11</f>
        <v>0</v>
      </c>
      <c r="M68" s="18">
        <f>F68*'GS 50-999 Predicted Monthly'!$V$12</f>
        <v>10691552.705362143</v>
      </c>
      <c r="N68" s="18">
        <f>G68*'GS 50-999 Predicted Monthly'!$V$13</f>
        <v>-1424872.5632308151</v>
      </c>
      <c r="O68" s="18">
        <f>H68*'GS 50-999 Predicted Monthly'!$V$14</f>
        <v>5577648.6217134083</v>
      </c>
      <c r="P68" s="18">
        <f>I68*'GS 50-999 Predicted Monthly'!$V$15</f>
        <v>23929784.569177721</v>
      </c>
      <c r="Q68" s="18">
        <f t="shared" si="11"/>
        <v>29447675.534258544</v>
      </c>
      <c r="R68" s="18">
        <f t="shared" si="9"/>
        <v>559211.32764046639</v>
      </c>
      <c r="S68" s="279">
        <f t="shared" si="10"/>
        <v>1.9357599754726881E-2</v>
      </c>
      <c r="U68" s="18"/>
    </row>
    <row r="69" spans="1:26" x14ac:dyDescent="0.25">
      <c r="A69" s="3">
        <f>'Monthly Data'!A69</f>
        <v>44044</v>
      </c>
      <c r="B69" s="1">
        <f t="shared" si="7"/>
        <v>2020</v>
      </c>
      <c r="C69" s="1">
        <f t="shared" si="8"/>
        <v>8</v>
      </c>
      <c r="D69" s="24">
        <f>'Monthly Data'!N69</f>
        <v>26919034.292032495</v>
      </c>
      <c r="E69" s="278">
        <f>'Monthly Data'!BB69</f>
        <v>3.4874999999999972</v>
      </c>
      <c r="F69" s="278">
        <f>'Monthly Data'!BI69</f>
        <v>278.93106060606061</v>
      </c>
      <c r="G69" s="278">
        <f>'Monthly Data'!CG69</f>
        <v>0.5</v>
      </c>
      <c r="H69" s="18">
        <f>'Monthly Data'!AL69</f>
        <v>777225</v>
      </c>
      <c r="I69" s="18">
        <f>'Monthly Data'!CD69</f>
        <v>31</v>
      </c>
      <c r="K69" s="18">
        <f>'GS 50-999 Predicted Monthly'!$V$10</f>
        <v>-9326437.7987639103</v>
      </c>
      <c r="L69" s="18">
        <f>E69*'GS 50-999 Predicted Monthly'!$V$11</f>
        <v>64361.347828703212</v>
      </c>
      <c r="M69" s="18">
        <f>F69*'GS 50-999 Predicted Monthly'!$V$12</f>
        <v>8040729.6973671503</v>
      </c>
      <c r="N69" s="18">
        <f>G69*'GS 50-999 Predicted Monthly'!$V$13</f>
        <v>-1424872.5632308151</v>
      </c>
      <c r="O69" s="18">
        <f>H69*'GS 50-999 Predicted Monthly'!$V$14</f>
        <v>5577648.6217134083</v>
      </c>
      <c r="P69" s="18">
        <f>I69*'GS 50-999 Predicted Monthly'!$V$15</f>
        <v>23929784.569177721</v>
      </c>
      <c r="Q69" s="18">
        <f t="shared" si="11"/>
        <v>26861213.874092259</v>
      </c>
      <c r="R69" s="18">
        <f t="shared" si="9"/>
        <v>-57820.417940236628</v>
      </c>
      <c r="S69" s="279">
        <f t="shared" si="10"/>
        <v>2.1479380468470348E-3</v>
      </c>
      <c r="U69" s="18"/>
    </row>
    <row r="70" spans="1:26" x14ac:dyDescent="0.25">
      <c r="A70" s="3">
        <f>'Monthly Data'!A70</f>
        <v>44075</v>
      </c>
      <c r="B70" s="1">
        <f t="shared" si="7"/>
        <v>2020</v>
      </c>
      <c r="C70" s="1">
        <f t="shared" si="8"/>
        <v>9</v>
      </c>
      <c r="D70" s="24">
        <f>'Monthly Data'!N70</f>
        <v>22899887.372774672</v>
      </c>
      <c r="E70" s="278">
        <f>'Monthly Data'!BB70</f>
        <v>85.042028985507244</v>
      </c>
      <c r="F70" s="278">
        <f>'Monthly Data'!BI70</f>
        <v>120.81213768115938</v>
      </c>
      <c r="G70" s="278">
        <f>'Monthly Data'!CG70</f>
        <v>0.5</v>
      </c>
      <c r="H70" s="18">
        <f>'Monthly Data'!AL70</f>
        <v>777225</v>
      </c>
      <c r="I70" s="18">
        <f>'Monthly Data'!CD70</f>
        <v>30</v>
      </c>
      <c r="K70" s="18">
        <f>'GS 50-999 Predicted Monthly'!$V$10</f>
        <v>-9326437.7987639103</v>
      </c>
      <c r="L70" s="18">
        <f>E70*'GS 50-999 Predicted Monthly'!$V$11</f>
        <v>1569439.3140057053</v>
      </c>
      <c r="M70" s="18">
        <f>F70*'GS 50-999 Predicted Monthly'!$V$12</f>
        <v>3482644.5686780578</v>
      </c>
      <c r="N70" s="18">
        <f>G70*'GS 50-999 Predicted Monthly'!$V$13</f>
        <v>-1424872.5632308151</v>
      </c>
      <c r="O70" s="18">
        <f>H70*'GS 50-999 Predicted Monthly'!$V$14</f>
        <v>5577648.6217134083</v>
      </c>
      <c r="P70" s="18">
        <f>I70*'GS 50-999 Predicted Monthly'!$V$15</f>
        <v>23157856.034688119</v>
      </c>
      <c r="Q70" s="18">
        <f t="shared" si="11"/>
        <v>23036278.177090563</v>
      </c>
      <c r="R70" s="18">
        <f t="shared" si="9"/>
        <v>136390.80431589112</v>
      </c>
      <c r="S70" s="279">
        <f t="shared" si="10"/>
        <v>5.955959612187616E-3</v>
      </c>
      <c r="U70" s="18"/>
    </row>
    <row r="71" spans="1:26" x14ac:dyDescent="0.25">
      <c r="A71" s="3">
        <f>'Monthly Data'!A71</f>
        <v>44105</v>
      </c>
      <c r="B71" s="1">
        <f t="shared" si="7"/>
        <v>2020</v>
      </c>
      <c r="C71" s="1">
        <f t="shared" si="8"/>
        <v>10</v>
      </c>
      <c r="D71" s="24">
        <f>'Monthly Data'!N71</f>
        <v>22361323.862121925</v>
      </c>
      <c r="E71" s="278">
        <f>'Monthly Data'!BB71</f>
        <v>287.83333333333331</v>
      </c>
      <c r="F71" s="278">
        <f>'Monthly Data'!BI71</f>
        <v>10.262500000000003</v>
      </c>
      <c r="G71" s="278">
        <f>'Monthly Data'!CG71</f>
        <v>0.5</v>
      </c>
      <c r="H71" s="18">
        <f>'Monthly Data'!AL71</f>
        <v>795879</v>
      </c>
      <c r="I71" s="18">
        <f>'Monthly Data'!CD71</f>
        <v>31</v>
      </c>
      <c r="K71" s="18">
        <f>'GS 50-999 Predicted Monthly'!$V$10</f>
        <v>-9326437.7987639103</v>
      </c>
      <c r="L71" s="18">
        <f>E71*'GS 50-999 Predicted Monthly'!$V$11</f>
        <v>5311925.8160177078</v>
      </c>
      <c r="M71" s="18">
        <f>F71*'GS 50-999 Predicted Monthly'!$V$12</f>
        <v>295836.49931253819</v>
      </c>
      <c r="N71" s="18">
        <f>G71*'GS 50-999 Predicted Monthly'!$V$13</f>
        <v>-1424872.5632308151</v>
      </c>
      <c r="O71" s="18">
        <f>H71*'GS 50-999 Predicted Monthly'!$V$14</f>
        <v>5711516.4944522446</v>
      </c>
      <c r="P71" s="18">
        <f>I71*'GS 50-999 Predicted Monthly'!$V$15</f>
        <v>23929784.569177721</v>
      </c>
      <c r="Q71" s="18">
        <f t="shared" si="11"/>
        <v>24497753.016965486</v>
      </c>
      <c r="R71" s="18">
        <f t="shared" si="9"/>
        <v>2136429.1548435614</v>
      </c>
      <c r="S71" s="279">
        <f t="shared" si="10"/>
        <v>9.554126437310273E-2</v>
      </c>
      <c r="U71" s="18"/>
    </row>
    <row r="72" spans="1:26" x14ac:dyDescent="0.25">
      <c r="A72" s="3">
        <f>'Monthly Data'!A72</f>
        <v>44136</v>
      </c>
      <c r="B72" s="1">
        <f t="shared" si="7"/>
        <v>2020</v>
      </c>
      <c r="C72" s="1">
        <f t="shared" si="8"/>
        <v>11</v>
      </c>
      <c r="D72" s="24">
        <f>'Monthly Data'!N72</f>
        <v>23101196.568596739</v>
      </c>
      <c r="E72" s="278">
        <f>'Monthly Data'!BB72</f>
        <v>366.30072463768118</v>
      </c>
      <c r="F72" s="278">
        <f>'Monthly Data'!BI72</f>
        <v>1.8291666666666622</v>
      </c>
      <c r="G72" s="278">
        <f>'Monthly Data'!CG72</f>
        <v>0.5</v>
      </c>
      <c r="H72" s="18">
        <f>'Monthly Data'!AL72</f>
        <v>795879</v>
      </c>
      <c r="I72" s="18">
        <f>'Monthly Data'!CD72</f>
        <v>30</v>
      </c>
      <c r="K72" s="18">
        <f>'GS 50-999 Predicted Monthly'!$V$10</f>
        <v>-9326437.7987639103</v>
      </c>
      <c r="L72" s="18">
        <f>E72*'GS 50-999 Predicted Monthly'!$V$11</f>
        <v>6760031.0676163025</v>
      </c>
      <c r="M72" s="18">
        <f>F72*'GS 50-999 Predicted Monthly'!$V$12</f>
        <v>52729.282662689373</v>
      </c>
      <c r="N72" s="18">
        <f>G72*'GS 50-999 Predicted Monthly'!$V$13</f>
        <v>-1424872.5632308151</v>
      </c>
      <c r="O72" s="18">
        <f>H72*'GS 50-999 Predicted Monthly'!$V$14</f>
        <v>5711516.4944522446</v>
      </c>
      <c r="P72" s="18">
        <f>I72*'GS 50-999 Predicted Monthly'!$V$15</f>
        <v>23157856.034688119</v>
      </c>
      <c r="Q72" s="18">
        <f t="shared" si="11"/>
        <v>24930822.517424628</v>
      </c>
      <c r="R72" s="18">
        <f t="shared" si="9"/>
        <v>1829625.9488278888</v>
      </c>
      <c r="S72" s="279">
        <f t="shared" si="10"/>
        <v>7.9200483983372635E-2</v>
      </c>
      <c r="U72" s="18"/>
    </row>
    <row r="73" spans="1:26" x14ac:dyDescent="0.25">
      <c r="A73" s="3">
        <f>'Monthly Data'!A73</f>
        <v>44166</v>
      </c>
      <c r="B73" s="1">
        <f t="shared" si="7"/>
        <v>2020</v>
      </c>
      <c r="C73" s="1">
        <f t="shared" si="8"/>
        <v>12</v>
      </c>
      <c r="D73" s="24">
        <f>'Monthly Data'!N73</f>
        <v>31742077.27981564</v>
      </c>
      <c r="E73" s="278">
        <f>'Monthly Data'!BB73</f>
        <v>582.90416666666681</v>
      </c>
      <c r="F73" s="278">
        <f>'Monthly Data'!BI73</f>
        <v>0</v>
      </c>
      <c r="G73" s="278">
        <f>'Monthly Data'!CG73</f>
        <v>0.5</v>
      </c>
      <c r="H73" s="18">
        <f>'Monthly Data'!AL73</f>
        <v>795879</v>
      </c>
      <c r="I73" s="18">
        <f>'Monthly Data'!CD73</f>
        <v>31</v>
      </c>
      <c r="K73" s="18">
        <f>'GS 50-999 Predicted Monthly'!$V$10</f>
        <v>-9326437.7987639103</v>
      </c>
      <c r="L73" s="18">
        <f>E73*'GS 50-999 Predicted Monthly'!$V$11</f>
        <v>10757418.730217567</v>
      </c>
      <c r="M73" s="18">
        <f>F73*'GS 50-999 Predicted Monthly'!$V$12</f>
        <v>0</v>
      </c>
      <c r="N73" s="18">
        <f>G73*'GS 50-999 Predicted Monthly'!$V$13</f>
        <v>-1424872.5632308151</v>
      </c>
      <c r="O73" s="18">
        <f>H73*'GS 50-999 Predicted Monthly'!$V$14</f>
        <v>5711516.4944522446</v>
      </c>
      <c r="P73" s="18">
        <f>I73*'GS 50-999 Predicted Monthly'!$V$15</f>
        <v>23929784.569177721</v>
      </c>
      <c r="Q73" s="18">
        <f t="shared" si="11"/>
        <v>29647409.431852806</v>
      </c>
      <c r="R73" s="18">
        <f t="shared" si="9"/>
        <v>-2094667.8479628339</v>
      </c>
      <c r="S73" s="279">
        <f t="shared" si="10"/>
        <v>6.599025733249049E-2</v>
      </c>
      <c r="U73" s="18"/>
    </row>
    <row r="74" spans="1:26" x14ac:dyDescent="0.25">
      <c r="A74" s="3">
        <f>'Monthly Data'!A74</f>
        <v>44197</v>
      </c>
      <c r="B74" s="1">
        <f t="shared" si="7"/>
        <v>2021</v>
      </c>
      <c r="C74" s="1">
        <f t="shared" si="8"/>
        <v>1</v>
      </c>
      <c r="D74" s="24">
        <f>'Monthly Data'!N74</f>
        <v>29788407.599431217</v>
      </c>
      <c r="E74" s="278">
        <f>'Monthly Data'!BB74</f>
        <v>653.50416666666661</v>
      </c>
      <c r="F74" s="278">
        <f>'Monthly Data'!BI74</f>
        <v>0</v>
      </c>
      <c r="G74" s="278">
        <f>'Monthly Data'!CG74</f>
        <v>0.5</v>
      </c>
      <c r="H74" s="18">
        <f>'Monthly Data'!AL74</f>
        <v>808584</v>
      </c>
      <c r="I74" s="18">
        <f>'Monthly Data'!CD74</f>
        <v>31</v>
      </c>
      <c r="K74" s="18">
        <f>'GS 50-999 Predicted Monthly'!$V$10</f>
        <v>-9326437.7987639103</v>
      </c>
      <c r="L74" s="18">
        <f>E74*'GS 50-999 Predicted Monthly'!$V$11</f>
        <v>12060332.32353841</v>
      </c>
      <c r="M74" s="18">
        <f>F74*'GS 50-999 Predicted Monthly'!$V$12</f>
        <v>0</v>
      </c>
      <c r="N74" s="18">
        <f>G74*'GS 50-999 Predicted Monthly'!$V$13</f>
        <v>-1424872.5632308151</v>
      </c>
      <c r="O74" s="18">
        <f>H74*'GS 50-999 Predicted Monthly'!$V$14</f>
        <v>5802692.1845533978</v>
      </c>
      <c r="P74" s="18">
        <f>I74*'GS 50-999 Predicted Monthly'!$V$15</f>
        <v>23929784.569177721</v>
      </c>
      <c r="Q74" s="18">
        <f t="shared" si="11"/>
        <v>31041498.715274803</v>
      </c>
      <c r="R74" s="18">
        <f t="shared" si="9"/>
        <v>1253091.1158435866</v>
      </c>
      <c r="S74" s="279">
        <f t="shared" si="10"/>
        <v>4.2066401557749371E-2</v>
      </c>
      <c r="U74" s="18"/>
    </row>
    <row r="75" spans="1:26" x14ac:dyDescent="0.25">
      <c r="A75" s="3">
        <f>'Monthly Data'!A75</f>
        <v>44228</v>
      </c>
      <c r="B75" s="1">
        <f t="shared" si="7"/>
        <v>2021</v>
      </c>
      <c r="C75" s="1">
        <f t="shared" si="8"/>
        <v>2</v>
      </c>
      <c r="D75" s="24">
        <f>'Monthly Data'!N75</f>
        <v>25694265.154835682</v>
      </c>
      <c r="E75" s="278">
        <f>'Monthly Data'!BB75</f>
        <v>653.45416666666654</v>
      </c>
      <c r="F75" s="278">
        <f>'Monthly Data'!BI75</f>
        <v>0</v>
      </c>
      <c r="G75" s="278">
        <f>'Monthly Data'!CG75</f>
        <v>0.5</v>
      </c>
      <c r="H75" s="18">
        <f>'Monthly Data'!AL75</f>
        <v>808584</v>
      </c>
      <c r="I75" s="18">
        <f>'Monthly Data'!CD75</f>
        <v>28</v>
      </c>
      <c r="K75" s="18">
        <f>'GS 50-999 Predicted Monthly'!$V$10</f>
        <v>-9326437.7987639103</v>
      </c>
      <c r="L75" s="18">
        <f>E75*'GS 50-999 Predicted Monthly'!$V$11</f>
        <v>12059409.580200361</v>
      </c>
      <c r="M75" s="18">
        <f>F75*'GS 50-999 Predicted Monthly'!$V$12</f>
        <v>0</v>
      </c>
      <c r="N75" s="18">
        <f>G75*'GS 50-999 Predicted Monthly'!$V$13</f>
        <v>-1424872.5632308151</v>
      </c>
      <c r="O75" s="18">
        <f>H75*'GS 50-999 Predicted Monthly'!$V$14</f>
        <v>5802692.1845533978</v>
      </c>
      <c r="P75" s="18">
        <f>I75*'GS 50-999 Predicted Monthly'!$V$15</f>
        <v>21613998.965708911</v>
      </c>
      <c r="Q75" s="18">
        <f t="shared" si="11"/>
        <v>28724790.368467946</v>
      </c>
      <c r="R75" s="18">
        <f t="shared" si="9"/>
        <v>3030525.2136322632</v>
      </c>
      <c r="S75" s="279">
        <f t="shared" si="10"/>
        <v>0.11794558806683428</v>
      </c>
      <c r="U75" s="18"/>
    </row>
    <row r="76" spans="1:26" x14ac:dyDescent="0.25">
      <c r="A76" s="3">
        <f>'Monthly Data'!A76</f>
        <v>44256</v>
      </c>
      <c r="B76" s="1">
        <f t="shared" si="7"/>
        <v>2021</v>
      </c>
      <c r="C76" s="1">
        <f t="shared" si="8"/>
        <v>3</v>
      </c>
      <c r="D76" s="24">
        <f>'Monthly Data'!N76</f>
        <v>29773183.670959122</v>
      </c>
      <c r="E76" s="278">
        <f>'Monthly Data'!BB76</f>
        <v>492.59637681159415</v>
      </c>
      <c r="F76" s="278">
        <f>'Monthly Data'!BI76</f>
        <v>0.29583333333332895</v>
      </c>
      <c r="G76" s="278">
        <f>'Monthly Data'!CG76</f>
        <v>0.5</v>
      </c>
      <c r="H76" s="18">
        <f>'Monthly Data'!AL76</f>
        <v>808584</v>
      </c>
      <c r="I76" s="18">
        <f>'Monthly Data'!CD76</f>
        <v>31</v>
      </c>
      <c r="K76" s="18">
        <f>'GS 50-999 Predicted Monthly'!$V$10</f>
        <v>-9326437.7987639103</v>
      </c>
      <c r="L76" s="18">
        <f>E76*'GS 50-999 Predicted Monthly'!$V$11</f>
        <v>9090800.5009691734</v>
      </c>
      <c r="M76" s="18">
        <f>F76*'GS 50-999 Predicted Monthly'!$V$12</f>
        <v>8527.9705445350774</v>
      </c>
      <c r="N76" s="18">
        <f>G76*'GS 50-999 Predicted Monthly'!$V$13</f>
        <v>-1424872.5632308151</v>
      </c>
      <c r="O76" s="18">
        <f>H76*'GS 50-999 Predicted Monthly'!$V$14</f>
        <v>5802692.1845533978</v>
      </c>
      <c r="P76" s="18">
        <f>I76*'GS 50-999 Predicted Monthly'!$V$15</f>
        <v>23929784.569177721</v>
      </c>
      <c r="Q76" s="18">
        <f t="shared" si="11"/>
        <v>28080494.863250103</v>
      </c>
      <c r="R76" s="18">
        <f t="shared" si="9"/>
        <v>-1692688.8077090196</v>
      </c>
      <c r="S76" s="279">
        <f t="shared" si="10"/>
        <v>5.6852798357606441E-2</v>
      </c>
    </row>
    <row r="77" spans="1:26" x14ac:dyDescent="0.25">
      <c r="A77" s="3">
        <f>'Monthly Data'!A77</f>
        <v>44287</v>
      </c>
      <c r="B77" s="1">
        <f t="shared" si="7"/>
        <v>2021</v>
      </c>
      <c r="C77" s="1">
        <f t="shared" si="8"/>
        <v>4</v>
      </c>
      <c r="D77" s="24">
        <f>'Monthly Data'!N77</f>
        <v>23588043.487083253</v>
      </c>
      <c r="E77" s="278">
        <f>'Monthly Data'!BB77</f>
        <v>319.79583333333329</v>
      </c>
      <c r="F77" s="278">
        <f>'Monthly Data'!BI77</f>
        <v>11.054166666666664</v>
      </c>
      <c r="G77" s="278">
        <f>'Monthly Data'!CG77</f>
        <v>0.5</v>
      </c>
      <c r="H77" s="18">
        <f>'Monthly Data'!AL77</f>
        <v>802518</v>
      </c>
      <c r="I77" s="18">
        <f>'Monthly Data'!CD77</f>
        <v>30</v>
      </c>
      <c r="K77" s="18">
        <f>'GS 50-999 Predicted Monthly'!$V$10</f>
        <v>-9326437.7987639103</v>
      </c>
      <c r="L77" s="18">
        <f>E77*'GS 50-999 Predicted Monthly'!$V$11</f>
        <v>5901789.4948635651</v>
      </c>
      <c r="M77" s="18">
        <f>F77*'GS 50-999 Predicted Monthly'!$V$12</f>
        <v>318657.82893875899</v>
      </c>
      <c r="N77" s="18">
        <f>G77*'GS 50-999 Predicted Monthly'!$V$13</f>
        <v>-1424872.5632308151</v>
      </c>
      <c r="O77" s="18">
        <f>H77*'GS 50-999 Predicted Monthly'!$V$14</f>
        <v>5759160.3674614187</v>
      </c>
      <c r="P77" s="18">
        <f>I77*'GS 50-999 Predicted Monthly'!$V$15</f>
        <v>23157856.034688119</v>
      </c>
      <c r="Q77" s="18">
        <f t="shared" si="11"/>
        <v>24386153.363957137</v>
      </c>
      <c r="R77" s="18">
        <f t="shared" si="9"/>
        <v>798109.87687388435</v>
      </c>
      <c r="S77" s="279">
        <f t="shared" si="10"/>
        <v>3.3835357193186755E-2</v>
      </c>
      <c r="U77" s="18"/>
    </row>
    <row r="78" spans="1:26" x14ac:dyDescent="0.25">
      <c r="A78" s="3">
        <f>'Monthly Data'!A78</f>
        <v>44317</v>
      </c>
      <c r="B78" s="1">
        <f t="shared" si="7"/>
        <v>2021</v>
      </c>
      <c r="C78" s="1">
        <f t="shared" si="8"/>
        <v>5</v>
      </c>
      <c r="D78" s="24">
        <f>'Monthly Data'!N78</f>
        <v>23194467.813825011</v>
      </c>
      <c r="E78" s="278">
        <f>'Monthly Data'!BB78</f>
        <v>173.64305555555555</v>
      </c>
      <c r="F78" s="278">
        <f>'Monthly Data'!BI78</f>
        <v>83.256944444444414</v>
      </c>
      <c r="G78" s="278">
        <f>'Monthly Data'!CG78</f>
        <v>0.5</v>
      </c>
      <c r="H78" s="18">
        <f>'Monthly Data'!AL78</f>
        <v>802518</v>
      </c>
      <c r="I78" s="18">
        <f>'Monthly Data'!CD78</f>
        <v>31</v>
      </c>
      <c r="K78" s="18">
        <f>'GS 50-999 Predicted Monthly'!$V$10</f>
        <v>-9326437.7987639103</v>
      </c>
      <c r="L78" s="18">
        <f>E78*'GS 50-999 Predicted Monthly'!$V$11</f>
        <v>3204559.4542365465</v>
      </c>
      <c r="M78" s="18">
        <f>F78*'GS 50-999 Predicted Monthly'!$V$12</f>
        <v>2400043.1656909045</v>
      </c>
      <c r="N78" s="18">
        <f>G78*'GS 50-999 Predicted Monthly'!$V$13</f>
        <v>-1424872.5632308151</v>
      </c>
      <c r="O78" s="18">
        <f>H78*'GS 50-999 Predicted Monthly'!$V$14</f>
        <v>5759160.3674614187</v>
      </c>
      <c r="P78" s="18">
        <f>I78*'GS 50-999 Predicted Monthly'!$V$15</f>
        <v>23929784.569177721</v>
      </c>
      <c r="Q78" s="18">
        <f t="shared" si="11"/>
        <v>24542237.194571864</v>
      </c>
      <c r="R78" s="18">
        <f t="shared" si="9"/>
        <v>1347769.3807468526</v>
      </c>
      <c r="S78" s="279">
        <f t="shared" si="10"/>
        <v>5.8107363857838448E-2</v>
      </c>
      <c r="U78" s="18"/>
      <c r="X78" s="18"/>
      <c r="Y78" s="18"/>
      <c r="Z78" s="240"/>
    </row>
    <row r="79" spans="1:26" x14ac:dyDescent="0.25">
      <c r="A79" s="3">
        <f>'Monthly Data'!A79</f>
        <v>44348</v>
      </c>
      <c r="B79" s="1">
        <f t="shared" si="7"/>
        <v>2021</v>
      </c>
      <c r="C79" s="1">
        <f t="shared" si="8"/>
        <v>6</v>
      </c>
      <c r="D79" s="24">
        <f>'Monthly Data'!N79</f>
        <v>25261745.349701807</v>
      </c>
      <c r="E79" s="278">
        <f>'Monthly Data'!BB79</f>
        <v>14.254166666666677</v>
      </c>
      <c r="F79" s="278">
        <f>'Monthly Data'!BI79</f>
        <v>241.67500000000001</v>
      </c>
      <c r="G79" s="278">
        <f>'Monthly Data'!CG79</f>
        <v>0.5</v>
      </c>
      <c r="H79" s="18">
        <f>'Monthly Data'!AL79</f>
        <v>802518</v>
      </c>
      <c r="I79" s="18">
        <f>'Monthly Data'!CD79</f>
        <v>30</v>
      </c>
      <c r="K79" s="18">
        <f>'GS 50-999 Predicted Monthly'!$V$10</f>
        <v>-9326437.7987639103</v>
      </c>
      <c r="L79" s="18">
        <f>E79*'GS 50-999 Predicted Monthly'!$V$11</f>
        <v>263058.74662125931</v>
      </c>
      <c r="M79" s="18">
        <f>F79*'GS 50-999 Predicted Monthly'!$V$12</f>
        <v>6966751.3735793084</v>
      </c>
      <c r="N79" s="18">
        <f>G79*'GS 50-999 Predicted Monthly'!$V$13</f>
        <v>-1424872.5632308151</v>
      </c>
      <c r="O79" s="18">
        <f>H79*'GS 50-999 Predicted Monthly'!$V$14</f>
        <v>5759160.3674614187</v>
      </c>
      <c r="P79" s="18">
        <f>I79*'GS 50-999 Predicted Monthly'!$V$15</f>
        <v>23157856.034688119</v>
      </c>
      <c r="Q79" s="18">
        <f t="shared" si="11"/>
        <v>25395516.160355378</v>
      </c>
      <c r="R79" s="18">
        <f t="shared" si="9"/>
        <v>133770.81065357104</v>
      </c>
      <c r="S79" s="279">
        <f t="shared" si="10"/>
        <v>5.2953906708251295E-3</v>
      </c>
      <c r="U79" s="18"/>
      <c r="X79" s="18"/>
      <c r="Y79" s="18"/>
      <c r="Z79" s="240"/>
    </row>
    <row r="80" spans="1:26" x14ac:dyDescent="0.25">
      <c r="A80" s="3">
        <f>'Monthly Data'!A80</f>
        <v>44378</v>
      </c>
      <c r="B80" s="1">
        <f t="shared" si="7"/>
        <v>2021</v>
      </c>
      <c r="C80" s="1">
        <f t="shared" si="8"/>
        <v>7</v>
      </c>
      <c r="D80" s="24">
        <f>'Monthly Data'!N80</f>
        <v>26254680.420328796</v>
      </c>
      <c r="E80" s="278">
        <f>'Monthly Data'!BB80</f>
        <v>5.3541666666666572</v>
      </c>
      <c r="F80" s="278">
        <f>'Monthly Data'!BI80</f>
        <v>254.87499999999994</v>
      </c>
      <c r="G80" s="278">
        <f>'Monthly Data'!CG80</f>
        <v>0.5</v>
      </c>
      <c r="H80" s="18">
        <f>'Monthly Data'!AL80</f>
        <v>819564</v>
      </c>
      <c r="I80" s="18">
        <f>'Monthly Data'!CD80</f>
        <v>31</v>
      </c>
      <c r="K80" s="18">
        <f>'GS 50-999 Predicted Monthly'!$V$10</f>
        <v>-9326437.7987639103</v>
      </c>
      <c r="L80" s="18">
        <f>E80*'GS 50-999 Predicted Monthly'!$V$11</f>
        <v>98810.432449084285</v>
      </c>
      <c r="M80" s="18">
        <f>F80*'GS 50-999 Predicted Monthly'!$V$12</f>
        <v>7347267.017031244</v>
      </c>
      <c r="N80" s="18">
        <f>G80*'GS 50-999 Predicted Monthly'!$V$13</f>
        <v>-1424872.5632308151</v>
      </c>
      <c r="O80" s="18">
        <f>H80*'GS 50-999 Predicted Monthly'!$V$14</f>
        <v>5881488.6487258226</v>
      </c>
      <c r="P80" s="18">
        <f>I80*'GS 50-999 Predicted Monthly'!$V$15</f>
        <v>23929784.569177721</v>
      </c>
      <c r="Q80" s="18">
        <f t="shared" si="11"/>
        <v>26506040.305389144</v>
      </c>
      <c r="R80" s="18">
        <f t="shared" si="9"/>
        <v>251359.88506034762</v>
      </c>
      <c r="S80" s="279">
        <f t="shared" si="10"/>
        <v>9.5739076247038073E-3</v>
      </c>
      <c r="U80" s="18"/>
      <c r="X80" s="18"/>
      <c r="Y80" s="18"/>
      <c r="Z80" s="240"/>
    </row>
    <row r="81" spans="1:26" x14ac:dyDescent="0.25">
      <c r="A81" s="3">
        <f>'Monthly Data'!A81</f>
        <v>44409</v>
      </c>
      <c r="B81" s="1">
        <f t="shared" si="7"/>
        <v>2021</v>
      </c>
      <c r="C81" s="1">
        <f t="shared" si="8"/>
        <v>8</v>
      </c>
      <c r="D81" s="24">
        <f>'Monthly Data'!N81</f>
        <v>29358064.956607085</v>
      </c>
      <c r="E81" s="278">
        <f>'Monthly Data'!BB81</f>
        <v>0.69166666666666643</v>
      </c>
      <c r="F81" s="278">
        <f>'Monthly Data'!BI81</f>
        <v>328.06249999999989</v>
      </c>
      <c r="G81" s="278">
        <f>'Monthly Data'!CG81</f>
        <v>0.5</v>
      </c>
      <c r="H81" s="18">
        <f>'Monthly Data'!AL81</f>
        <v>819564</v>
      </c>
      <c r="I81" s="18">
        <f>'Monthly Data'!CD81</f>
        <v>31</v>
      </c>
      <c r="K81" s="18">
        <f>'GS 50-999 Predicted Monthly'!$V$10</f>
        <v>-9326437.7987639103</v>
      </c>
      <c r="L81" s="18">
        <f>E81*'GS 50-999 Predicted Monthly'!$V$11</f>
        <v>12764.616176301957</v>
      </c>
      <c r="M81" s="18">
        <f>F81*'GS 50-999 Predicted Monthly'!$V$12</f>
        <v>9457038.8848447744</v>
      </c>
      <c r="N81" s="18">
        <f>G81*'GS 50-999 Predicted Monthly'!$V$13</f>
        <v>-1424872.5632308151</v>
      </c>
      <c r="O81" s="18">
        <f>H81*'GS 50-999 Predicted Monthly'!$V$14</f>
        <v>5881488.6487258226</v>
      </c>
      <c r="P81" s="18">
        <f>I81*'GS 50-999 Predicted Monthly'!$V$15</f>
        <v>23929784.569177721</v>
      </c>
      <c r="Q81" s="18">
        <f t="shared" si="11"/>
        <v>28529766.356929895</v>
      </c>
      <c r="R81" s="18">
        <f t="shared" si="9"/>
        <v>-828298.59967719018</v>
      </c>
      <c r="S81" s="279">
        <f t="shared" si="10"/>
        <v>2.8213664657444671E-2</v>
      </c>
      <c r="U81" s="18"/>
      <c r="X81" s="18"/>
      <c r="Y81" s="18"/>
      <c r="Z81" s="240"/>
    </row>
    <row r="82" spans="1:26" x14ac:dyDescent="0.25">
      <c r="A82" s="3">
        <f>'Monthly Data'!A82</f>
        <v>44440</v>
      </c>
      <c r="B82" s="1">
        <f t="shared" si="7"/>
        <v>2021</v>
      </c>
      <c r="C82" s="1">
        <f t="shared" si="8"/>
        <v>9</v>
      </c>
      <c r="D82" s="24">
        <f>'Monthly Data'!N82</f>
        <v>22123219.809366379</v>
      </c>
      <c r="E82" s="278">
        <f>'Monthly Data'!BB82</f>
        <v>45.679166666666674</v>
      </c>
      <c r="F82" s="278">
        <f>'Monthly Data'!BI82</f>
        <v>149.55833333333328</v>
      </c>
      <c r="G82" s="278">
        <f>'Monthly Data'!CG82</f>
        <v>0.5</v>
      </c>
      <c r="H82" s="18">
        <f>'Monthly Data'!AL82</f>
        <v>819564</v>
      </c>
      <c r="I82" s="18">
        <f>'Monthly Data'!CD82</f>
        <v>30</v>
      </c>
      <c r="K82" s="18">
        <f>'GS 50-999 Predicted Monthly'!$V$10</f>
        <v>-9326437.7987639103</v>
      </c>
      <c r="L82" s="18">
        <f>E82*'GS 50-999 Predicted Monthly'!$V$11</f>
        <v>843002.93458312307</v>
      </c>
      <c r="M82" s="18">
        <f>F82*'GS 50-999 Predicted Monthly'!$V$12</f>
        <v>4311309.5031767115</v>
      </c>
      <c r="N82" s="18">
        <f>G82*'GS 50-999 Predicted Monthly'!$V$13</f>
        <v>-1424872.5632308151</v>
      </c>
      <c r="O82" s="18">
        <f>H82*'GS 50-999 Predicted Monthly'!$V$14</f>
        <v>5881488.6487258226</v>
      </c>
      <c r="P82" s="18">
        <f>I82*'GS 50-999 Predicted Monthly'!$V$15</f>
        <v>23157856.034688119</v>
      </c>
      <c r="Q82" s="18">
        <f t="shared" si="11"/>
        <v>23442346.759179052</v>
      </c>
      <c r="R82" s="18">
        <f t="shared" si="9"/>
        <v>1319126.949812673</v>
      </c>
      <c r="S82" s="279">
        <f t="shared" si="10"/>
        <v>5.9626354625568111E-2</v>
      </c>
      <c r="U82" s="18"/>
      <c r="X82" s="18"/>
      <c r="Y82" s="18"/>
      <c r="Z82" s="240"/>
    </row>
    <row r="83" spans="1:26" x14ac:dyDescent="0.25">
      <c r="A83" s="3">
        <f>'Monthly Data'!A83</f>
        <v>44470</v>
      </c>
      <c r="B83" s="1">
        <f t="shared" si="7"/>
        <v>2021</v>
      </c>
      <c r="C83" s="1">
        <f t="shared" si="8"/>
        <v>10</v>
      </c>
      <c r="D83" s="24">
        <f>'Monthly Data'!N83</f>
        <v>26526312.140713964</v>
      </c>
      <c r="E83" s="278">
        <f>'Monthly Data'!BB83</f>
        <v>153.47499999999997</v>
      </c>
      <c r="F83" s="278">
        <f>'Monthly Data'!BI83</f>
        <v>77.979166666666686</v>
      </c>
      <c r="G83" s="278">
        <f>'Monthly Data'!CG83</f>
        <v>0.5</v>
      </c>
      <c r="H83" s="18">
        <f>'Monthly Data'!AL83</f>
        <v>838397</v>
      </c>
      <c r="I83" s="18">
        <f>'Monthly Data'!CD83</f>
        <v>31</v>
      </c>
      <c r="K83" s="18">
        <f>'GS 50-999 Predicted Monthly'!$V$10</f>
        <v>-9326437.7987639103</v>
      </c>
      <c r="L83" s="18">
        <f>E83*'GS 50-999 Predicted Monthly'!$V$11</f>
        <v>2832360.6761319661</v>
      </c>
      <c r="M83" s="18">
        <f>F83*'GS 50-999 Predicted Monthly'!$V$12</f>
        <v>2247900.9681827659</v>
      </c>
      <c r="N83" s="18">
        <f>G83*'GS 50-999 Predicted Monthly'!$V$13</f>
        <v>-1424872.5632308151</v>
      </c>
      <c r="O83" s="18">
        <f>H83*'GS 50-999 Predicted Monthly'!$V$14</f>
        <v>6016641.0904161036</v>
      </c>
      <c r="P83" s="18">
        <f>I83*'GS 50-999 Predicted Monthly'!$V$15</f>
        <v>23929784.569177721</v>
      </c>
      <c r="Q83" s="18">
        <f t="shared" si="11"/>
        <v>24275376.941913828</v>
      </c>
      <c r="R83" s="18">
        <f t="shared" si="9"/>
        <v>-2250935.1988001354</v>
      </c>
      <c r="S83" s="279">
        <f t="shared" si="10"/>
        <v>8.4856695753997513E-2</v>
      </c>
      <c r="U83" s="18"/>
      <c r="X83" s="18"/>
      <c r="Y83" s="18"/>
      <c r="Z83" s="240"/>
    </row>
    <row r="84" spans="1:26" x14ac:dyDescent="0.25">
      <c r="A84" s="3">
        <f>'Monthly Data'!A84</f>
        <v>44501</v>
      </c>
      <c r="B84" s="1">
        <f t="shared" si="7"/>
        <v>2021</v>
      </c>
      <c r="C84" s="1">
        <f t="shared" si="8"/>
        <v>11</v>
      </c>
      <c r="D84" s="24">
        <f>'Monthly Data'!N84</f>
        <v>26196190.249155696</v>
      </c>
      <c r="E84" s="278">
        <f>'Monthly Data'!BB84</f>
        <v>446.3126035196687</v>
      </c>
      <c r="F84" s="278">
        <f>'Monthly Data'!BI84</f>
        <v>0</v>
      </c>
      <c r="G84" s="278">
        <f>'Monthly Data'!CG84</f>
        <v>0.5</v>
      </c>
      <c r="H84" s="18">
        <f>'Monthly Data'!AL84</f>
        <v>838397</v>
      </c>
      <c r="I84" s="18">
        <f>'Monthly Data'!CD84</f>
        <v>30</v>
      </c>
      <c r="K84" s="18">
        <f>'GS 50-999 Predicted Monthly'!$V$10</f>
        <v>-9326437.7987639103</v>
      </c>
      <c r="L84" s="18">
        <f>E84*'GS 50-999 Predicted Monthly'!$V$11</f>
        <v>8236639.6316741304</v>
      </c>
      <c r="M84" s="18">
        <f>F84*'GS 50-999 Predicted Monthly'!$V$12</f>
        <v>0</v>
      </c>
      <c r="N84" s="18">
        <f>G84*'GS 50-999 Predicted Monthly'!$V$13</f>
        <v>-1424872.5632308151</v>
      </c>
      <c r="O84" s="18">
        <f>H84*'GS 50-999 Predicted Monthly'!$V$14</f>
        <v>6016641.0904161036</v>
      </c>
      <c r="P84" s="18">
        <f>I84*'GS 50-999 Predicted Monthly'!$V$15</f>
        <v>23157856.034688119</v>
      </c>
      <c r="Q84" s="18">
        <f t="shared" si="11"/>
        <v>26659826.394783627</v>
      </c>
      <c r="R84" s="18">
        <f t="shared" si="9"/>
        <v>463636.14562793076</v>
      </c>
      <c r="S84" s="279">
        <f t="shared" si="10"/>
        <v>1.7698609653473325E-2</v>
      </c>
      <c r="U84" s="18"/>
      <c r="X84" s="18"/>
      <c r="Y84" s="18"/>
      <c r="Z84" s="240"/>
    </row>
    <row r="85" spans="1:26" x14ac:dyDescent="0.25">
      <c r="A85" s="3">
        <f>'Monthly Data'!A85</f>
        <v>44531</v>
      </c>
      <c r="B85" s="1">
        <f t="shared" si="7"/>
        <v>2021</v>
      </c>
      <c r="C85" s="1">
        <f t="shared" si="8"/>
        <v>12</v>
      </c>
      <c r="D85" s="24">
        <f>'Monthly Data'!N85</f>
        <v>31130519.465445086</v>
      </c>
      <c r="E85" s="278">
        <f>'Monthly Data'!BB85</f>
        <v>533.04583333333346</v>
      </c>
      <c r="F85" s="278">
        <f>'Monthly Data'!BI85</f>
        <v>0</v>
      </c>
      <c r="G85" s="278">
        <f>'Monthly Data'!CG85</f>
        <v>0.5</v>
      </c>
      <c r="H85" s="18">
        <f>'Monthly Data'!AL85</f>
        <v>838397</v>
      </c>
      <c r="I85" s="18">
        <f>'Monthly Data'!CD85</f>
        <v>31</v>
      </c>
      <c r="K85" s="18">
        <f>'GS 50-999 Predicted Monthly'!$V$10</f>
        <v>-9326437.7987639103</v>
      </c>
      <c r="L85" s="18">
        <f>E85*'GS 50-999 Predicted Monthly'!$V$11</f>
        <v>9837289.8316294383</v>
      </c>
      <c r="M85" s="18">
        <f>F85*'GS 50-999 Predicted Monthly'!$V$12</f>
        <v>0</v>
      </c>
      <c r="N85" s="18">
        <f>G85*'GS 50-999 Predicted Monthly'!$V$13</f>
        <v>-1424872.5632308151</v>
      </c>
      <c r="O85" s="18">
        <f>H85*'GS 50-999 Predicted Monthly'!$V$14</f>
        <v>6016641.0904161036</v>
      </c>
      <c r="P85" s="18">
        <f>I85*'GS 50-999 Predicted Monthly'!$V$15</f>
        <v>23929784.569177721</v>
      </c>
      <c r="Q85" s="18">
        <f t="shared" si="11"/>
        <v>29032405.129228536</v>
      </c>
      <c r="R85" s="18">
        <f t="shared" si="9"/>
        <v>-2098114.3362165503</v>
      </c>
      <c r="S85" s="279">
        <f t="shared" si="10"/>
        <v>6.7397344221816147E-2</v>
      </c>
      <c r="U85" s="18"/>
      <c r="X85" s="18"/>
      <c r="Y85" s="18"/>
      <c r="Z85" s="240"/>
    </row>
    <row r="86" spans="1:26" x14ac:dyDescent="0.25">
      <c r="A86" s="3">
        <f>'Monthly Data'!A86</f>
        <v>44562</v>
      </c>
      <c r="B86" s="1">
        <f t="shared" si="7"/>
        <v>2022</v>
      </c>
      <c r="C86" s="1">
        <f t="shared" si="8"/>
        <v>1</v>
      </c>
      <c r="D86" s="24">
        <f>'Monthly Data'!N86</f>
        <v>35142313.8818653</v>
      </c>
      <c r="E86" s="278">
        <f>'Monthly Data'!BB86</f>
        <v>825.49166666666656</v>
      </c>
      <c r="F86" s="278">
        <f>'Monthly Data'!BI86</f>
        <v>0</v>
      </c>
      <c r="G86" s="278">
        <f>'Monthly Data'!CG86</f>
        <v>0.25</v>
      </c>
      <c r="H86" s="18">
        <f>'Monthly Data'!AL86</f>
        <v>845218</v>
      </c>
      <c r="I86" s="18">
        <f>'Monthly Data'!CD86</f>
        <v>31</v>
      </c>
      <c r="K86" s="18">
        <f>'GS 50-999 Predicted Monthly'!$V$10</f>
        <v>-9326437.7987639103</v>
      </c>
      <c r="L86" s="18">
        <f>E86*'GS 50-999 Predicted Monthly'!$V$11</f>
        <v>15234338.720581878</v>
      </c>
      <c r="M86" s="18">
        <f>F86*'GS 50-999 Predicted Monthly'!$V$12</f>
        <v>0</v>
      </c>
      <c r="N86" s="18">
        <f>G86*'GS 50-999 Predicted Monthly'!$V$13</f>
        <v>-712436.28161540756</v>
      </c>
      <c r="O86" s="18">
        <f>H86*'GS 50-999 Predicted Monthly'!$V$14</f>
        <v>6065591.0614652941</v>
      </c>
      <c r="P86" s="18">
        <f>I86*'GS 50-999 Predicted Monthly'!$V$15</f>
        <v>23929784.569177721</v>
      </c>
      <c r="Q86" s="18">
        <f t="shared" si="11"/>
        <v>35190840.270845577</v>
      </c>
      <c r="R86" s="18">
        <f t="shared" si="9"/>
        <v>48526.388980276883</v>
      </c>
      <c r="S86" s="279">
        <f t="shared" si="10"/>
        <v>1.3808535528822491E-3</v>
      </c>
      <c r="U86" s="18"/>
      <c r="X86" s="18"/>
      <c r="Y86" s="18"/>
      <c r="Z86" s="240"/>
    </row>
    <row r="87" spans="1:26" x14ac:dyDescent="0.25">
      <c r="A87" s="3">
        <f>'Monthly Data'!A87</f>
        <v>44593</v>
      </c>
      <c r="B87" s="1">
        <f t="shared" si="7"/>
        <v>2022</v>
      </c>
      <c r="C87" s="1">
        <f t="shared" si="8"/>
        <v>2</v>
      </c>
      <c r="D87" s="24">
        <f>'Monthly Data'!N87</f>
        <v>33372096.669579025</v>
      </c>
      <c r="E87" s="278">
        <f>'Monthly Data'!BB87</f>
        <v>636.84999999999991</v>
      </c>
      <c r="F87" s="278">
        <f>'Monthly Data'!BI87</f>
        <v>0</v>
      </c>
      <c r="G87" s="278">
        <f>'Monthly Data'!CG87</f>
        <v>0.25</v>
      </c>
      <c r="H87" s="18">
        <f>'Monthly Data'!AL87</f>
        <v>845218</v>
      </c>
      <c r="I87" s="18">
        <f>'Monthly Data'!CD87</f>
        <v>28</v>
      </c>
      <c r="K87" s="18">
        <f>'GS 50-999 Predicted Monthly'!$V$10</f>
        <v>-9326437.7987639103</v>
      </c>
      <c r="L87" s="18">
        <f>E87*'GS 50-999 Predicted Monthly'!$V$11</f>
        <v>11752981.896690944</v>
      </c>
      <c r="M87" s="18">
        <f>F87*'GS 50-999 Predicted Monthly'!$V$12</f>
        <v>0</v>
      </c>
      <c r="N87" s="18">
        <f>G87*'GS 50-999 Predicted Monthly'!$V$13</f>
        <v>-712436.28161540756</v>
      </c>
      <c r="O87" s="18">
        <f>H87*'GS 50-999 Predicted Monthly'!$V$14</f>
        <v>6065591.0614652941</v>
      </c>
      <c r="P87" s="18">
        <f>I87*'GS 50-999 Predicted Monthly'!$V$15</f>
        <v>21613998.965708911</v>
      </c>
      <c r="Q87" s="18">
        <f t="shared" si="11"/>
        <v>29393697.843485832</v>
      </c>
      <c r="R87" s="18">
        <f t="shared" si="9"/>
        <v>-3978398.8260931931</v>
      </c>
      <c r="S87" s="279">
        <f t="shared" si="10"/>
        <v>0.1192133315890751</v>
      </c>
      <c r="U87" s="18"/>
      <c r="X87" s="18"/>
      <c r="Y87" s="18"/>
      <c r="Z87" s="240"/>
    </row>
    <row r="88" spans="1:26" x14ac:dyDescent="0.25">
      <c r="A88" s="3">
        <f>'Monthly Data'!A88</f>
        <v>44621</v>
      </c>
      <c r="B88" s="1">
        <f t="shared" si="7"/>
        <v>2022</v>
      </c>
      <c r="C88" s="1">
        <f t="shared" si="8"/>
        <v>3</v>
      </c>
      <c r="D88" s="24">
        <f>'Monthly Data'!N88</f>
        <v>30259532.358253561</v>
      </c>
      <c r="E88" s="278">
        <f>'Monthly Data'!BB88</f>
        <v>544.7208333333333</v>
      </c>
      <c r="F88" s="278">
        <f>'Monthly Data'!BI88</f>
        <v>0</v>
      </c>
      <c r="G88" s="278">
        <f>'Monthly Data'!CG88</f>
        <v>0.25</v>
      </c>
      <c r="H88" s="18">
        <f>'Monthly Data'!AL88</f>
        <v>845218</v>
      </c>
      <c r="I88" s="18">
        <f>'Monthly Data'!CD88</f>
        <v>31</v>
      </c>
      <c r="K88" s="18">
        <f>'GS 50-999 Predicted Monthly'!$V$10</f>
        <v>-9326437.7987639103</v>
      </c>
      <c r="L88" s="18">
        <f>E88*'GS 50-999 Predicted Monthly'!$V$11</f>
        <v>10052750.401063159</v>
      </c>
      <c r="M88" s="18">
        <f>F88*'GS 50-999 Predicted Monthly'!$V$12</f>
        <v>0</v>
      </c>
      <c r="N88" s="18">
        <f>G88*'GS 50-999 Predicted Monthly'!$V$13</f>
        <v>-712436.28161540756</v>
      </c>
      <c r="O88" s="18">
        <f>H88*'GS 50-999 Predicted Monthly'!$V$14</f>
        <v>6065591.0614652941</v>
      </c>
      <c r="P88" s="18">
        <f>I88*'GS 50-999 Predicted Monthly'!$V$15</f>
        <v>23929784.569177721</v>
      </c>
      <c r="Q88" s="18">
        <f t="shared" si="11"/>
        <v>30009251.951326855</v>
      </c>
      <c r="R88" s="18">
        <f t="shared" si="9"/>
        <v>-250280.40692670643</v>
      </c>
      <c r="S88" s="279">
        <f t="shared" si="10"/>
        <v>8.2711260690861328E-3</v>
      </c>
      <c r="U88" s="18"/>
    </row>
    <row r="89" spans="1:26" x14ac:dyDescent="0.25">
      <c r="A89" s="3">
        <f>'Monthly Data'!A89</f>
        <v>44652</v>
      </c>
      <c r="B89" s="1">
        <f t="shared" si="7"/>
        <v>2022</v>
      </c>
      <c r="C89" s="1">
        <f t="shared" si="8"/>
        <v>4</v>
      </c>
      <c r="D89" s="24">
        <f>'Monthly Data'!N89</f>
        <v>27480122.684585173</v>
      </c>
      <c r="E89" s="278">
        <f>'Monthly Data'!BB89</f>
        <v>354.33333333333331</v>
      </c>
      <c r="F89" s="278">
        <f>'Monthly Data'!BI89</f>
        <v>2.2541666666666629</v>
      </c>
      <c r="G89" s="278">
        <f>'Monthly Data'!CG89</f>
        <v>0.25</v>
      </c>
      <c r="H89" s="18">
        <f>'Monthly Data'!AL89</f>
        <v>851621</v>
      </c>
      <c r="I89" s="18">
        <f>'Monthly Data'!CD89</f>
        <v>30</v>
      </c>
      <c r="K89" s="18">
        <f>'GS 50-999 Predicted Monthly'!$V$10</f>
        <v>-9326437.7987639103</v>
      </c>
      <c r="L89" s="18">
        <f>E89*'GS 50-999 Predicted Monthly'!$V$11</f>
        <v>6539174.4556187876</v>
      </c>
      <c r="M89" s="18">
        <f>F89*'GS 50-999 Predicted Monthly'!$V$12</f>
        <v>64980.73330413433</v>
      </c>
      <c r="N89" s="18">
        <f>G89*'GS 50-999 Predicted Monthly'!$V$13</f>
        <v>-712436.28161540756</v>
      </c>
      <c r="O89" s="18">
        <f>H89*'GS 50-999 Predicted Monthly'!$V$14</f>
        <v>6111541.3128401609</v>
      </c>
      <c r="P89" s="18">
        <f>I89*'GS 50-999 Predicted Monthly'!$V$15</f>
        <v>23157856.034688119</v>
      </c>
      <c r="Q89" s="18">
        <f t="shared" si="11"/>
        <v>25834678.456071883</v>
      </c>
      <c r="R89" s="18">
        <f t="shared" si="9"/>
        <v>-1645444.2285132892</v>
      </c>
      <c r="S89" s="279">
        <f t="shared" si="10"/>
        <v>5.987761580978284E-2</v>
      </c>
      <c r="Z89" s="286"/>
    </row>
    <row r="90" spans="1:26" x14ac:dyDescent="0.25">
      <c r="A90" s="3">
        <f>'Monthly Data'!A90</f>
        <v>44682</v>
      </c>
      <c r="B90" s="1">
        <f t="shared" si="7"/>
        <v>2022</v>
      </c>
      <c r="C90" s="1">
        <f t="shared" si="8"/>
        <v>5</v>
      </c>
      <c r="D90" s="24">
        <f>'Monthly Data'!N90</f>
        <v>25718021.413816359</v>
      </c>
      <c r="E90" s="278">
        <f>'Monthly Data'!BB90</f>
        <v>109.50833333333333</v>
      </c>
      <c r="F90" s="278">
        <f>'Monthly Data'!BI90</f>
        <v>109.43749999999997</v>
      </c>
      <c r="G90" s="278">
        <f>'Monthly Data'!CG90</f>
        <v>0.25</v>
      </c>
      <c r="H90" s="18">
        <f>'Monthly Data'!AL90</f>
        <v>851621</v>
      </c>
      <c r="I90" s="18">
        <f>'Monthly Data'!CD90</f>
        <v>31</v>
      </c>
      <c r="K90" s="18">
        <f>'GS 50-999 Predicted Monthly'!$V$10</f>
        <v>-9326437.7987639103</v>
      </c>
      <c r="L90" s="18">
        <f>E90*'GS 50-999 Predicted Monthly'!$V$11</f>
        <v>2020961.7008769165</v>
      </c>
      <c r="M90" s="18">
        <f>F90*'GS 50-999 Predicted Monthly'!$V$12</f>
        <v>3154748.5401720712</v>
      </c>
      <c r="N90" s="18">
        <f>G90*'GS 50-999 Predicted Monthly'!$V$13</f>
        <v>-712436.28161540756</v>
      </c>
      <c r="O90" s="18">
        <f>H90*'GS 50-999 Predicted Monthly'!$V$14</f>
        <v>6111541.3128401609</v>
      </c>
      <c r="P90" s="18">
        <f>I90*'GS 50-999 Predicted Monthly'!$V$15</f>
        <v>23929784.569177721</v>
      </c>
      <c r="Q90" s="18">
        <f t="shared" si="11"/>
        <v>25178162.04268755</v>
      </c>
      <c r="R90" s="18">
        <f t="shared" si="9"/>
        <v>-539859.37112880871</v>
      </c>
      <c r="S90" s="279">
        <f t="shared" si="10"/>
        <v>2.0991481515711893E-2</v>
      </c>
    </row>
    <row r="91" spans="1:26" x14ac:dyDescent="0.25">
      <c r="A91" s="3">
        <f>'Monthly Data'!A91</f>
        <v>44713</v>
      </c>
      <c r="B91" s="1">
        <f t="shared" si="7"/>
        <v>2022</v>
      </c>
      <c r="C91" s="1">
        <f t="shared" si="8"/>
        <v>6</v>
      </c>
      <c r="D91" s="24">
        <f>'Monthly Data'!N91</f>
        <v>26994738.159102611</v>
      </c>
      <c r="E91" s="278">
        <f>'Monthly Data'!BB91</f>
        <v>36.166510989010987</v>
      </c>
      <c r="F91" s="278">
        <f>'Monthly Data'!BI91</f>
        <v>180.92250416250408</v>
      </c>
      <c r="G91" s="278">
        <f>'Monthly Data'!CG91</f>
        <v>0.25</v>
      </c>
      <c r="H91" s="18">
        <f>'Monthly Data'!AL91</f>
        <v>851621</v>
      </c>
      <c r="I91" s="18">
        <f>'Monthly Data'!CD91</f>
        <v>30</v>
      </c>
      <c r="K91" s="18">
        <f>'GS 50-999 Predicted Monthly'!$V$10</f>
        <v>-9326437.7987639103</v>
      </c>
      <c r="L91" s="18">
        <f>E91*'GS 50-999 Predicted Monthly'!$V$11</f>
        <v>667448.14150949253</v>
      </c>
      <c r="M91" s="18">
        <f>F91*'GS 50-999 Predicted Monthly'!$V$12</f>
        <v>5215442.6580553781</v>
      </c>
      <c r="N91" s="18">
        <f>G91*'GS 50-999 Predicted Monthly'!$V$13</f>
        <v>-712436.28161540756</v>
      </c>
      <c r="O91" s="18">
        <f>H91*'GS 50-999 Predicted Monthly'!$V$14</f>
        <v>6111541.3128401609</v>
      </c>
      <c r="P91" s="18">
        <f>I91*'GS 50-999 Predicted Monthly'!$V$15</f>
        <v>23157856.034688119</v>
      </c>
      <c r="Q91" s="18">
        <f t="shared" si="11"/>
        <v>25113414.066713832</v>
      </c>
      <c r="R91" s="18">
        <f t="shared" si="9"/>
        <v>-1881324.0923887789</v>
      </c>
      <c r="S91" s="279">
        <f t="shared" si="10"/>
        <v>6.9692251923340012E-2</v>
      </c>
    </row>
    <row r="92" spans="1:26" x14ac:dyDescent="0.25">
      <c r="A92" s="3">
        <f>'Monthly Data'!A92</f>
        <v>44743</v>
      </c>
      <c r="B92" s="1">
        <f t="shared" si="7"/>
        <v>2022</v>
      </c>
      <c r="C92" s="1">
        <f t="shared" si="8"/>
        <v>7</v>
      </c>
      <c r="D92" s="24">
        <f>'Monthly Data'!N92</f>
        <v>30437331.985723536</v>
      </c>
      <c r="E92" s="278">
        <f>'Monthly Data'!BB92</f>
        <v>0.62083333333333357</v>
      </c>
      <c r="F92" s="278">
        <f>'Monthly Data'!BI92</f>
        <v>283.8543382913806</v>
      </c>
      <c r="G92" s="278">
        <f>'Monthly Data'!CG92</f>
        <v>0.25</v>
      </c>
      <c r="H92" s="18">
        <f>'Monthly Data'!AL92</f>
        <v>852979</v>
      </c>
      <c r="I92" s="18">
        <f>'Monthly Data'!CD92</f>
        <v>31</v>
      </c>
      <c r="K92" s="18">
        <f>'GS 50-999 Predicted Monthly'!$V$10</f>
        <v>-9326437.7987639103</v>
      </c>
      <c r="L92" s="18">
        <f>E92*'GS 50-999 Predicted Monthly'!$V$11</f>
        <v>11457.396447403573</v>
      </c>
      <c r="M92" s="18">
        <f>F92*'GS 50-999 Predicted Monthly'!$V$12</f>
        <v>8182652.7410279149</v>
      </c>
      <c r="N92" s="18">
        <f>G92*'GS 50-999 Predicted Monthly'!$V$13</f>
        <v>-712436.28161540756</v>
      </c>
      <c r="O92" s="18">
        <f>H92*'GS 50-999 Predicted Monthly'!$V$14</f>
        <v>6121286.813600284</v>
      </c>
      <c r="P92" s="18">
        <f>I92*'GS 50-999 Predicted Monthly'!$V$15</f>
        <v>23929784.569177721</v>
      </c>
      <c r="Q92" s="18">
        <f t="shared" si="11"/>
        <v>28206307.439874005</v>
      </c>
      <c r="R92" s="18">
        <f t="shared" si="9"/>
        <v>-2231024.5458495319</v>
      </c>
      <c r="S92" s="279">
        <f t="shared" si="10"/>
        <v>7.3298952316056543E-2</v>
      </c>
    </row>
    <row r="93" spans="1:26" x14ac:dyDescent="0.25">
      <c r="A93" s="3">
        <f>'Monthly Data'!A93</f>
        <v>44774</v>
      </c>
      <c r="B93" s="1">
        <f t="shared" si="7"/>
        <v>2022</v>
      </c>
      <c r="C93" s="1">
        <f t="shared" si="8"/>
        <v>8</v>
      </c>
      <c r="D93" s="24">
        <f>'Monthly Data'!N93</f>
        <v>28209659.303995032</v>
      </c>
      <c r="E93" s="278">
        <f>'Monthly Data'!BB93</f>
        <v>0.76250000000000284</v>
      </c>
      <c r="F93" s="278">
        <f>'Monthly Data'!BI93</f>
        <v>290.28333333333336</v>
      </c>
      <c r="G93" s="278">
        <f>'Monthly Data'!CG93</f>
        <v>0.25</v>
      </c>
      <c r="H93" s="18">
        <f>'Monthly Data'!AL93</f>
        <v>852979</v>
      </c>
      <c r="I93" s="18">
        <f>'Monthly Data'!CD93</f>
        <v>31</v>
      </c>
      <c r="K93" s="18">
        <f>'GS 50-999 Predicted Monthly'!$V$10</f>
        <v>-9326437.7987639103</v>
      </c>
      <c r="L93" s="18">
        <f>E93*'GS 50-999 Predicted Monthly'!$V$11</f>
        <v>14071.835905200409</v>
      </c>
      <c r="M93" s="18">
        <f>F93*'GS 50-999 Predicted Monthly'!$V$12</f>
        <v>8367981.0126292761</v>
      </c>
      <c r="N93" s="18">
        <f>G93*'GS 50-999 Predicted Monthly'!$V$13</f>
        <v>-712436.28161540756</v>
      </c>
      <c r="O93" s="18">
        <f>H93*'GS 50-999 Predicted Monthly'!$V$14</f>
        <v>6121286.813600284</v>
      </c>
      <c r="P93" s="18">
        <f>I93*'GS 50-999 Predicted Monthly'!$V$15</f>
        <v>23929784.569177721</v>
      </c>
      <c r="Q93" s="18">
        <f t="shared" si="11"/>
        <v>28394250.150933161</v>
      </c>
      <c r="R93" s="18">
        <f t="shared" si="9"/>
        <v>184590.84693812951</v>
      </c>
      <c r="S93" s="279">
        <f t="shared" si="10"/>
        <v>6.5435333673805798E-3</v>
      </c>
    </row>
    <row r="94" spans="1:26" x14ac:dyDescent="0.25">
      <c r="A94" s="3">
        <f>'Monthly Data'!A94</f>
        <v>44805</v>
      </c>
      <c r="B94" s="1">
        <f t="shared" si="7"/>
        <v>2022</v>
      </c>
      <c r="C94" s="1">
        <f t="shared" si="8"/>
        <v>9</v>
      </c>
      <c r="D94" s="24">
        <f>'Monthly Data'!N94</f>
        <v>27443738.433949891</v>
      </c>
      <c r="E94" s="278">
        <f>'Monthly Data'!BB94</f>
        <v>71.412499999999994</v>
      </c>
      <c r="F94" s="278">
        <f>'Monthly Data'!BI94</f>
        <v>139.79166666666663</v>
      </c>
      <c r="G94" s="278">
        <f>'Monthly Data'!CG94</f>
        <v>0.25</v>
      </c>
      <c r="H94" s="18">
        <f>'Monthly Data'!AL94</f>
        <v>852979</v>
      </c>
      <c r="I94" s="18">
        <f>'Monthly Data'!CD94</f>
        <v>30</v>
      </c>
      <c r="K94" s="18">
        <f>'GS 50-999 Predicted Monthly'!$V$10</f>
        <v>-9326437.7987639103</v>
      </c>
      <c r="L94" s="18">
        <f>E94*'GS 50-999 Predicted Monthly'!$V$11</f>
        <v>1317908.1725640923</v>
      </c>
      <c r="M94" s="18">
        <f>F94*'GS 50-999 Predicted Monthly'!$V$12</f>
        <v>4029766.3629458593</v>
      </c>
      <c r="N94" s="18">
        <f>G94*'GS 50-999 Predicted Monthly'!$V$13</f>
        <v>-712436.28161540756</v>
      </c>
      <c r="O94" s="18">
        <f>H94*'GS 50-999 Predicted Monthly'!$V$14</f>
        <v>6121286.813600284</v>
      </c>
      <c r="P94" s="18">
        <f>I94*'GS 50-999 Predicted Monthly'!$V$15</f>
        <v>23157856.034688119</v>
      </c>
      <c r="Q94" s="18">
        <f t="shared" si="11"/>
        <v>24587943.303419039</v>
      </c>
      <c r="R94" s="18">
        <f t="shared" si="9"/>
        <v>-2855795.1305308528</v>
      </c>
      <c r="S94" s="279">
        <f t="shared" si="10"/>
        <v>0.10405998939991454</v>
      </c>
    </row>
    <row r="95" spans="1:26" x14ac:dyDescent="0.25">
      <c r="A95" s="3">
        <f>'Monthly Data'!A95</f>
        <v>44835</v>
      </c>
      <c r="B95" s="1">
        <f t="shared" si="7"/>
        <v>2022</v>
      </c>
      <c r="C95" s="1">
        <f t="shared" si="8"/>
        <v>10</v>
      </c>
      <c r="D95" s="24">
        <f>'Monthly Data'!N95</f>
        <v>26694582.901064809</v>
      </c>
      <c r="E95" s="278">
        <f>'Monthly Data'!BB95</f>
        <v>268.85561594202898</v>
      </c>
      <c r="F95" s="278">
        <f>'Monthly Data'!BI95</f>
        <v>11.604166666666668</v>
      </c>
      <c r="G95" s="278">
        <f>'Monthly Data'!CG95</f>
        <v>0.25</v>
      </c>
      <c r="H95" s="18">
        <f>'Monthly Data'!AL95</f>
        <v>852029</v>
      </c>
      <c r="I95" s="18">
        <f>'Monthly Data'!CD95</f>
        <v>31</v>
      </c>
      <c r="K95" s="18">
        <f>'GS 50-999 Predicted Monthly'!$V$10</f>
        <v>-9326437.7987639103</v>
      </c>
      <c r="L95" s="18">
        <f>E95*'GS 50-999 Predicted Monthly'!$V$11</f>
        <v>4961694.5701348204</v>
      </c>
      <c r="M95" s="18">
        <f>F95*'GS 50-999 Predicted Monthly'!$V$12</f>
        <v>334512.64741592319</v>
      </c>
      <c r="N95" s="18">
        <f>G95*'GS 50-999 Predicted Monthly'!$V$13</f>
        <v>-712436.28161540756</v>
      </c>
      <c r="O95" s="18">
        <f>H95*'GS 50-999 Predicted Monthly'!$V$14</f>
        <v>6114469.2688859124</v>
      </c>
      <c r="P95" s="18">
        <f>I95*'GS 50-999 Predicted Monthly'!$V$15</f>
        <v>23929784.569177721</v>
      </c>
      <c r="Q95" s="18">
        <f t="shared" si="11"/>
        <v>25301586.97523506</v>
      </c>
      <c r="R95" s="18">
        <f t="shared" si="9"/>
        <v>-1392995.9258297496</v>
      </c>
      <c r="S95" s="279">
        <f t="shared" si="10"/>
        <v>5.2182719280254607E-2</v>
      </c>
    </row>
    <row r="96" spans="1:26" x14ac:dyDescent="0.25">
      <c r="A96" s="3">
        <f>'Monthly Data'!A96</f>
        <v>44866</v>
      </c>
      <c r="B96" s="1">
        <f t="shared" si="7"/>
        <v>2022</v>
      </c>
      <c r="C96" s="1">
        <f t="shared" si="8"/>
        <v>11</v>
      </c>
      <c r="D96" s="24">
        <f>'Monthly Data'!N96</f>
        <v>27218650.297496051</v>
      </c>
      <c r="E96" s="278">
        <f>'Monthly Data'!BB96</f>
        <v>411.83333333333348</v>
      </c>
      <c r="F96" s="278">
        <f>'Monthly Data'!BI96</f>
        <v>6.5791666666666675</v>
      </c>
      <c r="G96" s="278">
        <f>'Monthly Data'!CG96</f>
        <v>0.25</v>
      </c>
      <c r="H96" s="18">
        <f>'Monthly Data'!AL96</f>
        <v>852029</v>
      </c>
      <c r="I96" s="18">
        <f>'Monthly Data'!CD96</f>
        <v>30</v>
      </c>
      <c r="K96" s="18">
        <f>'GS 50-999 Predicted Monthly'!$V$10</f>
        <v>-9326437.7987639103</v>
      </c>
      <c r="L96" s="18">
        <f>E96*'GS 50-999 Predicted Monthly'!$V$11</f>
        <v>7600329.2943716049</v>
      </c>
      <c r="M96" s="18">
        <f>F96*'GS 50-999 Predicted Monthly'!$V$12</f>
        <v>189657.26042001534</v>
      </c>
      <c r="N96" s="18">
        <f>G96*'GS 50-999 Predicted Monthly'!$V$13</f>
        <v>-712436.28161540756</v>
      </c>
      <c r="O96" s="18">
        <f>H96*'GS 50-999 Predicted Monthly'!$V$14</f>
        <v>6114469.2688859124</v>
      </c>
      <c r="P96" s="18">
        <f>I96*'GS 50-999 Predicted Monthly'!$V$15</f>
        <v>23157856.034688119</v>
      </c>
      <c r="Q96" s="18">
        <f t="shared" si="11"/>
        <v>27023437.777986333</v>
      </c>
      <c r="R96" s="18">
        <f t="shared" si="9"/>
        <v>-195212.51950971782</v>
      </c>
      <c r="S96" s="279">
        <f t="shared" si="10"/>
        <v>7.1720132106504993E-3</v>
      </c>
    </row>
    <row r="97" spans="1:19" x14ac:dyDescent="0.25">
      <c r="A97" s="3">
        <f>'Monthly Data'!A97</f>
        <v>44896</v>
      </c>
      <c r="B97" s="1">
        <f t="shared" si="7"/>
        <v>2022</v>
      </c>
      <c r="C97" s="1">
        <f t="shared" si="8"/>
        <v>12</v>
      </c>
      <c r="D97" s="24">
        <f>'Monthly Data'!N97</f>
        <v>33213275.661935754</v>
      </c>
      <c r="E97" s="278">
        <f>'Monthly Data'!BB97</f>
        <v>585.12083333333328</v>
      </c>
      <c r="F97" s="278">
        <f>'Monthly Data'!BI97</f>
        <v>0</v>
      </c>
      <c r="G97" s="278">
        <f>'Monthly Data'!CG97</f>
        <v>0.25</v>
      </c>
      <c r="H97" s="18">
        <f>'Monthly Data'!AL97</f>
        <v>852029</v>
      </c>
      <c r="I97" s="18">
        <f>'Monthly Data'!CD97</f>
        <v>31</v>
      </c>
      <c r="K97" s="18">
        <f>'GS 50-999 Predicted Monthly'!$V$10</f>
        <v>-9326437.7987639103</v>
      </c>
      <c r="L97" s="18">
        <f>E97*'GS 50-999 Predicted Monthly'!$V$11</f>
        <v>10798327.018204266</v>
      </c>
      <c r="M97" s="18">
        <f>F97*'GS 50-999 Predicted Monthly'!$V$12</f>
        <v>0</v>
      </c>
      <c r="N97" s="18">
        <f>G97*'GS 50-999 Predicted Monthly'!$V$13</f>
        <v>-712436.28161540756</v>
      </c>
      <c r="O97" s="18">
        <f>H97*'GS 50-999 Predicted Monthly'!$V$14</f>
        <v>6114469.2688859124</v>
      </c>
      <c r="P97" s="18">
        <f>I97*'GS 50-999 Predicted Monthly'!$V$15</f>
        <v>23929784.569177721</v>
      </c>
      <c r="Q97" s="18">
        <f t="shared" si="11"/>
        <v>30803706.775888581</v>
      </c>
      <c r="R97" s="18">
        <f t="shared" si="9"/>
        <v>-2409568.8860471733</v>
      </c>
      <c r="S97" s="279">
        <f t="shared" si="10"/>
        <v>7.2548366218772933E-2</v>
      </c>
    </row>
    <row r="98" spans="1:19" x14ac:dyDescent="0.25">
      <c r="A98" s="3">
        <f>'Monthly Data'!A98</f>
        <v>44927</v>
      </c>
      <c r="B98" s="1">
        <f t="shared" si="7"/>
        <v>2023</v>
      </c>
      <c r="C98" s="1">
        <f t="shared" si="8"/>
        <v>1</v>
      </c>
      <c r="D98" s="24">
        <f>'Monthly Data'!N98</f>
        <v>33636244.995981395</v>
      </c>
      <c r="E98" s="278">
        <f>'Monthly Data'!BB98</f>
        <v>604.07083333333344</v>
      </c>
      <c r="F98" s="278">
        <f>'Monthly Data'!BI98</f>
        <v>0</v>
      </c>
      <c r="G98" s="278">
        <f>'Monthly Data'!CG98</f>
        <v>0</v>
      </c>
      <c r="H98" s="18">
        <f>'Monthly Data'!AL98</f>
        <v>860658</v>
      </c>
      <c r="I98" s="18">
        <f>'Monthly Data'!CD98</f>
        <v>31</v>
      </c>
      <c r="K98" s="18">
        <f>'GS 50-999 Predicted Monthly'!$V$10</f>
        <v>-9326437.7987639103</v>
      </c>
      <c r="L98" s="18">
        <f>E98*'GS 50-999 Predicted Monthly'!$V$11</f>
        <v>11148046.743323674</v>
      </c>
      <c r="M98" s="18">
        <f>F98*'GS 50-999 Predicted Monthly'!$V$12</f>
        <v>0</v>
      </c>
      <c r="N98" s="18">
        <f>G98*'GS 50-999 Predicted Monthly'!$V$13</f>
        <v>0</v>
      </c>
      <c r="O98" s="18">
        <f>H98*'GS 50-999 Predicted Monthly'!$V$14</f>
        <v>6176394.1039809817</v>
      </c>
      <c r="P98" s="18">
        <f>I98*'GS 50-999 Predicted Monthly'!$V$15</f>
        <v>23929784.569177721</v>
      </c>
      <c r="Q98" s="18">
        <f t="shared" si="11"/>
        <v>31927787.617718466</v>
      </c>
      <c r="R98" s="18">
        <f t="shared" ref="R98:R121" si="12">Q98-D98</f>
        <v>-1708457.3782629296</v>
      </c>
      <c r="S98" s="279">
        <f t="shared" ref="S98:S121" si="13">ABS(R98/D98)</f>
        <v>5.0792155261892138E-2</v>
      </c>
    </row>
    <row r="99" spans="1:19" x14ac:dyDescent="0.25">
      <c r="A99" s="3">
        <f>'Monthly Data'!A99</f>
        <v>44958</v>
      </c>
      <c r="B99" s="1">
        <f t="shared" si="7"/>
        <v>2023</v>
      </c>
      <c r="C99" s="1">
        <f t="shared" si="8"/>
        <v>2</v>
      </c>
      <c r="D99" s="24">
        <f>'Monthly Data'!N99</f>
        <v>29200478.524304185</v>
      </c>
      <c r="E99" s="278">
        <f>'Monthly Data'!BB99</f>
        <v>573.43333333333328</v>
      </c>
      <c r="F99" s="278">
        <f>'Monthly Data'!BI99</f>
        <v>0</v>
      </c>
      <c r="G99" s="278">
        <f>'Monthly Data'!CG99</f>
        <v>0</v>
      </c>
      <c r="H99" s="18">
        <f>'Monthly Data'!AL99</f>
        <v>860658</v>
      </c>
      <c r="I99" s="18">
        <f>'Monthly Data'!CD99</f>
        <v>28</v>
      </c>
      <c r="K99" s="18">
        <f>'GS 50-999 Predicted Monthly'!$V$10</f>
        <v>-9326437.7987639103</v>
      </c>
      <c r="L99" s="18">
        <f>E99*'GS 50-999 Predicted Monthly'!$V$11</f>
        <v>10582635.762936031</v>
      </c>
      <c r="M99" s="18">
        <f>F99*'GS 50-999 Predicted Monthly'!$V$12</f>
        <v>0</v>
      </c>
      <c r="N99" s="18">
        <f>G99*'GS 50-999 Predicted Monthly'!$V$13</f>
        <v>0</v>
      </c>
      <c r="O99" s="18">
        <f>H99*'GS 50-999 Predicted Monthly'!$V$14</f>
        <v>6176394.1039809817</v>
      </c>
      <c r="P99" s="18">
        <f>I99*'GS 50-999 Predicted Monthly'!$V$15</f>
        <v>21613998.965708911</v>
      </c>
      <c r="Q99" s="18">
        <f t="shared" si="11"/>
        <v>29046591.033862013</v>
      </c>
      <c r="R99" s="18">
        <f t="shared" si="12"/>
        <v>-153887.49044217169</v>
      </c>
      <c r="S99" s="279">
        <f t="shared" si="13"/>
        <v>5.2700331713429914E-3</v>
      </c>
    </row>
    <row r="100" spans="1:19" x14ac:dyDescent="0.25">
      <c r="A100" s="3">
        <f>'Monthly Data'!A100</f>
        <v>44986</v>
      </c>
      <c r="B100" s="1">
        <f t="shared" si="7"/>
        <v>2023</v>
      </c>
      <c r="C100" s="1">
        <f t="shared" si="8"/>
        <v>3</v>
      </c>
      <c r="D100" s="24">
        <f>'Monthly Data'!N100</f>
        <v>28885241.896434542</v>
      </c>
      <c r="E100" s="278">
        <f>'Monthly Data'!BB100</f>
        <v>551.03333333333342</v>
      </c>
      <c r="F100" s="278">
        <f>'Monthly Data'!BI100</f>
        <v>0</v>
      </c>
      <c r="G100" s="278">
        <f>'Monthly Data'!CG100</f>
        <v>0</v>
      </c>
      <c r="H100" s="18">
        <f>'Monthly Data'!AL100</f>
        <v>860658</v>
      </c>
      <c r="I100" s="18">
        <f>'Monthly Data'!CD100</f>
        <v>31</v>
      </c>
      <c r="K100" s="18">
        <f>'GS 50-999 Predicted Monthly'!$V$10</f>
        <v>-9326437.7987639103</v>
      </c>
      <c r="L100" s="18">
        <f>E100*'GS 50-999 Predicted Monthly'!$V$11</f>
        <v>10169246.747491458</v>
      </c>
      <c r="M100" s="18">
        <f>F100*'GS 50-999 Predicted Monthly'!$V$12</f>
        <v>0</v>
      </c>
      <c r="N100" s="18">
        <f>G100*'GS 50-999 Predicted Monthly'!$V$13</f>
        <v>0</v>
      </c>
      <c r="O100" s="18">
        <f>H100*'GS 50-999 Predicted Monthly'!$V$14</f>
        <v>6176394.1039809817</v>
      </c>
      <c r="P100" s="18">
        <f>I100*'GS 50-999 Predicted Monthly'!$V$15</f>
        <v>23929784.569177721</v>
      </c>
      <c r="Q100" s="18">
        <f t="shared" si="11"/>
        <v>30948987.62188625</v>
      </c>
      <c r="R100" s="18">
        <f t="shared" si="12"/>
        <v>2063745.7254517078</v>
      </c>
      <c r="S100" s="279">
        <f t="shared" si="13"/>
        <v>7.1446371571028691E-2</v>
      </c>
    </row>
    <row r="101" spans="1:19" x14ac:dyDescent="0.25">
      <c r="A101" s="3">
        <f>'Monthly Data'!A101</f>
        <v>45017</v>
      </c>
      <c r="B101" s="1">
        <f t="shared" si="7"/>
        <v>2023</v>
      </c>
      <c r="C101" s="1">
        <f t="shared" si="8"/>
        <v>4</v>
      </c>
      <c r="D101" s="24">
        <f>'Monthly Data'!N101</f>
        <v>25554743.22315539</v>
      </c>
      <c r="E101" s="278">
        <f>'Monthly Data'!BB101</f>
        <v>301.39999999999998</v>
      </c>
      <c r="F101" s="278">
        <f>'Monthly Data'!BI101</f>
        <v>22.716666666666676</v>
      </c>
      <c r="G101" s="278">
        <f>'Monthly Data'!CG101</f>
        <v>0</v>
      </c>
      <c r="H101" s="18">
        <f>'Monthly Data'!AL101</f>
        <v>865503</v>
      </c>
      <c r="I101" s="18">
        <f>'Monthly Data'!CD101</f>
        <v>30</v>
      </c>
      <c r="K101" s="18">
        <f>'GS 50-999 Predicted Monthly'!$V$10</f>
        <v>-9326437.7987639103</v>
      </c>
      <c r="L101" s="18">
        <f>E101*'GS 50-999 Predicted Monthly'!$V$11</f>
        <v>5562296.8417408355</v>
      </c>
      <c r="M101" s="18">
        <f>F101*'GS 50-999 Predicted Monthly'!$V$12</f>
        <v>654852.04801135138</v>
      </c>
      <c r="N101" s="18">
        <f>G101*'GS 50-999 Predicted Monthly'!$V$13</f>
        <v>0</v>
      </c>
      <c r="O101" s="18">
        <f>H101*'GS 50-999 Predicted Monthly'!$V$14</f>
        <v>6211163.5820242781</v>
      </c>
      <c r="P101" s="18">
        <f>I101*'GS 50-999 Predicted Monthly'!$V$15</f>
        <v>23157856.034688119</v>
      </c>
      <c r="Q101" s="18">
        <f t="shared" si="11"/>
        <v>26259730.707700673</v>
      </c>
      <c r="R101" s="18">
        <f t="shared" si="12"/>
        <v>704987.48454528302</v>
      </c>
      <c r="S101" s="279">
        <f t="shared" si="13"/>
        <v>2.7587343703242038E-2</v>
      </c>
    </row>
    <row r="102" spans="1:19" x14ac:dyDescent="0.25">
      <c r="A102" s="3">
        <f>'Monthly Data'!A102</f>
        <v>45047</v>
      </c>
      <c r="B102" s="1">
        <f t="shared" si="7"/>
        <v>2023</v>
      </c>
      <c r="C102" s="1">
        <f t="shared" si="8"/>
        <v>5</v>
      </c>
      <c r="D102" s="24">
        <f>'Monthly Data'!N102</f>
        <v>26135229.719948143</v>
      </c>
      <c r="E102" s="278">
        <f>'Monthly Data'!BB102</f>
        <v>163.56416666666669</v>
      </c>
      <c r="F102" s="278">
        <f>'Monthly Data'!BI102</f>
        <v>68.049999999999983</v>
      </c>
      <c r="G102" s="278">
        <f>'Monthly Data'!CG102</f>
        <v>0</v>
      </c>
      <c r="H102" s="18">
        <f>'Monthly Data'!AL102</f>
        <v>865503</v>
      </c>
      <c r="I102" s="18">
        <f>'Monthly Data'!CD102</f>
        <v>31</v>
      </c>
      <c r="K102" s="18">
        <f>'GS 50-999 Predicted Monthly'!$V$10</f>
        <v>-9326437.7987639103</v>
      </c>
      <c r="L102" s="18">
        <f>E102*'GS 50-999 Predicted Monthly'!$V$11</f>
        <v>3018554.9026940009</v>
      </c>
      <c r="M102" s="18">
        <f>F102*'GS 50-999 Predicted Monthly'!$V$12</f>
        <v>1961673.4497654776</v>
      </c>
      <c r="N102" s="18">
        <f>G102*'GS 50-999 Predicted Monthly'!$V$13</f>
        <v>0</v>
      </c>
      <c r="O102" s="18">
        <f>H102*'GS 50-999 Predicted Monthly'!$V$14</f>
        <v>6211163.5820242781</v>
      </c>
      <c r="P102" s="18">
        <f>I102*'GS 50-999 Predicted Monthly'!$V$15</f>
        <v>23929784.569177721</v>
      </c>
      <c r="Q102" s="18">
        <f t="shared" si="11"/>
        <v>25794738.704897568</v>
      </c>
      <c r="R102" s="18">
        <f t="shared" si="12"/>
        <v>-340491.01505057514</v>
      </c>
      <c r="S102" s="279">
        <f t="shared" si="13"/>
        <v>1.3028047531975194E-2</v>
      </c>
    </row>
    <row r="103" spans="1:19" x14ac:dyDescent="0.25">
      <c r="A103" s="3">
        <f>'Monthly Data'!A103</f>
        <v>45078</v>
      </c>
      <c r="B103" s="1">
        <f t="shared" si="7"/>
        <v>2023</v>
      </c>
      <c r="C103" s="1">
        <f t="shared" si="8"/>
        <v>6</v>
      </c>
      <c r="D103" s="24">
        <f>'Monthly Data'!N103</f>
        <v>25999923.559272785</v>
      </c>
      <c r="E103" s="278">
        <f>'Monthly Data'!BB103</f>
        <v>21.441666666666659</v>
      </c>
      <c r="F103" s="278">
        <f>'Monthly Data'!BI103</f>
        <v>205.54166666666669</v>
      </c>
      <c r="G103" s="278">
        <f>'Monthly Data'!CG103</f>
        <v>0</v>
      </c>
      <c r="H103" s="18">
        <f>'Monthly Data'!AL103</f>
        <v>865503</v>
      </c>
      <c r="I103" s="18">
        <f>'Monthly Data'!CD103</f>
        <v>30</v>
      </c>
      <c r="K103" s="18">
        <f>'GS 50-999 Predicted Monthly'!$V$10</f>
        <v>-9326437.7987639103</v>
      </c>
      <c r="L103" s="18">
        <f>E103*'GS 50-999 Predicted Monthly'!$V$11</f>
        <v>395703.10146536067</v>
      </c>
      <c r="M103" s="18">
        <f>F103*'GS 50-999 Predicted Monthly'!$V$12</f>
        <v>5925137.8445341075</v>
      </c>
      <c r="N103" s="18">
        <f>G103*'GS 50-999 Predicted Monthly'!$V$13</f>
        <v>0</v>
      </c>
      <c r="O103" s="18">
        <f>H103*'GS 50-999 Predicted Monthly'!$V$14</f>
        <v>6211163.5820242781</v>
      </c>
      <c r="P103" s="18">
        <f>I103*'GS 50-999 Predicted Monthly'!$V$15</f>
        <v>23157856.034688119</v>
      </c>
      <c r="Q103" s="18">
        <f t="shared" si="11"/>
        <v>26363422.763947956</v>
      </c>
      <c r="R103" s="18">
        <f t="shared" si="12"/>
        <v>363499.20467517152</v>
      </c>
      <c r="S103" s="279">
        <f t="shared" si="13"/>
        <v>1.3980779745236241E-2</v>
      </c>
    </row>
    <row r="104" spans="1:19" x14ac:dyDescent="0.25">
      <c r="A104" s="3">
        <f>'Monthly Data'!A104</f>
        <v>45108</v>
      </c>
      <c r="B104" s="1">
        <f t="shared" si="7"/>
        <v>2023</v>
      </c>
      <c r="C104" s="1">
        <f t="shared" si="8"/>
        <v>7</v>
      </c>
      <c r="D104" s="24">
        <f>'Monthly Data'!N104</f>
        <v>29212920.160447795</v>
      </c>
      <c r="E104" s="278">
        <f>'Monthly Data'!BB104</f>
        <v>0.12499999999999645</v>
      </c>
      <c r="F104" s="278">
        <f>'Monthly Data'!BI104</f>
        <v>285.78333333333342</v>
      </c>
      <c r="G104" s="278">
        <f>'Monthly Data'!CG104</f>
        <v>0</v>
      </c>
      <c r="H104" s="18">
        <f>'Monthly Data'!AL104</f>
        <v>867701</v>
      </c>
      <c r="I104" s="18">
        <f>'Monthly Data'!CD104</f>
        <v>31</v>
      </c>
      <c r="K104" s="18">
        <f>'GS 50-999 Predicted Monthly'!$V$10</f>
        <v>-9326437.7987639103</v>
      </c>
      <c r="L104" s="18">
        <f>E104*'GS 50-999 Predicted Monthly'!$V$11</f>
        <v>2306.858345114747</v>
      </c>
      <c r="M104" s="18">
        <f>F104*'GS 50-999 Predicted Monthly'!$V$12</f>
        <v>8238259.7705433909</v>
      </c>
      <c r="N104" s="18">
        <f>G104*'GS 50-999 Predicted Monthly'!$V$13</f>
        <v>0</v>
      </c>
      <c r="O104" s="18">
        <f>H104*'GS 50-999 Predicted Monthly'!$V$14</f>
        <v>6226937.2275844775</v>
      </c>
      <c r="P104" s="18">
        <f>I104*'GS 50-999 Predicted Monthly'!$V$15</f>
        <v>23929784.569177721</v>
      </c>
      <c r="Q104" s="18">
        <f t="shared" si="11"/>
        <v>29070850.626886792</v>
      </c>
      <c r="R104" s="18">
        <f t="shared" si="12"/>
        <v>-142069.53356100246</v>
      </c>
      <c r="S104" s="279">
        <f t="shared" si="13"/>
        <v>4.8632431397034543E-3</v>
      </c>
    </row>
    <row r="105" spans="1:19" x14ac:dyDescent="0.25">
      <c r="A105" s="3">
        <f>'Monthly Data'!A105</f>
        <v>45139</v>
      </c>
      <c r="B105" s="1">
        <f t="shared" si="7"/>
        <v>2023</v>
      </c>
      <c r="C105" s="1">
        <f t="shared" si="8"/>
        <v>8</v>
      </c>
      <c r="D105" s="24">
        <f>'Monthly Data'!N105</f>
        <v>27242931.309821352</v>
      </c>
      <c r="E105" s="278">
        <f>'Monthly Data'!BB105</f>
        <v>9.274999999999995</v>
      </c>
      <c r="F105" s="278">
        <f>'Monthly Data'!BI105</f>
        <v>227.80489130434788</v>
      </c>
      <c r="G105" s="278">
        <f>'Monthly Data'!CG105</f>
        <v>0</v>
      </c>
      <c r="H105" s="18">
        <f>'Monthly Data'!AL105</f>
        <v>867701</v>
      </c>
      <c r="I105" s="18">
        <f>'Monthly Data'!CD105</f>
        <v>31</v>
      </c>
      <c r="K105" s="18">
        <f>'GS 50-999 Predicted Monthly'!$V$10</f>
        <v>-9326437.7987639103</v>
      </c>
      <c r="L105" s="18">
        <f>E105*'GS 50-999 Predicted Monthly'!$V$11</f>
        <v>171168.88920751898</v>
      </c>
      <c r="M105" s="18">
        <f>F105*'GS 50-999 Predicted Monthly'!$V$12</f>
        <v>6566918.5451645833</v>
      </c>
      <c r="N105" s="18">
        <f>G105*'GS 50-999 Predicted Monthly'!$V$13</f>
        <v>0</v>
      </c>
      <c r="O105" s="18">
        <f>H105*'GS 50-999 Predicted Monthly'!$V$14</f>
        <v>6226937.2275844775</v>
      </c>
      <c r="P105" s="18">
        <f>I105*'GS 50-999 Predicted Monthly'!$V$15</f>
        <v>23929784.569177721</v>
      </c>
      <c r="Q105" s="18">
        <f t="shared" si="11"/>
        <v>27568371.432370391</v>
      </c>
      <c r="R105" s="18">
        <f t="shared" si="12"/>
        <v>325440.12254903838</v>
      </c>
      <c r="S105" s="279">
        <f t="shared" si="13"/>
        <v>1.1945855563337045E-2</v>
      </c>
    </row>
    <row r="106" spans="1:19" x14ac:dyDescent="0.25">
      <c r="A106" s="3">
        <f>'Monthly Data'!A106</f>
        <v>45170</v>
      </c>
      <c r="B106" s="1">
        <f t="shared" si="7"/>
        <v>2023</v>
      </c>
      <c r="C106" s="1">
        <f t="shared" si="8"/>
        <v>9</v>
      </c>
      <c r="D106" s="24">
        <f>'Monthly Data'!N106</f>
        <v>25831337.90539835</v>
      </c>
      <c r="E106" s="278">
        <f>'Monthly Data'!BB106</f>
        <v>47.591666666666676</v>
      </c>
      <c r="F106" s="278">
        <f>'Monthly Data'!BI106</f>
        <v>162.99166666666662</v>
      </c>
      <c r="G106" s="278">
        <f>'Monthly Data'!CG106</f>
        <v>0</v>
      </c>
      <c r="H106" s="18">
        <f>'Monthly Data'!AL106</f>
        <v>867701</v>
      </c>
      <c r="I106" s="18">
        <f>'Monthly Data'!CD106</f>
        <v>30</v>
      </c>
      <c r="K106" s="18">
        <f>'GS 50-999 Predicted Monthly'!$V$10</f>
        <v>-9326437.7987639103</v>
      </c>
      <c r="L106" s="18">
        <f>E106*'GS 50-999 Predicted Monthly'!$V$11</f>
        <v>878297.86726337974</v>
      </c>
      <c r="M106" s="18">
        <f>F106*'GS 50-999 Predicted Monthly'!$V$12</f>
        <v>4698551.4332553241</v>
      </c>
      <c r="N106" s="18">
        <f>G106*'GS 50-999 Predicted Monthly'!$V$13</f>
        <v>0</v>
      </c>
      <c r="O106" s="18">
        <f>H106*'GS 50-999 Predicted Monthly'!$V$14</f>
        <v>6226937.2275844775</v>
      </c>
      <c r="P106" s="18">
        <f>I106*'GS 50-999 Predicted Monthly'!$V$15</f>
        <v>23157856.034688119</v>
      </c>
      <c r="Q106" s="18">
        <f t="shared" si="11"/>
        <v>25635204.764027391</v>
      </c>
      <c r="R106" s="18">
        <f t="shared" si="12"/>
        <v>-196133.14137095958</v>
      </c>
      <c r="S106" s="279">
        <f t="shared" si="13"/>
        <v>7.5928371224616587E-3</v>
      </c>
    </row>
    <row r="107" spans="1:19" x14ac:dyDescent="0.25">
      <c r="A107" s="3">
        <f>'Monthly Data'!A107</f>
        <v>45200</v>
      </c>
      <c r="B107" s="1">
        <f t="shared" si="7"/>
        <v>2023</v>
      </c>
      <c r="C107" s="1">
        <f t="shared" si="8"/>
        <v>10</v>
      </c>
      <c r="D107" s="24">
        <f>'Monthly Data'!N107</f>
        <v>25438573.17175157</v>
      </c>
      <c r="E107" s="278">
        <f>'Monthly Data'!BB107</f>
        <v>207.15416666666667</v>
      </c>
      <c r="F107" s="278">
        <f>'Monthly Data'!BI107</f>
        <v>54.625</v>
      </c>
      <c r="G107" s="278">
        <f>'Monthly Data'!CG107</f>
        <v>0</v>
      </c>
      <c r="H107" s="18">
        <f>'Monthly Data'!AL107</f>
        <v>869576</v>
      </c>
      <c r="I107" s="18">
        <f>'Monthly Data'!CD107</f>
        <v>31</v>
      </c>
      <c r="K107" s="18">
        <f>'GS 50-999 Predicted Monthly'!$V$10</f>
        <v>-9326437.7987639103</v>
      </c>
      <c r="L107" s="18">
        <f>E107*'GS 50-999 Predicted Monthly'!$V$11</f>
        <v>3823002.5448024375</v>
      </c>
      <c r="M107" s="18">
        <f>F107*'GS 50-999 Predicted Monthly'!$V$12</f>
        <v>1574671.7442092467</v>
      </c>
      <c r="N107" s="18">
        <f>G107*'GS 50-999 Predicted Monthly'!$V$13</f>
        <v>0</v>
      </c>
      <c r="O107" s="18">
        <f>H107*'GS 50-999 Predicted Monthly'!$V$14</f>
        <v>6240392.9079417912</v>
      </c>
      <c r="P107" s="18">
        <f>I107*'GS 50-999 Predicted Monthly'!$V$15</f>
        <v>23929784.569177721</v>
      </c>
      <c r="Q107" s="18">
        <f t="shared" si="11"/>
        <v>26241413.967367284</v>
      </c>
      <c r="R107" s="18">
        <f t="shared" si="12"/>
        <v>802840.79561571404</v>
      </c>
      <c r="S107" s="279">
        <f t="shared" si="13"/>
        <v>3.155997744823337E-2</v>
      </c>
    </row>
    <row r="108" spans="1:19" x14ac:dyDescent="0.25">
      <c r="A108" s="3">
        <f>'Monthly Data'!A108</f>
        <v>45231</v>
      </c>
      <c r="B108" s="1">
        <f t="shared" si="7"/>
        <v>2023</v>
      </c>
      <c r="C108" s="1">
        <f t="shared" si="8"/>
        <v>11</v>
      </c>
      <c r="D108" s="24">
        <f>'Monthly Data'!N108</f>
        <v>27646103.846945822</v>
      </c>
      <c r="E108" s="278">
        <f>'Monthly Data'!BB108</f>
        <v>450.59311594202899</v>
      </c>
      <c r="F108" s="278">
        <f>'Monthly Data'!BI108</f>
        <v>0</v>
      </c>
      <c r="G108" s="278">
        <f>'Monthly Data'!CG108</f>
        <v>0</v>
      </c>
      <c r="H108" s="18">
        <f>'Monthly Data'!AL108</f>
        <v>869576</v>
      </c>
      <c r="I108" s="18">
        <f>'Monthly Data'!CD108</f>
        <v>30</v>
      </c>
      <c r="K108" s="18">
        <f>'GS 50-999 Predicted Monthly'!$V$10</f>
        <v>-9326437.7987639103</v>
      </c>
      <c r="L108" s="18">
        <f>E108*'GS 50-999 Predicted Monthly'!$V$11</f>
        <v>8315635.9180972464</v>
      </c>
      <c r="M108" s="18">
        <f>F108*'GS 50-999 Predicted Monthly'!$V$12</f>
        <v>0</v>
      </c>
      <c r="N108" s="18">
        <f>G108*'GS 50-999 Predicted Monthly'!$V$13</f>
        <v>0</v>
      </c>
      <c r="O108" s="18">
        <f>H108*'GS 50-999 Predicted Monthly'!$V$14</f>
        <v>6240392.9079417912</v>
      </c>
      <c r="P108" s="18">
        <f>I108*'GS 50-999 Predicted Monthly'!$V$15</f>
        <v>23157856.034688119</v>
      </c>
      <c r="Q108" s="18">
        <f t="shared" si="11"/>
        <v>28387447.061963245</v>
      </c>
      <c r="R108" s="18">
        <f t="shared" si="12"/>
        <v>741343.21501742303</v>
      </c>
      <c r="S108" s="279">
        <f t="shared" si="13"/>
        <v>2.6815468071799284E-2</v>
      </c>
    </row>
    <row r="109" spans="1:19" x14ac:dyDescent="0.25">
      <c r="A109" s="3">
        <f>'Monthly Data'!A109</f>
        <v>45261</v>
      </c>
      <c r="B109" s="1">
        <f t="shared" si="7"/>
        <v>2023</v>
      </c>
      <c r="C109" s="1">
        <f t="shared" si="8"/>
        <v>12</v>
      </c>
      <c r="D109" s="24">
        <f>'Monthly Data'!N109</f>
        <v>28943355.630869403</v>
      </c>
      <c r="E109" s="278">
        <f>'Monthly Data'!BB109</f>
        <v>489.67916666666667</v>
      </c>
      <c r="F109" s="278">
        <f>'Monthly Data'!BI109</f>
        <v>0</v>
      </c>
      <c r="G109" s="278">
        <f>'Monthly Data'!CG109</f>
        <v>0</v>
      </c>
      <c r="H109" s="18">
        <f>'Monthly Data'!AL109</f>
        <v>869576</v>
      </c>
      <c r="I109" s="18">
        <f>'Monthly Data'!CD109</f>
        <v>31</v>
      </c>
      <c r="K109" s="18">
        <f>'GS 50-999 Predicted Monthly'!$V$10</f>
        <v>-9326437.7987639103</v>
      </c>
      <c r="L109" s="18">
        <f>E109*'GS 50-999 Predicted Monthly'!$V$11</f>
        <v>9036963.7764309365</v>
      </c>
      <c r="M109" s="18">
        <f>F109*'GS 50-999 Predicted Monthly'!$V$12</f>
        <v>0</v>
      </c>
      <c r="N109" s="18">
        <f>G109*'GS 50-999 Predicted Monthly'!$V$13</f>
        <v>0</v>
      </c>
      <c r="O109" s="18">
        <f>H109*'GS 50-999 Predicted Monthly'!$V$14</f>
        <v>6240392.9079417912</v>
      </c>
      <c r="P109" s="18">
        <f>I109*'GS 50-999 Predicted Monthly'!$V$15</f>
        <v>23929784.569177721</v>
      </c>
      <c r="Q109" s="18">
        <f t="shared" si="11"/>
        <v>29880703.454786539</v>
      </c>
      <c r="R109" s="18">
        <f t="shared" si="12"/>
        <v>937347.8239171356</v>
      </c>
      <c r="S109" s="279">
        <f t="shared" si="13"/>
        <v>3.2385596054294807E-2</v>
      </c>
    </row>
    <row r="110" spans="1:19" x14ac:dyDescent="0.25">
      <c r="A110" s="3">
        <f>'Monthly Data'!A110</f>
        <v>45292</v>
      </c>
      <c r="B110" s="1">
        <f t="shared" si="7"/>
        <v>2024</v>
      </c>
      <c r="C110" s="1">
        <f t="shared" si="8"/>
        <v>1</v>
      </c>
      <c r="D110" s="24">
        <f>'Monthly Data'!N110</f>
        <v>32152306.892326869</v>
      </c>
      <c r="E110" s="278">
        <f>'Monthly Data'!BB110</f>
        <v>636.99583333333339</v>
      </c>
      <c r="F110" s="278">
        <f>'Monthly Data'!BI110</f>
        <v>0</v>
      </c>
      <c r="G110" s="278">
        <f>'Monthly Data'!CG110</f>
        <v>0</v>
      </c>
      <c r="H110" s="18">
        <f>'Monthly Data'!AL110</f>
        <v>874402</v>
      </c>
      <c r="I110" s="18">
        <f>'Monthly Data'!CD110</f>
        <v>31</v>
      </c>
      <c r="K110" s="18">
        <f>'GS 50-999 Predicted Monthly'!$V$10</f>
        <v>-9326437.7987639103</v>
      </c>
      <c r="L110" s="18">
        <f>E110*'GS 50-999 Predicted Monthly'!$V$11</f>
        <v>11755673.231426915</v>
      </c>
      <c r="M110" s="18">
        <f>F110*'GS 50-999 Predicted Monthly'!$V$12</f>
        <v>0</v>
      </c>
      <c r="N110" s="18">
        <f>G110*'GS 50-999 Predicted Monthly'!$V$13</f>
        <v>0</v>
      </c>
      <c r="O110" s="18">
        <f>H110*'GS 50-999 Predicted Monthly'!$V$14</f>
        <v>6275026.0350908004</v>
      </c>
      <c r="P110" s="18">
        <f>I110*'GS 50-999 Predicted Monthly'!$V$15</f>
        <v>23929784.569177721</v>
      </c>
      <c r="Q110" s="18">
        <f t="shared" si="11"/>
        <v>32634046.036931526</v>
      </c>
      <c r="R110" s="18">
        <f t="shared" si="12"/>
        <v>481739.14460465685</v>
      </c>
      <c r="S110" s="279">
        <f t="shared" si="13"/>
        <v>1.4983035158812311E-2</v>
      </c>
    </row>
    <row r="111" spans="1:19" x14ac:dyDescent="0.25">
      <c r="A111" s="3">
        <f>'Monthly Data'!A111</f>
        <v>45323</v>
      </c>
      <c r="B111" s="1">
        <f t="shared" si="7"/>
        <v>2024</v>
      </c>
      <c r="C111" s="1">
        <f t="shared" si="8"/>
        <v>2</v>
      </c>
      <c r="D111" s="24">
        <f>'Monthly Data'!N111</f>
        <v>27790587.798842903</v>
      </c>
      <c r="E111" s="278">
        <f>'Monthly Data'!BB111</f>
        <v>542.96666666666658</v>
      </c>
      <c r="F111" s="278">
        <f>'Monthly Data'!BI111</f>
        <v>0</v>
      </c>
      <c r="G111" s="278">
        <f>'Monthly Data'!CG111</f>
        <v>0</v>
      </c>
      <c r="H111" s="18">
        <f>'Monthly Data'!AL111</f>
        <v>874402</v>
      </c>
      <c r="I111" s="18">
        <f>'Monthly Data'!CD111</f>
        <v>29</v>
      </c>
      <c r="K111" s="18">
        <f>'GS 50-999 Predicted Monthly'!$V$10</f>
        <v>-9326437.7987639103</v>
      </c>
      <c r="L111" s="18">
        <f>E111*'GS 50-999 Predicted Monthly'!$V$11</f>
        <v>10020377.48895338</v>
      </c>
      <c r="M111" s="18">
        <f>F111*'GS 50-999 Predicted Monthly'!$V$12</f>
        <v>0</v>
      </c>
      <c r="N111" s="18">
        <f>G111*'GS 50-999 Predicted Monthly'!$V$13</f>
        <v>0</v>
      </c>
      <c r="O111" s="18">
        <f>H111*'GS 50-999 Predicted Monthly'!$V$14</f>
        <v>6275026.0350908004</v>
      </c>
      <c r="P111" s="18">
        <f>I111*'GS 50-999 Predicted Monthly'!$V$15</f>
        <v>22385927.500198513</v>
      </c>
      <c r="Q111" s="18">
        <f t="shared" si="11"/>
        <v>29354893.225478783</v>
      </c>
      <c r="R111" s="18">
        <f t="shared" si="12"/>
        <v>1564305.42663588</v>
      </c>
      <c r="S111" s="279">
        <f t="shared" si="13"/>
        <v>5.6289037063872824E-2</v>
      </c>
    </row>
    <row r="112" spans="1:19" x14ac:dyDescent="0.25">
      <c r="A112" s="3">
        <f>'Monthly Data'!A112</f>
        <v>45352</v>
      </c>
      <c r="B112" s="1">
        <f t="shared" si="7"/>
        <v>2024</v>
      </c>
      <c r="C112" s="1">
        <f t="shared" si="8"/>
        <v>3</v>
      </c>
      <c r="D112" s="24">
        <f>'Monthly Data'!N112</f>
        <v>27467300.51056587</v>
      </c>
      <c r="E112" s="278">
        <f>'Monthly Data'!BB112</f>
        <v>460.11250000000001</v>
      </c>
      <c r="F112" s="278">
        <f>'Monthly Data'!BI112</f>
        <v>0</v>
      </c>
      <c r="G112" s="278">
        <f>'Monthly Data'!CG112</f>
        <v>0</v>
      </c>
      <c r="H112" s="18">
        <f>'Monthly Data'!AL112</f>
        <v>874402</v>
      </c>
      <c r="I112" s="18">
        <f>'Monthly Data'!CD112</f>
        <v>31</v>
      </c>
      <c r="K112" s="18">
        <f>'GS 50-999 Predicted Monthly'!$V$10</f>
        <v>-9326437.7987639103</v>
      </c>
      <c r="L112" s="18">
        <f>E112*'GS 50-999 Predicted Monthly'!$V$11</f>
        <v>8491314.8825331125</v>
      </c>
      <c r="M112" s="18">
        <f>F112*'GS 50-999 Predicted Monthly'!$V$12</f>
        <v>0</v>
      </c>
      <c r="N112" s="18">
        <f>G112*'GS 50-999 Predicted Monthly'!$V$13</f>
        <v>0</v>
      </c>
      <c r="O112" s="18">
        <f>H112*'GS 50-999 Predicted Monthly'!$V$14</f>
        <v>6275026.0350908004</v>
      </c>
      <c r="P112" s="18">
        <f>I112*'GS 50-999 Predicted Monthly'!$V$15</f>
        <v>23929784.569177721</v>
      </c>
      <c r="Q112" s="18">
        <f t="shared" si="11"/>
        <v>29369687.688037723</v>
      </c>
      <c r="R112" s="18">
        <f t="shared" si="12"/>
        <v>1902387.1774718538</v>
      </c>
      <c r="S112" s="279">
        <f t="shared" si="13"/>
        <v>6.9260070779072772E-2</v>
      </c>
    </row>
    <row r="113" spans="1:19" x14ac:dyDescent="0.25">
      <c r="A113" s="3">
        <f>'Monthly Data'!A113</f>
        <v>45383</v>
      </c>
      <c r="B113" s="1">
        <f t="shared" si="7"/>
        <v>2024</v>
      </c>
      <c r="C113" s="1">
        <f t="shared" si="8"/>
        <v>4</v>
      </c>
      <c r="D113" s="24">
        <f>'Monthly Data'!N113</f>
        <v>23458667.73674326</v>
      </c>
      <c r="E113" s="278">
        <f>'Monthly Data'!BB113</f>
        <v>308.29791666666665</v>
      </c>
      <c r="F113" s="278">
        <f>'Monthly Data'!BI113</f>
        <v>2.3833333333333346</v>
      </c>
      <c r="G113" s="278">
        <f>'Monthly Data'!CG113</f>
        <v>0</v>
      </c>
      <c r="H113" s="18">
        <f>'Monthly Data'!AL113</f>
        <v>877135</v>
      </c>
      <c r="I113" s="18">
        <f>'Monthly Data'!CD113</f>
        <v>30</v>
      </c>
      <c r="K113" s="18">
        <f>'GS 50-999 Predicted Monthly'!$V$10</f>
        <v>-9326437.7987639103</v>
      </c>
      <c r="L113" s="18">
        <f>E113*'GS 50-999 Predicted Monthly'!$V$11</f>
        <v>5689596.9747520881</v>
      </c>
      <c r="M113" s="18">
        <f>F113*'GS 50-999 Predicted Monthly'!$V$12</f>
        <v>68704.21340104421</v>
      </c>
      <c r="N113" s="18">
        <f>G113*'GS 50-999 Predicted Monthly'!$V$13</f>
        <v>0</v>
      </c>
      <c r="O113" s="18">
        <f>H113*'GS 50-999 Predicted Monthly'!$V$14</f>
        <v>6294639.0347796204</v>
      </c>
      <c r="P113" s="18">
        <f>I113*'GS 50-999 Predicted Monthly'!$V$15</f>
        <v>23157856.034688119</v>
      </c>
      <c r="Q113" s="18">
        <f t="shared" si="11"/>
        <v>25884358.458856963</v>
      </c>
      <c r="R113" s="18">
        <f t="shared" si="12"/>
        <v>2425690.7221137024</v>
      </c>
      <c r="S113" s="279">
        <f t="shared" si="13"/>
        <v>0.103402748584667</v>
      </c>
    </row>
    <row r="114" spans="1:19" x14ac:dyDescent="0.25">
      <c r="A114" s="3">
        <f>'Monthly Data'!A114</f>
        <v>45413</v>
      </c>
      <c r="B114" s="1">
        <f t="shared" si="7"/>
        <v>2024</v>
      </c>
      <c r="C114" s="1">
        <f t="shared" si="8"/>
        <v>5</v>
      </c>
      <c r="D114" s="24">
        <f>'Monthly Data'!N114</f>
        <v>25229138.419557389</v>
      </c>
      <c r="E114" s="278">
        <f>'Monthly Data'!BB114</f>
        <v>89.52916666666664</v>
      </c>
      <c r="F114" s="278">
        <f>'Monthly Data'!BI114</f>
        <v>110.05000000000001</v>
      </c>
      <c r="G114" s="278">
        <f>'Monthly Data'!CG114</f>
        <v>0</v>
      </c>
      <c r="H114" s="18">
        <f>'Monthly Data'!AL114</f>
        <v>877135</v>
      </c>
      <c r="I114" s="18">
        <f>'Monthly Data'!CD114</f>
        <v>31</v>
      </c>
      <c r="K114" s="18">
        <f>'GS 50-999 Predicted Monthly'!$V$10</f>
        <v>-9326437.7987639103</v>
      </c>
      <c r="L114" s="18">
        <f>E114*'GS 50-999 Predicted Monthly'!$V$11</f>
        <v>1652248.8420493987</v>
      </c>
      <c r="M114" s="18">
        <f>F114*'GS 50-999 Predicted Monthly'!$V$12</f>
        <v>3172405.0425670962</v>
      </c>
      <c r="N114" s="18">
        <f>G114*'GS 50-999 Predicted Monthly'!$V$13</f>
        <v>0</v>
      </c>
      <c r="O114" s="18">
        <f>H114*'GS 50-999 Predicted Monthly'!$V$14</f>
        <v>6294639.0347796204</v>
      </c>
      <c r="P114" s="18">
        <f>I114*'GS 50-999 Predicted Monthly'!$V$15</f>
        <v>23929784.569177721</v>
      </c>
      <c r="Q114" s="18">
        <f t="shared" si="11"/>
        <v>25722639.689809926</v>
      </c>
      <c r="R114" s="18">
        <f t="shared" si="12"/>
        <v>493501.27025253698</v>
      </c>
      <c r="S114" s="279">
        <f t="shared" si="13"/>
        <v>1.9560765890839122E-2</v>
      </c>
    </row>
    <row r="115" spans="1:19" x14ac:dyDescent="0.25">
      <c r="A115" s="3">
        <f>'Monthly Data'!A115</f>
        <v>45444</v>
      </c>
      <c r="B115" s="1">
        <f t="shared" si="7"/>
        <v>2024</v>
      </c>
      <c r="C115" s="1">
        <f t="shared" si="8"/>
        <v>6</v>
      </c>
      <c r="D115" s="24">
        <f>'Monthly Data'!N115</f>
        <v>26750740.64573478</v>
      </c>
      <c r="E115" s="278">
        <f>'Monthly Data'!BB115</f>
        <v>31.570833333333319</v>
      </c>
      <c r="F115" s="278">
        <f>'Monthly Data'!BI115</f>
        <v>204.15416666666667</v>
      </c>
      <c r="G115" s="278">
        <f>'Monthly Data'!CG115</f>
        <v>0</v>
      </c>
      <c r="H115" s="18">
        <f>'Monthly Data'!AL115</f>
        <v>877135</v>
      </c>
      <c r="I115" s="18">
        <f>'Monthly Data'!CD115</f>
        <v>30</v>
      </c>
      <c r="K115" s="18">
        <f>'GS 50-999 Predicted Monthly'!$V$10</f>
        <v>-9326437.7987639103</v>
      </c>
      <c r="L115" s="18">
        <f>E115*'GS 50-999 Predicted Monthly'!$V$11</f>
        <v>582635.52269783081</v>
      </c>
      <c r="M115" s="18">
        <f>F115*'GS 50-999 Predicted Monthly'!$V$12</f>
        <v>5885140.4615576249</v>
      </c>
      <c r="N115" s="18">
        <f>G115*'GS 50-999 Predicted Monthly'!$V$13</f>
        <v>0</v>
      </c>
      <c r="O115" s="18">
        <f>H115*'GS 50-999 Predicted Monthly'!$V$14</f>
        <v>6294639.0347796204</v>
      </c>
      <c r="P115" s="18">
        <f>I115*'GS 50-999 Predicted Monthly'!$V$15</f>
        <v>23157856.034688119</v>
      </c>
      <c r="Q115" s="18">
        <f t="shared" si="11"/>
        <v>26593833.254959285</v>
      </c>
      <c r="R115" s="18">
        <f t="shared" si="12"/>
        <v>-156907.39077549428</v>
      </c>
      <c r="S115" s="279">
        <f t="shared" si="13"/>
        <v>5.865534448314876E-3</v>
      </c>
    </row>
    <row r="116" spans="1:19" x14ac:dyDescent="0.25">
      <c r="A116" s="3">
        <f>'Monthly Data'!A116</f>
        <v>45474</v>
      </c>
      <c r="B116" s="1">
        <f t="shared" ref="B116:B121" si="14">YEAR(A116)</f>
        <v>2024</v>
      </c>
      <c r="C116" s="1">
        <f t="shared" ref="C116:C121" si="15">MONTH(A116)</f>
        <v>7</v>
      </c>
      <c r="D116" s="24">
        <f>'Monthly Data'!N116</f>
        <v>29067750.35745775</v>
      </c>
      <c r="E116" s="278">
        <f>'Monthly Data'!BB116</f>
        <v>0.32916666666666927</v>
      </c>
      <c r="F116" s="278">
        <f>'Monthly Data'!BI116</f>
        <v>303.14166666666665</v>
      </c>
      <c r="G116" s="278">
        <f>'Monthly Data'!CG116</f>
        <v>0</v>
      </c>
      <c r="H116" s="18">
        <f>'Monthly Data'!AL116</f>
        <v>877865</v>
      </c>
      <c r="I116" s="18">
        <f>'Monthly Data'!CD116</f>
        <v>31</v>
      </c>
      <c r="K116" s="18">
        <f>'GS 50-999 Predicted Monthly'!$V$10</f>
        <v>-9326437.7987639103</v>
      </c>
      <c r="L116" s="18">
        <f>E116*'GS 50-999 Predicted Monthly'!$V$11</f>
        <v>6074.7269754690542</v>
      </c>
      <c r="M116" s="18">
        <f>F116*'GS 50-999 Predicted Monthly'!$V$12</f>
        <v>8738647.4506635796</v>
      </c>
      <c r="N116" s="18">
        <f>G116*'GS 50-999 Predicted Monthly'!$V$13</f>
        <v>0</v>
      </c>
      <c r="O116" s="18">
        <f>H116*'GS 50-999 Predicted Monthly'!$V$14</f>
        <v>6299877.7796654003</v>
      </c>
      <c r="P116" s="18">
        <f>I116*'GS 50-999 Predicted Monthly'!$V$15</f>
        <v>23929784.569177721</v>
      </c>
      <c r="Q116" s="18">
        <f t="shared" si="11"/>
        <v>29647946.72771826</v>
      </c>
      <c r="R116" s="18">
        <f t="shared" si="12"/>
        <v>580196.37026051059</v>
      </c>
      <c r="S116" s="279">
        <f t="shared" si="13"/>
        <v>1.9960140125245465E-2</v>
      </c>
    </row>
    <row r="117" spans="1:19" x14ac:dyDescent="0.25">
      <c r="A117" s="3">
        <f>'Monthly Data'!A117</f>
        <v>45505</v>
      </c>
      <c r="B117" s="1">
        <f t="shared" si="14"/>
        <v>2024</v>
      </c>
      <c r="C117" s="1">
        <f t="shared" si="15"/>
        <v>8</v>
      </c>
      <c r="D117" s="24">
        <f>'Monthly Data'!N117</f>
        <v>24089836.06918072</v>
      </c>
      <c r="E117" s="278">
        <f>'Monthly Data'!BB117</f>
        <v>8.2333333333333432</v>
      </c>
      <c r="F117" s="278">
        <f>'Monthly Data'!BI117</f>
        <v>262.86666666666667</v>
      </c>
      <c r="G117" s="278">
        <f>'Monthly Data'!CG117</f>
        <v>0</v>
      </c>
      <c r="H117" s="18">
        <f>'Monthly Data'!AL117</f>
        <v>877865</v>
      </c>
      <c r="I117" s="18">
        <f>'Monthly Data'!CD117</f>
        <v>31</v>
      </c>
      <c r="K117" s="18">
        <f>'GS 50-999 Predicted Monthly'!$V$10</f>
        <v>-9326437.7987639103</v>
      </c>
      <c r="L117" s="18">
        <f>E117*'GS 50-999 Predicted Monthly'!$V$11</f>
        <v>151945.06966489583</v>
      </c>
      <c r="M117" s="18">
        <f>F117*'GS 50-999 Predicted Monthly'!$V$12</f>
        <v>7577642.3339948868</v>
      </c>
      <c r="N117" s="18">
        <f>G117*'GS 50-999 Predicted Monthly'!$V$13</f>
        <v>0</v>
      </c>
      <c r="O117" s="18">
        <f>H117*'GS 50-999 Predicted Monthly'!$V$14</f>
        <v>6299877.7796654003</v>
      </c>
      <c r="P117" s="18">
        <f>I117*'GS 50-999 Predicted Monthly'!$V$15</f>
        <v>23929784.569177721</v>
      </c>
      <c r="Q117" s="18">
        <f t="shared" si="11"/>
        <v>28632811.953738995</v>
      </c>
      <c r="R117" s="18">
        <f t="shared" si="12"/>
        <v>4542975.8845582753</v>
      </c>
      <c r="S117" s="279">
        <f t="shared" si="13"/>
        <v>0.18858475713623979</v>
      </c>
    </row>
    <row r="118" spans="1:19" x14ac:dyDescent="0.25">
      <c r="A118" s="3">
        <f>'Monthly Data'!A118</f>
        <v>45536</v>
      </c>
      <c r="B118" s="1">
        <f t="shared" si="14"/>
        <v>2024</v>
      </c>
      <c r="C118" s="1">
        <f t="shared" si="15"/>
        <v>9</v>
      </c>
      <c r="D118" s="24">
        <f>'Monthly Data'!N118</f>
        <v>23502012.78090369</v>
      </c>
      <c r="E118" s="278">
        <f>'Monthly Data'!BB118</f>
        <v>29.36666666666666</v>
      </c>
      <c r="F118" s="278">
        <f>'Monthly Data'!BI118</f>
        <v>171.29999999999998</v>
      </c>
      <c r="G118" s="278">
        <f>'Monthly Data'!CG118</f>
        <v>0</v>
      </c>
      <c r="H118" s="18">
        <f>'Monthly Data'!AL118</f>
        <v>877865</v>
      </c>
      <c r="I118" s="18">
        <f>'Monthly Data'!CD118</f>
        <v>30</v>
      </c>
      <c r="K118" s="18">
        <f>'GS 50-999 Predicted Monthly'!$V$10</f>
        <v>-9326437.7987639103</v>
      </c>
      <c r="L118" s="18">
        <f>E118*'GS 50-999 Predicted Monthly'!$V$11</f>
        <v>541957.92054563982</v>
      </c>
      <c r="M118" s="18">
        <f>F118*'GS 50-999 Predicted Monthly'!$V$12</f>
        <v>4938055.282069454</v>
      </c>
      <c r="N118" s="18">
        <f>G118*'GS 50-999 Predicted Monthly'!$V$13</f>
        <v>0</v>
      </c>
      <c r="O118" s="18">
        <f>H118*'GS 50-999 Predicted Monthly'!$V$14</f>
        <v>6299877.7796654003</v>
      </c>
      <c r="P118" s="18">
        <f>I118*'GS 50-999 Predicted Monthly'!$V$15</f>
        <v>23157856.034688119</v>
      </c>
      <c r="Q118" s="18">
        <f t="shared" si="11"/>
        <v>25611309.218204703</v>
      </c>
      <c r="R118" s="18">
        <f t="shared" si="12"/>
        <v>2109296.4373010136</v>
      </c>
      <c r="S118" s="279">
        <f t="shared" si="13"/>
        <v>8.9749608127815336E-2</v>
      </c>
    </row>
    <row r="119" spans="1:19" x14ac:dyDescent="0.25">
      <c r="A119" s="3">
        <f>'Monthly Data'!A119</f>
        <v>45566</v>
      </c>
      <c r="B119" s="1">
        <f t="shared" si="14"/>
        <v>2024</v>
      </c>
      <c r="C119" s="1">
        <f t="shared" si="15"/>
        <v>10</v>
      </c>
      <c r="D119" s="24">
        <f>'Monthly Data'!N119</f>
        <v>24709285.492626656</v>
      </c>
      <c r="E119" s="278">
        <f>'Monthly Data'!BB119</f>
        <v>233.94166666666658</v>
      </c>
      <c r="F119" s="278">
        <f>'Monthly Data'!BI119</f>
        <v>31.104166666666679</v>
      </c>
      <c r="G119" s="278">
        <f>'Monthly Data'!CG119</f>
        <v>0</v>
      </c>
      <c r="H119" s="18">
        <f>'Monthly Data'!AL119</f>
        <v>882184.85199999996</v>
      </c>
      <c r="I119" s="18">
        <f>'Monthly Data'!CD119</f>
        <v>31</v>
      </c>
      <c r="K119" s="18">
        <f>'GS 50-999 Predicted Monthly'!$V$10</f>
        <v>-9326437.7987639103</v>
      </c>
      <c r="L119" s="18">
        <f>E119*'GS 50-999 Predicted Monthly'!$V$11</f>
        <v>4317362.2881605402</v>
      </c>
      <c r="M119" s="18">
        <f>F119*'GS 50-999 Predicted Monthly'!$V$12</f>
        <v>896638.02978810307</v>
      </c>
      <c r="N119" s="18">
        <f>G119*'GS 50-999 Predicted Monthly'!$V$13</f>
        <v>0</v>
      </c>
      <c r="O119" s="18">
        <f>H119*'GS 50-999 Predicted Monthly'!$V$14</f>
        <v>6330878.605106947</v>
      </c>
      <c r="P119" s="18">
        <f>I119*'GS 50-999 Predicted Monthly'!$V$15</f>
        <v>23929784.569177721</v>
      </c>
      <c r="Q119" s="18">
        <f t="shared" si="11"/>
        <v>26148225.693469401</v>
      </c>
      <c r="R119" s="18">
        <f t="shared" si="12"/>
        <v>1438940.2008427456</v>
      </c>
      <c r="S119" s="279">
        <f t="shared" si="13"/>
        <v>5.8234796035366167E-2</v>
      </c>
    </row>
    <row r="120" spans="1:19" x14ac:dyDescent="0.25">
      <c r="A120" s="3">
        <f>'Monthly Data'!A120</f>
        <v>45597</v>
      </c>
      <c r="B120" s="1">
        <f t="shared" si="14"/>
        <v>2024</v>
      </c>
      <c r="C120" s="1">
        <f t="shared" si="15"/>
        <v>11</v>
      </c>
      <c r="D120" s="24">
        <f>'Monthly Data'!N120</f>
        <v>27625583.204349626</v>
      </c>
      <c r="E120" s="278">
        <f>'Monthly Data'!BB120</f>
        <v>366.29166666666663</v>
      </c>
      <c r="F120" s="278">
        <f>'Monthly Data'!BI120</f>
        <v>9.5041666666666629</v>
      </c>
      <c r="G120" s="278">
        <f>'Monthly Data'!CG120</f>
        <v>0</v>
      </c>
      <c r="H120" s="18">
        <f>'Monthly Data'!AL120</f>
        <v>882184.85199999996</v>
      </c>
      <c r="I120" s="18">
        <f>'Monthly Data'!CD120</f>
        <v>30</v>
      </c>
      <c r="K120" s="18">
        <f>'GS 50-999 Predicted Monthly'!$V$10</f>
        <v>-9326437.7987639103</v>
      </c>
      <c r="L120" s="18">
        <f>E120*'GS 50-999 Predicted Monthly'!$V$11</f>
        <v>6759863.9039681051</v>
      </c>
      <c r="M120" s="18">
        <f>F120*'GS 50-999 Predicted Monthly'!$V$12</f>
        <v>273976.06777584215</v>
      </c>
      <c r="N120" s="18">
        <f>G120*'GS 50-999 Predicted Monthly'!$V$13</f>
        <v>0</v>
      </c>
      <c r="O120" s="18">
        <f>H120*'GS 50-999 Predicted Monthly'!$V$14</f>
        <v>6330878.605106947</v>
      </c>
      <c r="P120" s="18">
        <f>I120*'GS 50-999 Predicted Monthly'!$V$15</f>
        <v>23157856.034688119</v>
      </c>
      <c r="Q120" s="18">
        <f t="shared" si="11"/>
        <v>27196136.812775102</v>
      </c>
      <c r="R120" s="18">
        <f t="shared" si="12"/>
        <v>-429446.39157452434</v>
      </c>
      <c r="S120" s="279">
        <f t="shared" si="13"/>
        <v>1.5545242552812725E-2</v>
      </c>
    </row>
    <row r="121" spans="1:19" x14ac:dyDescent="0.25">
      <c r="A121" s="3">
        <f>'Monthly Data'!A121</f>
        <v>45627</v>
      </c>
      <c r="B121" s="1">
        <f t="shared" si="14"/>
        <v>2024</v>
      </c>
      <c r="C121" s="1">
        <f t="shared" si="15"/>
        <v>12</v>
      </c>
      <c r="D121" s="24">
        <f>'Monthly Data'!N121</f>
        <v>33184612.916072596</v>
      </c>
      <c r="E121" s="278">
        <f>'Monthly Data'!BB121</f>
        <v>598.57499999999993</v>
      </c>
      <c r="F121" s="278">
        <f>'Monthly Data'!BI121</f>
        <v>0</v>
      </c>
      <c r="G121" s="278">
        <f>'Monthly Data'!CG121</f>
        <v>0</v>
      </c>
      <c r="H121" s="18">
        <f>'Monthly Data'!AL121</f>
        <v>882184.85199999996</v>
      </c>
      <c r="I121" s="18">
        <f>'Monthly Data'!CD121</f>
        <v>31</v>
      </c>
      <c r="K121" s="18">
        <f>'GS 50-999 Predicted Monthly'!$V$10</f>
        <v>-9326437.7987639103</v>
      </c>
      <c r="L121" s="18">
        <f>E121*'GS 50-999 Predicted Monthly'!$V$11</f>
        <v>11046621.87141679</v>
      </c>
      <c r="M121" s="18">
        <f>F121*'GS 50-999 Predicted Monthly'!$V$12</f>
        <v>0</v>
      </c>
      <c r="N121" s="18">
        <f>G121*'GS 50-999 Predicted Monthly'!$V$13</f>
        <v>0</v>
      </c>
      <c r="O121" s="18">
        <f>H121*'GS 50-999 Predicted Monthly'!$V$14</f>
        <v>6330878.605106947</v>
      </c>
      <c r="P121" s="18">
        <f>I121*'GS 50-999 Predicted Monthly'!$V$15</f>
        <v>23929784.569177721</v>
      </c>
      <c r="Q121" s="18">
        <f t="shared" si="11"/>
        <v>31980847.246937547</v>
      </c>
      <c r="R121" s="18">
        <f t="shared" si="12"/>
        <v>-1203765.669135049</v>
      </c>
      <c r="S121" s="279">
        <f t="shared" si="13"/>
        <v>3.6274814239343395E-2</v>
      </c>
    </row>
    <row r="122" spans="1:19" x14ac:dyDescent="0.25">
      <c r="A122" s="3"/>
      <c r="S122" s="404">
        <f>AVERAGE(S2:S121)</f>
        <v>3.9247816435303652E-2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X141"/>
  <sheetViews>
    <sheetView topLeftCell="O1" workbookViewId="0">
      <selection activeCell="G45" sqref="G45"/>
    </sheetView>
  </sheetViews>
  <sheetFormatPr defaultColWidth="9.33203125" defaultRowHeight="13.2" x14ac:dyDescent="0.25"/>
  <cols>
    <col min="1" max="1" width="10.44140625" style="1" bestFit="1" customWidth="1"/>
    <col min="2" max="3" width="9.33203125" style="1"/>
    <col min="4" max="4" width="20.109375" style="1" bestFit="1" customWidth="1"/>
    <col min="5" max="9" width="9.33203125" style="1"/>
    <col min="10" max="10" width="14.6640625" style="1" bestFit="1" customWidth="1"/>
    <col min="11" max="11" width="12.77734375" style="1" bestFit="1" customWidth="1"/>
    <col min="12" max="12" width="13.77734375" style="1" bestFit="1" customWidth="1"/>
    <col min="13" max="14" width="13.77734375" style="1" customWidth="1"/>
    <col min="15" max="15" width="18.109375" style="1" customWidth="1"/>
    <col min="16" max="16" width="13.77734375" style="1" customWidth="1"/>
    <col min="17" max="18" width="9.33203125" style="1"/>
    <col min="19" max="19" width="13.77734375" style="1" bestFit="1" customWidth="1"/>
    <col min="20" max="20" width="13.44140625" style="1" customWidth="1"/>
    <col min="21" max="21" width="13.77734375" style="1" bestFit="1" customWidth="1"/>
    <col min="22" max="22" width="12.77734375" style="1" bestFit="1" customWidth="1"/>
    <col min="23" max="23" width="12.6640625" style="1" bestFit="1" customWidth="1"/>
    <col min="24" max="24" width="18" style="1" bestFit="1" customWidth="1"/>
    <col min="25" max="25" width="12.77734375" style="1" bestFit="1" customWidth="1"/>
    <col min="26" max="16384" width="9.33203125" style="1"/>
  </cols>
  <sheetData>
    <row r="1" spans="1:23"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J1" s="274" t="s">
        <v>152</v>
      </c>
      <c r="K1" s="276" t="str">
        <f>E1</f>
        <v>CDD16</v>
      </c>
      <c r="L1" s="276" t="str">
        <f>F1</f>
        <v>COVID_AM</v>
      </c>
      <c r="M1" s="276" t="str">
        <f>G1</f>
        <v>Osh_FTEAdj</v>
      </c>
      <c r="N1" s="276" t="str">
        <f>H1</f>
        <v>Month Days</v>
      </c>
      <c r="O1" s="274" t="s">
        <v>196</v>
      </c>
      <c r="P1" s="274" t="s">
        <v>197</v>
      </c>
    </row>
    <row r="2" spans="1:23" x14ac:dyDescent="0.25">
      <c r="A2" s="3">
        <f>'Monthly Data'!A2</f>
        <v>42005</v>
      </c>
      <c r="B2" s="1">
        <f t="shared" ref="B2:B65" si="0">YEAR(A2)</f>
        <v>2015</v>
      </c>
      <c r="C2" s="1">
        <f t="shared" ref="C2:C65" si="1">MONTH(A2)</f>
        <v>1</v>
      </c>
      <c r="D2" s="24">
        <f>'Monthly Data'!S2</f>
        <v>6697602.8367803404</v>
      </c>
      <c r="E2" s="278">
        <f>'Monthly Data'!BE2</f>
        <v>0</v>
      </c>
      <c r="F2" s="278">
        <f>'Monthly Data'!CG2</f>
        <v>0</v>
      </c>
      <c r="G2" s="278">
        <f>'Monthly Data'!AQ2</f>
        <v>201.9</v>
      </c>
      <c r="H2" s="278">
        <f>'Monthly Data'!CD2</f>
        <v>31</v>
      </c>
      <c r="J2" s="18">
        <f>'GS 1k-4,999 Predicted Monthly'!$T$10</f>
        <v>1142088.9328922699</v>
      </c>
      <c r="K2" s="18">
        <f>E2*'GS 1k-4,999 Predicted Monthly'!$T$11</f>
        <v>0</v>
      </c>
      <c r="L2" s="18">
        <f>F2*'GS 1k-4,999 Predicted Monthly'!$T$12</f>
        <v>0</v>
      </c>
      <c r="M2" s="18">
        <f>G2*'GS 1k-4,999 Predicted Monthly'!$T$13</f>
        <v>2436124.7842479241</v>
      </c>
      <c r="N2" s="18">
        <f>H2*'GS 1k-4,999 Predicted Monthly'!$T$14</f>
        <v>3521036.9894481138</v>
      </c>
      <c r="O2" s="18">
        <f>SUM(J2:N2)</f>
        <v>7099250.7065883074</v>
      </c>
      <c r="P2" s="18">
        <f t="shared" ref="P2:P33" si="2">O2-D2</f>
        <v>401647.86980796698</v>
      </c>
      <c r="Q2" s="279">
        <f t="shared" ref="Q2:Q33" si="3">ABS(P2/D2)</f>
        <v>5.9968899260835602E-2</v>
      </c>
    </row>
    <row r="3" spans="1:23" x14ac:dyDescent="0.25">
      <c r="A3" s="3">
        <f>'Monthly Data'!A3</f>
        <v>42036</v>
      </c>
      <c r="B3" s="1">
        <f t="shared" si="0"/>
        <v>2015</v>
      </c>
      <c r="C3" s="1">
        <f t="shared" si="1"/>
        <v>2</v>
      </c>
      <c r="D3" s="24">
        <f>'Monthly Data'!S3</f>
        <v>6292256.0165867163</v>
      </c>
      <c r="E3" s="278">
        <f>'Monthly Data'!BE3</f>
        <v>0</v>
      </c>
      <c r="F3" s="278">
        <f>'Monthly Data'!CG3</f>
        <v>0</v>
      </c>
      <c r="G3" s="278">
        <f>'Monthly Data'!AQ3</f>
        <v>200.2</v>
      </c>
      <c r="H3" s="278">
        <f>'Monthly Data'!CD3</f>
        <v>28</v>
      </c>
      <c r="J3" s="18">
        <f>'GS 1k-4,999 Predicted Monthly'!$T$10</f>
        <v>1142088.9328922699</v>
      </c>
      <c r="K3" s="18">
        <f>E3*'GS 1k-4,999 Predicted Monthly'!$T$11</f>
        <v>0</v>
      </c>
      <c r="L3" s="18">
        <f>F3*'GS 1k-4,999 Predicted Monthly'!$T$12</f>
        <v>0</v>
      </c>
      <c r="M3" s="18">
        <f>G3*'GS 1k-4,999 Predicted Monthly'!$T$13</f>
        <v>2415612.5894325627</v>
      </c>
      <c r="N3" s="18">
        <f>H3*'GS 1k-4,999 Predicted Monthly'!$T$14</f>
        <v>3180291.4743402321</v>
      </c>
      <c r="O3" s="18">
        <f t="shared" ref="O3:O66" si="4">SUM(J3:N3)</f>
        <v>6737992.9966650642</v>
      </c>
      <c r="P3" s="18">
        <f t="shared" si="2"/>
        <v>445736.98007834796</v>
      </c>
      <c r="Q3" s="279">
        <f t="shared" si="3"/>
        <v>7.0838977133696079E-2</v>
      </c>
    </row>
    <row r="4" spans="1:23" x14ac:dyDescent="0.25">
      <c r="A4" s="3">
        <f>'Monthly Data'!A4</f>
        <v>42064</v>
      </c>
      <c r="B4" s="1">
        <f t="shared" si="0"/>
        <v>2015</v>
      </c>
      <c r="C4" s="1">
        <f t="shared" si="1"/>
        <v>3</v>
      </c>
      <c r="D4" s="24">
        <f>'Monthly Data'!S4</f>
        <v>6879107.4130763644</v>
      </c>
      <c r="E4" s="278">
        <f>'Monthly Data'!BE4</f>
        <v>0</v>
      </c>
      <c r="F4" s="278">
        <f>'Monthly Data'!CG4</f>
        <v>0</v>
      </c>
      <c r="G4" s="278">
        <f>'Monthly Data'!AQ4</f>
        <v>198.4</v>
      </c>
      <c r="H4" s="278">
        <f>'Monthly Data'!CD4</f>
        <v>31</v>
      </c>
      <c r="J4" s="18">
        <f>'GS 1k-4,999 Predicted Monthly'!$T$10</f>
        <v>1142088.9328922699</v>
      </c>
      <c r="K4" s="18">
        <f>E4*'GS 1k-4,999 Predicted Monthly'!$T$11</f>
        <v>0</v>
      </c>
      <c r="L4" s="18">
        <f>F4*'GS 1k-4,999 Predicted Monthly'!$T$12</f>
        <v>0</v>
      </c>
      <c r="M4" s="18">
        <f>G4*'GS 1k-4,999 Predicted Monthly'!$T$13</f>
        <v>2393893.79492218</v>
      </c>
      <c r="N4" s="18">
        <f>H4*'GS 1k-4,999 Predicted Monthly'!$T$14</f>
        <v>3521036.9894481138</v>
      </c>
      <c r="O4" s="18">
        <f t="shared" si="4"/>
        <v>7057019.7172625642</v>
      </c>
      <c r="P4" s="18">
        <f t="shared" si="2"/>
        <v>177912.30418619979</v>
      </c>
      <c r="Q4" s="279">
        <f t="shared" si="3"/>
        <v>2.58627018743754E-2</v>
      </c>
    </row>
    <row r="5" spans="1:23" x14ac:dyDescent="0.25">
      <c r="A5" s="3">
        <f>'Monthly Data'!A5</f>
        <v>42095</v>
      </c>
      <c r="B5" s="1">
        <f t="shared" si="0"/>
        <v>2015</v>
      </c>
      <c r="C5" s="1">
        <f t="shared" si="1"/>
        <v>4</v>
      </c>
      <c r="D5" s="24">
        <f>'Monthly Data'!S5</f>
        <v>6556816.3103235476</v>
      </c>
      <c r="E5" s="278">
        <f>'Monthly Data'!BE5</f>
        <v>0</v>
      </c>
      <c r="F5" s="278">
        <f>'Monthly Data'!CG5</f>
        <v>0</v>
      </c>
      <c r="G5" s="278">
        <f>'Monthly Data'!AQ5</f>
        <v>195.5</v>
      </c>
      <c r="H5" s="278">
        <f>'Monthly Data'!CD5</f>
        <v>30</v>
      </c>
      <c r="J5" s="18">
        <f>'GS 1k-4,999 Predicted Monthly'!$T$10</f>
        <v>1142088.9328922699</v>
      </c>
      <c r="K5" s="18">
        <f>E5*'GS 1k-4,999 Predicted Monthly'!$T$11</f>
        <v>0</v>
      </c>
      <c r="L5" s="18">
        <f>F5*'GS 1k-4,999 Predicted Monthly'!$T$12</f>
        <v>0</v>
      </c>
      <c r="M5" s="18">
        <f>G5*'GS 1k-4,999 Predicted Monthly'!$T$13</f>
        <v>2358902.4037665636</v>
      </c>
      <c r="N5" s="18">
        <f>H5*'GS 1k-4,999 Predicted Monthly'!$T$14</f>
        <v>3407455.1510788198</v>
      </c>
      <c r="O5" s="18">
        <f t="shared" si="4"/>
        <v>6908446.4877376538</v>
      </c>
      <c r="P5" s="18">
        <f t="shared" si="2"/>
        <v>351630.17741410621</v>
      </c>
      <c r="Q5" s="279">
        <f t="shared" si="3"/>
        <v>5.3628187945493157E-2</v>
      </c>
      <c r="S5" s="1" t="s">
        <v>207</v>
      </c>
    </row>
    <row r="6" spans="1:23" x14ac:dyDescent="0.25">
      <c r="A6" s="3">
        <f>'Monthly Data'!A6</f>
        <v>42125</v>
      </c>
      <c r="B6" s="1">
        <f t="shared" si="0"/>
        <v>2015</v>
      </c>
      <c r="C6" s="1">
        <f t="shared" si="1"/>
        <v>5</v>
      </c>
      <c r="D6" s="24">
        <f>'Monthly Data'!S6</f>
        <v>7230750.9949512845</v>
      </c>
      <c r="E6" s="278">
        <f>'Monthly Data'!BE6</f>
        <v>32.514880952380949</v>
      </c>
      <c r="F6" s="278">
        <f>'Monthly Data'!CG6</f>
        <v>0</v>
      </c>
      <c r="G6" s="278">
        <f>'Monthly Data'!AQ6</f>
        <v>193.3</v>
      </c>
      <c r="H6" s="278">
        <f>'Monthly Data'!CD6</f>
        <v>31</v>
      </c>
      <c r="J6" s="18">
        <f>'GS 1k-4,999 Predicted Monthly'!$T$10</f>
        <v>1142088.9328922699</v>
      </c>
      <c r="K6" s="18">
        <f>E6*'GS 1k-4,999 Predicted Monthly'!$T$11</f>
        <v>290836.75330940931</v>
      </c>
      <c r="L6" s="18">
        <f>F6*'GS 1k-4,999 Predicted Monthly'!$T$12</f>
        <v>0</v>
      </c>
      <c r="M6" s="18">
        <f>G6*'GS 1k-4,999 Predicted Monthly'!$T$13</f>
        <v>2332357.2104760958</v>
      </c>
      <c r="N6" s="18">
        <f>H6*'GS 1k-4,999 Predicted Monthly'!$T$14</f>
        <v>3521036.9894481138</v>
      </c>
      <c r="O6" s="18">
        <f t="shared" si="4"/>
        <v>7286319.8861258887</v>
      </c>
      <c r="P6" s="18">
        <f t="shared" si="2"/>
        <v>55568.891174604185</v>
      </c>
      <c r="Q6" s="279">
        <f t="shared" si="3"/>
        <v>7.685078799339648E-3</v>
      </c>
      <c r="S6" s="1" t="s">
        <v>182</v>
      </c>
    </row>
    <row r="7" spans="1:23" x14ac:dyDescent="0.25">
      <c r="A7" s="3">
        <f>'Monthly Data'!A7</f>
        <v>42156</v>
      </c>
      <c r="B7" s="1">
        <f t="shared" si="0"/>
        <v>2015</v>
      </c>
      <c r="C7" s="1">
        <f t="shared" si="1"/>
        <v>6</v>
      </c>
      <c r="D7" s="24">
        <f>'Monthly Data'!S7</f>
        <v>7609612.6560106054</v>
      </c>
      <c r="E7" s="278">
        <f>'Monthly Data'!BE7</f>
        <v>47.337499999999999</v>
      </c>
      <c r="F7" s="278">
        <f>'Monthly Data'!CG7</f>
        <v>0</v>
      </c>
      <c r="G7" s="278">
        <f>'Monthly Data'!AQ7</f>
        <v>190.8</v>
      </c>
      <c r="H7" s="278">
        <f>'Monthly Data'!CD7</f>
        <v>30</v>
      </c>
      <c r="J7" s="18">
        <f>'GS 1k-4,999 Predicted Monthly'!$T$10</f>
        <v>1142088.9328922699</v>
      </c>
      <c r="K7" s="18">
        <f>E7*'GS 1k-4,999 Predicted Monthly'!$T$11</f>
        <v>423421.04312013538</v>
      </c>
      <c r="L7" s="18">
        <f>F7*'GS 1k-4,999 Predicted Monthly'!$T$12</f>
        <v>0</v>
      </c>
      <c r="M7" s="18">
        <f>G7*'GS 1k-4,999 Predicted Monthly'!$T$13</f>
        <v>2302192.2181005641</v>
      </c>
      <c r="N7" s="18">
        <f>H7*'GS 1k-4,999 Predicted Monthly'!$T$14</f>
        <v>3407455.1510788198</v>
      </c>
      <c r="O7" s="18">
        <f t="shared" si="4"/>
        <v>7275157.3451917898</v>
      </c>
      <c r="P7" s="18">
        <f t="shared" si="2"/>
        <v>-334455.3108188156</v>
      </c>
      <c r="Q7" s="279">
        <f t="shared" si="3"/>
        <v>4.3951686628180657E-2</v>
      </c>
      <c r="S7" s="1" t="s">
        <v>208</v>
      </c>
    </row>
    <row r="8" spans="1:23" x14ac:dyDescent="0.25">
      <c r="A8" s="3">
        <f>'Monthly Data'!A8</f>
        <v>42186</v>
      </c>
      <c r="B8" s="1">
        <f t="shared" si="0"/>
        <v>2015</v>
      </c>
      <c r="C8" s="1">
        <f t="shared" si="1"/>
        <v>7</v>
      </c>
      <c r="D8" s="24">
        <f>'Monthly Data'!S8</f>
        <v>7942122.611520865</v>
      </c>
      <c r="E8" s="278">
        <f>'Monthly Data'!BE8</f>
        <v>143.53749999999999</v>
      </c>
      <c r="F8" s="278">
        <f>'Monthly Data'!CG8</f>
        <v>0</v>
      </c>
      <c r="G8" s="278">
        <f>'Monthly Data'!AQ8</f>
        <v>185.9</v>
      </c>
      <c r="H8" s="278">
        <f>'Monthly Data'!CD8</f>
        <v>31</v>
      </c>
      <c r="J8" s="18">
        <f>'GS 1k-4,999 Predicted Monthly'!$T$10</f>
        <v>1142088.9328922699</v>
      </c>
      <c r="K8" s="18">
        <f>E8*'GS 1k-4,999 Predicted Monthly'!$T$11</f>
        <v>1283903.8389618469</v>
      </c>
      <c r="L8" s="18">
        <f>F8*'GS 1k-4,999 Predicted Monthly'!$T$12</f>
        <v>0</v>
      </c>
      <c r="M8" s="18">
        <f>G8*'GS 1k-4,999 Predicted Monthly'!$T$13</f>
        <v>2243068.8330445224</v>
      </c>
      <c r="N8" s="18">
        <f>H8*'GS 1k-4,999 Predicted Monthly'!$T$14</f>
        <v>3521036.9894481138</v>
      </c>
      <c r="O8" s="18">
        <f t="shared" si="4"/>
        <v>8190098.5943467524</v>
      </c>
      <c r="P8" s="18">
        <f t="shared" si="2"/>
        <v>247975.98282588739</v>
      </c>
      <c r="Q8" s="279">
        <f t="shared" si="3"/>
        <v>3.1222885235512827E-2</v>
      </c>
    </row>
    <row r="9" spans="1:23" x14ac:dyDescent="0.25">
      <c r="A9" s="3">
        <f>'Monthly Data'!A9</f>
        <v>42217</v>
      </c>
      <c r="B9" s="1">
        <f t="shared" si="0"/>
        <v>2015</v>
      </c>
      <c r="C9" s="1">
        <f t="shared" si="1"/>
        <v>8</v>
      </c>
      <c r="D9" s="24">
        <f>'Monthly Data'!S9</f>
        <v>8021740.0875366963</v>
      </c>
      <c r="E9" s="278">
        <f>'Monthly Data'!BE9</f>
        <v>106.43333333333335</v>
      </c>
      <c r="F9" s="278">
        <f>'Monthly Data'!CG9</f>
        <v>0</v>
      </c>
      <c r="G9" s="278">
        <f>'Monthly Data'!AQ9</f>
        <v>183</v>
      </c>
      <c r="H9" s="278">
        <f>'Monthly Data'!CD9</f>
        <v>31</v>
      </c>
      <c r="J9" s="18">
        <f>'GS 1k-4,999 Predicted Monthly'!$T$10</f>
        <v>1142088.9328922699</v>
      </c>
      <c r="K9" s="18">
        <f>E9*'GS 1k-4,999 Predicted Monthly'!$T$11</f>
        <v>952017.17502515099</v>
      </c>
      <c r="L9" s="18">
        <f>F9*'GS 1k-4,999 Predicted Monthly'!$T$12</f>
        <v>0</v>
      </c>
      <c r="M9" s="18">
        <f>G9*'GS 1k-4,999 Predicted Monthly'!$T$13</f>
        <v>2208077.4418889061</v>
      </c>
      <c r="N9" s="18">
        <f>H9*'GS 1k-4,999 Predicted Monthly'!$T$14</f>
        <v>3521036.9894481138</v>
      </c>
      <c r="O9" s="18">
        <f t="shared" si="4"/>
        <v>7823220.53925444</v>
      </c>
      <c r="P9" s="18">
        <f t="shared" si="2"/>
        <v>-198519.54828225635</v>
      </c>
      <c r="Q9" s="279">
        <f t="shared" si="3"/>
        <v>2.4747691413075618E-2</v>
      </c>
      <c r="T9" s="1" t="s">
        <v>148</v>
      </c>
      <c r="U9" s="1" t="s">
        <v>149</v>
      </c>
      <c r="V9" s="1" t="s">
        <v>150</v>
      </c>
      <c r="W9" s="1" t="s">
        <v>151</v>
      </c>
    </row>
    <row r="10" spans="1:23" x14ac:dyDescent="0.25">
      <c r="A10" s="3">
        <f>'Monthly Data'!A10</f>
        <v>42248</v>
      </c>
      <c r="B10" s="1">
        <f t="shared" si="0"/>
        <v>2015</v>
      </c>
      <c r="C10" s="1">
        <f t="shared" si="1"/>
        <v>9</v>
      </c>
      <c r="D10" s="24">
        <f>'Monthly Data'!S10</f>
        <v>8078291.6631567953</v>
      </c>
      <c r="E10" s="278">
        <f>'Monthly Data'!BE10</f>
        <v>87.618452380952391</v>
      </c>
      <c r="F10" s="278">
        <f>'Monthly Data'!CG10</f>
        <v>0</v>
      </c>
      <c r="G10" s="278">
        <f>'Monthly Data'!AQ10</f>
        <v>181.7</v>
      </c>
      <c r="H10" s="278">
        <f>'Monthly Data'!CD10</f>
        <v>30</v>
      </c>
      <c r="J10" s="18">
        <f>'GS 1k-4,999 Predicted Monthly'!$T$10</f>
        <v>1142088.9328922699</v>
      </c>
      <c r="K10" s="18">
        <f>E10*'GS 1k-4,999 Predicted Monthly'!$T$11</f>
        <v>783723.18993852171</v>
      </c>
      <c r="L10" s="18">
        <f>F10*'GS 1k-4,999 Predicted Monthly'!$T$12</f>
        <v>0</v>
      </c>
      <c r="M10" s="18">
        <f>G10*'GS 1k-4,999 Predicted Monthly'!$T$13</f>
        <v>2192391.6458536293</v>
      </c>
      <c r="N10" s="18">
        <f>H10*'GS 1k-4,999 Predicted Monthly'!$T$14</f>
        <v>3407455.1510788198</v>
      </c>
      <c r="O10" s="18">
        <f t="shared" si="4"/>
        <v>7525658.919763241</v>
      </c>
      <c r="P10" s="18">
        <f t="shared" si="2"/>
        <v>-552632.74339355435</v>
      </c>
      <c r="Q10" s="279">
        <f t="shared" si="3"/>
        <v>6.8409605203286164E-2</v>
      </c>
      <c r="S10" s="1" t="s">
        <v>152</v>
      </c>
      <c r="T10" s="18">
        <v>1142088.9328922699</v>
      </c>
      <c r="U10" s="1">
        <v>1521355.32705258</v>
      </c>
      <c r="V10" s="1">
        <v>0.75070492250151</v>
      </c>
      <c r="W10" s="1">
        <v>0.45436357586627701</v>
      </c>
    </row>
    <row r="11" spans="1:23" x14ac:dyDescent="0.25">
      <c r="A11" s="3">
        <f>'Monthly Data'!A11</f>
        <v>42278</v>
      </c>
      <c r="B11" s="1">
        <f t="shared" si="0"/>
        <v>2015</v>
      </c>
      <c r="C11" s="1">
        <f t="shared" si="1"/>
        <v>10</v>
      </c>
      <c r="D11" s="24">
        <f>'Monthly Data'!S11</f>
        <v>7283096.8853974789</v>
      </c>
      <c r="E11" s="278">
        <f>'Monthly Data'!BE11</f>
        <v>1</v>
      </c>
      <c r="F11" s="278">
        <f>'Monthly Data'!CG11</f>
        <v>0</v>
      </c>
      <c r="G11" s="278">
        <f>'Monthly Data'!AQ11</f>
        <v>187.1</v>
      </c>
      <c r="H11" s="278">
        <f>'Monthly Data'!CD11</f>
        <v>31</v>
      </c>
      <c r="J11" s="18">
        <f>'GS 1k-4,999 Predicted Monthly'!$T$10</f>
        <v>1142088.9328922699</v>
      </c>
      <c r="K11" s="18">
        <f>E11*'GS 1k-4,999 Predicted Monthly'!$T$11</f>
        <v>8944.7276075022</v>
      </c>
      <c r="L11" s="18">
        <f>F11*'GS 1k-4,999 Predicted Monthly'!$T$12</f>
        <v>0</v>
      </c>
      <c r="M11" s="18">
        <f>G11*'GS 1k-4,999 Predicted Monthly'!$T$13</f>
        <v>2257548.0293847774</v>
      </c>
      <c r="N11" s="18">
        <f>H11*'GS 1k-4,999 Predicted Monthly'!$T$14</f>
        <v>3521036.9894481138</v>
      </c>
      <c r="O11" s="18">
        <f t="shared" si="4"/>
        <v>6929618.6793326633</v>
      </c>
      <c r="P11" s="18">
        <f t="shared" si="2"/>
        <v>-353478.20606481563</v>
      </c>
      <c r="Q11" s="279">
        <f t="shared" si="3"/>
        <v>4.8534052426727314E-2</v>
      </c>
      <c r="S11" s="1" t="s">
        <v>56</v>
      </c>
      <c r="T11" s="18">
        <v>8944.7276075022</v>
      </c>
      <c r="U11" s="1">
        <v>741.13287326326201</v>
      </c>
      <c r="V11" s="1">
        <v>12.0689931997186</v>
      </c>
      <c r="W11" s="283">
        <v>3.6301219711953702E-22</v>
      </c>
    </row>
    <row r="12" spans="1:23" x14ac:dyDescent="0.25">
      <c r="A12" s="3">
        <f>'Monthly Data'!A12</f>
        <v>42309</v>
      </c>
      <c r="B12" s="1">
        <f t="shared" si="0"/>
        <v>2015</v>
      </c>
      <c r="C12" s="1">
        <f t="shared" si="1"/>
        <v>11</v>
      </c>
      <c r="D12" s="24">
        <f>'Monthly Data'!S12</f>
        <v>7062113.5949656768</v>
      </c>
      <c r="E12" s="278">
        <f>'Monthly Data'!BE12</f>
        <v>0</v>
      </c>
      <c r="F12" s="278">
        <f>'Monthly Data'!CG12</f>
        <v>0</v>
      </c>
      <c r="G12" s="278">
        <f>'Monthly Data'!AQ12</f>
        <v>192.5</v>
      </c>
      <c r="H12" s="278">
        <f>'Monthly Data'!CD12</f>
        <v>30</v>
      </c>
      <c r="J12" s="18">
        <f>'GS 1k-4,999 Predicted Monthly'!$T$10</f>
        <v>1142088.9328922699</v>
      </c>
      <c r="K12" s="18">
        <f>E12*'GS 1k-4,999 Predicted Monthly'!$T$11</f>
        <v>0</v>
      </c>
      <c r="L12" s="18">
        <f>F12*'GS 1k-4,999 Predicted Monthly'!$T$12</f>
        <v>0</v>
      </c>
      <c r="M12" s="18">
        <f>G12*'GS 1k-4,999 Predicted Monthly'!$T$13</f>
        <v>2322704.4129159255</v>
      </c>
      <c r="N12" s="18">
        <f>H12*'GS 1k-4,999 Predicted Monthly'!$T$14</f>
        <v>3407455.1510788198</v>
      </c>
      <c r="O12" s="18">
        <f t="shared" si="4"/>
        <v>6872248.4968870152</v>
      </c>
      <c r="P12" s="18">
        <f t="shared" si="2"/>
        <v>-189865.0980786616</v>
      </c>
      <c r="Q12" s="279">
        <f t="shared" si="3"/>
        <v>2.6885024649562349E-2</v>
      </c>
      <c r="S12" s="1" t="s">
        <v>84</v>
      </c>
      <c r="T12" s="18">
        <v>-1392044.7524230599</v>
      </c>
      <c r="U12" s="1">
        <v>257022.93535792301</v>
      </c>
      <c r="V12" s="1">
        <v>-5.4160332053034104</v>
      </c>
      <c r="W12" s="283">
        <v>3.3858254626141901E-7</v>
      </c>
    </row>
    <row r="13" spans="1:23" x14ac:dyDescent="0.25">
      <c r="A13" s="3">
        <f>'Monthly Data'!A13</f>
        <v>42339</v>
      </c>
      <c r="B13" s="1">
        <f t="shared" si="0"/>
        <v>2015</v>
      </c>
      <c r="C13" s="1">
        <f t="shared" si="1"/>
        <v>12</v>
      </c>
      <c r="D13" s="24">
        <f>'Monthly Data'!S13</f>
        <v>6433930.9578759233</v>
      </c>
      <c r="E13" s="278">
        <f>'Monthly Data'!BE13</f>
        <v>0</v>
      </c>
      <c r="F13" s="278">
        <f>'Monthly Data'!CG13</f>
        <v>0</v>
      </c>
      <c r="G13" s="278">
        <f>'Monthly Data'!AQ13</f>
        <v>199.4</v>
      </c>
      <c r="H13" s="278">
        <f>'Monthly Data'!CD13</f>
        <v>31</v>
      </c>
      <c r="J13" s="18">
        <f>'GS 1k-4,999 Predicted Monthly'!$T$10</f>
        <v>1142088.9328922699</v>
      </c>
      <c r="K13" s="18">
        <f>E13*'GS 1k-4,999 Predicted Monthly'!$T$11</f>
        <v>0</v>
      </c>
      <c r="L13" s="18">
        <f>F13*'GS 1k-4,999 Predicted Monthly'!$T$12</f>
        <v>0</v>
      </c>
      <c r="M13" s="18">
        <f>G13*'GS 1k-4,999 Predicted Monthly'!$T$13</f>
        <v>2405959.7918723924</v>
      </c>
      <c r="N13" s="18">
        <f>H13*'GS 1k-4,999 Predicted Monthly'!$T$14</f>
        <v>3521036.9894481138</v>
      </c>
      <c r="O13" s="18">
        <f t="shared" si="4"/>
        <v>7069085.7142127762</v>
      </c>
      <c r="P13" s="18">
        <f t="shared" si="2"/>
        <v>635154.75633685291</v>
      </c>
      <c r="Q13" s="279">
        <f t="shared" si="3"/>
        <v>9.871954804851385E-2</v>
      </c>
      <c r="S13" s="1" t="s">
        <v>42</v>
      </c>
      <c r="T13" s="18">
        <v>12065.9969502126</v>
      </c>
      <c r="U13" s="1">
        <v>5123.6142408607702</v>
      </c>
      <c r="V13" s="1">
        <v>2.3549776355109602</v>
      </c>
      <c r="W13" s="1">
        <v>2.0218415843754001E-2</v>
      </c>
    </row>
    <row r="14" spans="1:23" x14ac:dyDescent="0.25">
      <c r="A14" s="3">
        <f>'Monthly Data'!A14</f>
        <v>42370</v>
      </c>
      <c r="B14" s="1">
        <f t="shared" si="0"/>
        <v>2016</v>
      </c>
      <c r="C14" s="1">
        <f t="shared" si="1"/>
        <v>1</v>
      </c>
      <c r="D14" s="24">
        <f>'Monthly Data'!S14</f>
        <v>7305107.8312721383</v>
      </c>
      <c r="E14" s="278">
        <f>'Monthly Data'!BE14</f>
        <v>0</v>
      </c>
      <c r="F14" s="278">
        <f>'Monthly Data'!CG14</f>
        <v>0</v>
      </c>
      <c r="G14" s="278">
        <f>'Monthly Data'!AQ14</f>
        <v>204.2</v>
      </c>
      <c r="H14" s="278">
        <f>'Monthly Data'!CD14</f>
        <v>31</v>
      </c>
      <c r="J14" s="18">
        <f>'GS 1k-4,999 Predicted Monthly'!$T$10</f>
        <v>1142088.9328922699</v>
      </c>
      <c r="K14" s="18">
        <f>E14*'GS 1k-4,999 Predicted Monthly'!$T$11</f>
        <v>0</v>
      </c>
      <c r="L14" s="18">
        <f>F14*'GS 1k-4,999 Predicted Monthly'!$T$12</f>
        <v>0</v>
      </c>
      <c r="M14" s="18">
        <f>G14*'GS 1k-4,999 Predicted Monthly'!$T$13</f>
        <v>2463876.5772334128</v>
      </c>
      <c r="N14" s="18">
        <f>H14*'GS 1k-4,999 Predicted Monthly'!$T$14</f>
        <v>3521036.9894481138</v>
      </c>
      <c r="O14" s="18">
        <f t="shared" si="4"/>
        <v>7127002.499573797</v>
      </c>
      <c r="P14" s="18">
        <f t="shared" si="2"/>
        <v>-178105.3316983413</v>
      </c>
      <c r="Q14" s="279">
        <f t="shared" si="3"/>
        <v>2.4380931234977456E-2</v>
      </c>
      <c r="S14" s="1" t="s">
        <v>203</v>
      </c>
      <c r="T14" s="18">
        <v>113581.838369294</v>
      </c>
      <c r="U14" s="1">
        <v>35065.500883668799</v>
      </c>
      <c r="V14" s="1">
        <v>3.23913349323333</v>
      </c>
      <c r="W14" s="1">
        <v>1.5676296437696999E-3</v>
      </c>
    </row>
    <row r="15" spans="1:23" x14ac:dyDescent="0.25">
      <c r="A15" s="3">
        <f>'Monthly Data'!A15</f>
        <v>42401</v>
      </c>
      <c r="B15" s="1">
        <f t="shared" si="0"/>
        <v>2016</v>
      </c>
      <c r="C15" s="1">
        <f t="shared" si="1"/>
        <v>2</v>
      </c>
      <c r="D15" s="24">
        <f>'Monthly Data'!S15</f>
        <v>7115237.8781808047</v>
      </c>
      <c r="E15" s="278">
        <f>'Monthly Data'!BE15</f>
        <v>0</v>
      </c>
      <c r="F15" s="278">
        <f>'Monthly Data'!CG15</f>
        <v>0</v>
      </c>
      <c r="G15" s="278">
        <f>'Monthly Data'!AQ15</f>
        <v>205.6</v>
      </c>
      <c r="H15" s="278">
        <f>'Monthly Data'!CD15</f>
        <v>29</v>
      </c>
      <c r="J15" s="18">
        <f>'GS 1k-4,999 Predicted Monthly'!$T$10</f>
        <v>1142088.9328922699</v>
      </c>
      <c r="K15" s="18">
        <f>E15*'GS 1k-4,999 Predicted Monthly'!$T$11</f>
        <v>0</v>
      </c>
      <c r="L15" s="18">
        <f>F15*'GS 1k-4,999 Predicted Monthly'!$T$12</f>
        <v>0</v>
      </c>
      <c r="M15" s="18">
        <f>G15*'GS 1k-4,999 Predicted Monthly'!$T$13</f>
        <v>2480768.9729637108</v>
      </c>
      <c r="N15" s="18">
        <f>H15*'GS 1k-4,999 Predicted Monthly'!$T$14</f>
        <v>3293873.3127095257</v>
      </c>
      <c r="O15" s="18">
        <f t="shared" si="4"/>
        <v>6916731.2185655069</v>
      </c>
      <c r="P15" s="18">
        <f t="shared" si="2"/>
        <v>-198506.6596152978</v>
      </c>
      <c r="Q15" s="279">
        <f t="shared" si="3"/>
        <v>2.7898808587134852E-2</v>
      </c>
    </row>
    <row r="16" spans="1:23" x14ac:dyDescent="0.25">
      <c r="A16" s="3">
        <f>'Monthly Data'!A16</f>
        <v>42430</v>
      </c>
      <c r="B16" s="1">
        <f t="shared" si="0"/>
        <v>2016</v>
      </c>
      <c r="C16" s="1">
        <f t="shared" si="1"/>
        <v>3</v>
      </c>
      <c r="D16" s="24">
        <f>'Monthly Data'!S16</f>
        <v>7251476.8371827444</v>
      </c>
      <c r="E16" s="278">
        <f>'Monthly Data'!BE16</f>
        <v>0</v>
      </c>
      <c r="F16" s="278">
        <f>'Monthly Data'!CG16</f>
        <v>0</v>
      </c>
      <c r="G16" s="278">
        <f>'Monthly Data'!AQ16</f>
        <v>206.5</v>
      </c>
      <c r="H16" s="278">
        <f>'Monthly Data'!CD16</f>
        <v>31</v>
      </c>
      <c r="J16" s="18">
        <f>'GS 1k-4,999 Predicted Monthly'!$T$10</f>
        <v>1142088.9328922699</v>
      </c>
      <c r="K16" s="18">
        <f>E16*'GS 1k-4,999 Predicted Monthly'!$T$11</f>
        <v>0</v>
      </c>
      <c r="L16" s="18">
        <f>F16*'GS 1k-4,999 Predicted Monthly'!$T$12</f>
        <v>0</v>
      </c>
      <c r="M16" s="18">
        <f>G16*'GS 1k-4,999 Predicted Monthly'!$T$13</f>
        <v>2491628.3702189019</v>
      </c>
      <c r="N16" s="18">
        <f>H16*'GS 1k-4,999 Predicted Monthly'!$T$14</f>
        <v>3521036.9894481138</v>
      </c>
      <c r="O16" s="18">
        <f t="shared" si="4"/>
        <v>7154754.2925592856</v>
      </c>
      <c r="P16" s="18">
        <f t="shared" si="2"/>
        <v>-96722.544623458758</v>
      </c>
      <c r="Q16" s="279">
        <f t="shared" si="3"/>
        <v>1.3338323598787944E-2</v>
      </c>
      <c r="S16" s="1" t="s">
        <v>153</v>
      </c>
    </row>
    <row r="17" spans="1:22" x14ac:dyDescent="0.25">
      <c r="A17" s="3">
        <f>'Monthly Data'!A17</f>
        <v>42461</v>
      </c>
      <c r="B17" s="1">
        <f t="shared" si="0"/>
        <v>2016</v>
      </c>
      <c r="C17" s="1">
        <f t="shared" si="1"/>
        <v>4</v>
      </c>
      <c r="D17" s="24">
        <f>'Monthly Data'!S17</f>
        <v>7163584.4082842655</v>
      </c>
      <c r="E17" s="278">
        <f>'Monthly Data'!BE17</f>
        <v>0</v>
      </c>
      <c r="F17" s="278">
        <f>'Monthly Data'!CG17</f>
        <v>0</v>
      </c>
      <c r="G17" s="278">
        <f>'Monthly Data'!AQ17</f>
        <v>205.8</v>
      </c>
      <c r="H17" s="278">
        <f>'Monthly Data'!CD17</f>
        <v>30</v>
      </c>
      <c r="J17" s="18">
        <f>'GS 1k-4,999 Predicted Monthly'!$T$10</f>
        <v>1142088.9328922699</v>
      </c>
      <c r="K17" s="18">
        <f>E17*'GS 1k-4,999 Predicted Monthly'!$T$11</f>
        <v>0</v>
      </c>
      <c r="L17" s="18">
        <f>F17*'GS 1k-4,999 Predicted Monthly'!$T$12</f>
        <v>0</v>
      </c>
      <c r="M17" s="18">
        <f>G17*'GS 1k-4,999 Predicted Monthly'!$T$13</f>
        <v>2483182.1723537534</v>
      </c>
      <c r="N17" s="18">
        <f>H17*'GS 1k-4,999 Predicted Monthly'!$T$14</f>
        <v>3407455.1510788198</v>
      </c>
      <c r="O17" s="18">
        <f t="shared" si="4"/>
        <v>7032726.2563248426</v>
      </c>
      <c r="P17" s="18">
        <f t="shared" si="2"/>
        <v>-130858.15195942298</v>
      </c>
      <c r="Q17" s="279">
        <f t="shared" si="3"/>
        <v>1.8267133393178588E-2</v>
      </c>
      <c r="S17" s="1" t="s">
        <v>154</v>
      </c>
      <c r="T17" s="1">
        <v>17157689980469</v>
      </c>
      <c r="U17" s="1" t="s">
        <v>155</v>
      </c>
      <c r="V17" s="1">
        <v>386260.66869148298</v>
      </c>
    </row>
    <row r="18" spans="1:22" x14ac:dyDescent="0.25">
      <c r="A18" s="3">
        <f>'Monthly Data'!A18</f>
        <v>42491</v>
      </c>
      <c r="B18" s="1">
        <f t="shared" si="0"/>
        <v>2016</v>
      </c>
      <c r="C18" s="1">
        <f t="shared" si="1"/>
        <v>5</v>
      </c>
      <c r="D18" s="24">
        <f>'Monthly Data'!S18</f>
        <v>7587662.1759159202</v>
      </c>
      <c r="E18" s="278">
        <f>'Monthly Data'!BE18</f>
        <v>40.95416666666668</v>
      </c>
      <c r="F18" s="278">
        <f>'Monthly Data'!CG18</f>
        <v>0</v>
      </c>
      <c r="G18" s="278">
        <f>'Monthly Data'!AQ18</f>
        <v>206.1</v>
      </c>
      <c r="H18" s="278">
        <f>'Monthly Data'!CD18</f>
        <v>31</v>
      </c>
      <c r="J18" s="18">
        <f>'GS 1k-4,999 Predicted Monthly'!$T$10</f>
        <v>1142088.9328922699</v>
      </c>
      <c r="K18" s="18">
        <f>E18*'GS 1k-4,999 Predicted Monthly'!$T$11</f>
        <v>366323.86522557982</v>
      </c>
      <c r="L18" s="18">
        <f>F18*'GS 1k-4,999 Predicted Monthly'!$T$12</f>
        <v>0</v>
      </c>
      <c r="M18" s="18">
        <f>G18*'GS 1k-4,999 Predicted Monthly'!$T$13</f>
        <v>2486801.9714388167</v>
      </c>
      <c r="N18" s="18">
        <f>H18*'GS 1k-4,999 Predicted Monthly'!$T$14</f>
        <v>3521036.9894481138</v>
      </c>
      <c r="O18" s="18">
        <f t="shared" si="4"/>
        <v>7516251.759004781</v>
      </c>
      <c r="P18" s="18">
        <f t="shared" si="2"/>
        <v>-71410.416911139153</v>
      </c>
      <c r="Q18" s="279">
        <f t="shared" si="3"/>
        <v>9.4113859124887924E-3</v>
      </c>
      <c r="S18" s="1" t="s">
        <v>156</v>
      </c>
      <c r="T18" s="1">
        <v>0.78318621849400805</v>
      </c>
      <c r="U18" s="1" t="s">
        <v>157</v>
      </c>
      <c r="V18" s="1">
        <v>0.77564486957206102</v>
      </c>
    </row>
    <row r="19" spans="1:22" x14ac:dyDescent="0.25">
      <c r="A19" s="3">
        <f>'Monthly Data'!A19</f>
        <v>42522</v>
      </c>
      <c r="B19" s="1">
        <f t="shared" si="0"/>
        <v>2016</v>
      </c>
      <c r="C19" s="1">
        <f t="shared" si="1"/>
        <v>6</v>
      </c>
      <c r="D19" s="24">
        <f>'Monthly Data'!S19</f>
        <v>8266801.9215084706</v>
      </c>
      <c r="E19" s="278">
        <f>'Monthly Data'!BE19</f>
        <v>97.33750000000002</v>
      </c>
      <c r="F19" s="278">
        <f>'Monthly Data'!CG19</f>
        <v>0</v>
      </c>
      <c r="G19" s="278">
        <f>'Monthly Data'!AQ19</f>
        <v>204.7</v>
      </c>
      <c r="H19" s="278">
        <f>'Monthly Data'!CD19</f>
        <v>30</v>
      </c>
      <c r="J19" s="18">
        <f>'GS 1k-4,999 Predicted Monthly'!$T$10</f>
        <v>1142088.9328922699</v>
      </c>
      <c r="K19" s="18">
        <f>E19*'GS 1k-4,999 Predicted Monthly'!$T$11</f>
        <v>870657.42349524563</v>
      </c>
      <c r="L19" s="18">
        <f>F19*'GS 1k-4,999 Predicted Monthly'!$T$12</f>
        <v>0</v>
      </c>
      <c r="M19" s="18">
        <f>G19*'GS 1k-4,999 Predicted Monthly'!$T$13</f>
        <v>2469909.5757085192</v>
      </c>
      <c r="N19" s="18">
        <f>H19*'GS 1k-4,999 Predicted Monthly'!$T$14</f>
        <v>3407455.1510788198</v>
      </c>
      <c r="O19" s="18">
        <f t="shared" si="4"/>
        <v>7890111.0831748545</v>
      </c>
      <c r="P19" s="18">
        <f t="shared" si="2"/>
        <v>-376690.83833361603</v>
      </c>
      <c r="Q19" s="279">
        <f t="shared" si="3"/>
        <v>4.5566694582767991E-2</v>
      </c>
      <c r="S19" s="1" t="s">
        <v>200</v>
      </c>
      <c r="T19" s="1">
        <v>55.642137220433597</v>
      </c>
      <c r="U19" s="1" t="s">
        <v>159</v>
      </c>
      <c r="V19" s="283">
        <v>5.0048245162668701E-26</v>
      </c>
    </row>
    <row r="20" spans="1:22" x14ac:dyDescent="0.25">
      <c r="A20" s="3">
        <f>'Monthly Data'!A20</f>
        <v>42552</v>
      </c>
      <c r="B20" s="1">
        <f t="shared" si="0"/>
        <v>2016</v>
      </c>
      <c r="C20" s="1">
        <f t="shared" si="1"/>
        <v>7</v>
      </c>
      <c r="D20" s="24">
        <f>'Monthly Data'!S20</f>
        <v>9257660.4062251002</v>
      </c>
      <c r="E20" s="278">
        <f>'Monthly Data'!BE20</f>
        <v>189.22916666666666</v>
      </c>
      <c r="F20" s="278">
        <f>'Monthly Data'!CG20</f>
        <v>0</v>
      </c>
      <c r="G20" s="278">
        <f>'Monthly Data'!AQ20</f>
        <v>206.5</v>
      </c>
      <c r="H20" s="278">
        <f>'Monthly Data'!CD20</f>
        <v>31</v>
      </c>
      <c r="J20" s="18">
        <f>'GS 1k-4,999 Predicted Monthly'!$T$10</f>
        <v>1142088.9328922699</v>
      </c>
      <c r="K20" s="18">
        <f>E20*'GS 1k-4,999 Predicted Monthly'!$T$11</f>
        <v>1692603.3512279682</v>
      </c>
      <c r="L20" s="18">
        <f>F20*'GS 1k-4,999 Predicted Monthly'!$T$12</f>
        <v>0</v>
      </c>
      <c r="M20" s="18">
        <f>G20*'GS 1k-4,999 Predicted Monthly'!$T$13</f>
        <v>2491628.3702189019</v>
      </c>
      <c r="N20" s="18">
        <f>H20*'GS 1k-4,999 Predicted Monthly'!$T$14</f>
        <v>3521036.9894481138</v>
      </c>
      <c r="O20" s="18">
        <f t="shared" si="4"/>
        <v>8847357.6437872536</v>
      </c>
      <c r="P20" s="18">
        <f t="shared" si="2"/>
        <v>-410302.76243784651</v>
      </c>
      <c r="Q20" s="279">
        <f t="shared" si="3"/>
        <v>4.4320351409946716E-2</v>
      </c>
      <c r="S20" s="1" t="s">
        <v>160</v>
      </c>
      <c r="T20" s="1">
        <v>-5.0408642364665301E-2</v>
      </c>
      <c r="U20" s="1" t="s">
        <v>161</v>
      </c>
      <c r="V20" s="1">
        <v>2.0897591519982499</v>
      </c>
    </row>
    <row r="21" spans="1:22" x14ac:dyDescent="0.25">
      <c r="A21" s="3">
        <f>'Monthly Data'!A21</f>
        <v>42583</v>
      </c>
      <c r="B21" s="1">
        <f t="shared" si="0"/>
        <v>2016</v>
      </c>
      <c r="C21" s="1">
        <f t="shared" si="1"/>
        <v>8</v>
      </c>
      <c r="D21" s="24">
        <f>'Monthly Data'!S21</f>
        <v>9581497.8125995416</v>
      </c>
      <c r="E21" s="278">
        <f>'Monthly Data'!BE21</f>
        <v>204.02500000000006</v>
      </c>
      <c r="F21" s="278">
        <f>'Monthly Data'!CG21</f>
        <v>0</v>
      </c>
      <c r="G21" s="278">
        <f>'Monthly Data'!AQ21</f>
        <v>209.3</v>
      </c>
      <c r="H21" s="278">
        <f>'Monthly Data'!CD21</f>
        <v>31</v>
      </c>
      <c r="J21" s="18">
        <f>'GS 1k-4,999 Predicted Monthly'!$T$10</f>
        <v>1142088.9328922699</v>
      </c>
      <c r="K21" s="18">
        <f>E21*'GS 1k-4,999 Predicted Monthly'!$T$11</f>
        <v>1824948.0501206368</v>
      </c>
      <c r="L21" s="18">
        <f>F21*'GS 1k-4,999 Predicted Monthly'!$T$12</f>
        <v>0</v>
      </c>
      <c r="M21" s="18">
        <f>G21*'GS 1k-4,999 Predicted Monthly'!$T$13</f>
        <v>2525413.1616794975</v>
      </c>
      <c r="N21" s="18">
        <f>H21*'GS 1k-4,999 Predicted Monthly'!$T$14</f>
        <v>3521036.9894481138</v>
      </c>
      <c r="O21" s="18">
        <f t="shared" si="4"/>
        <v>9013487.1341405176</v>
      </c>
      <c r="P21" s="18">
        <f t="shared" si="2"/>
        <v>-568010.67845902406</v>
      </c>
      <c r="Q21" s="279">
        <f t="shared" si="3"/>
        <v>5.9282033933368707E-2</v>
      </c>
    </row>
    <row r="22" spans="1:22" x14ac:dyDescent="0.25">
      <c r="A22" s="3">
        <f>'Monthly Data'!A22</f>
        <v>42614</v>
      </c>
      <c r="B22" s="1">
        <f t="shared" si="0"/>
        <v>2016</v>
      </c>
      <c r="C22" s="1">
        <f t="shared" si="1"/>
        <v>9</v>
      </c>
      <c r="D22" s="24">
        <f>'Monthly Data'!S22</f>
        <v>8742623.7867525965</v>
      </c>
      <c r="E22" s="278">
        <f>'Monthly Data'!BE22</f>
        <v>71.529166666666654</v>
      </c>
      <c r="F22" s="278">
        <f>'Monthly Data'!CG22</f>
        <v>0</v>
      </c>
      <c r="G22" s="278">
        <f>'Monthly Data'!AQ22</f>
        <v>213.5</v>
      </c>
      <c r="H22" s="278">
        <f>'Monthly Data'!CD22</f>
        <v>30</v>
      </c>
      <c r="J22" s="18">
        <f>'GS 1k-4,999 Predicted Monthly'!$T$10</f>
        <v>1142088.9328922699</v>
      </c>
      <c r="K22" s="18">
        <f>E22*'GS 1k-4,999 Predicted Monthly'!$T$11</f>
        <v>639808.91182495933</v>
      </c>
      <c r="L22" s="18">
        <f>F22*'GS 1k-4,999 Predicted Monthly'!$T$12</f>
        <v>0</v>
      </c>
      <c r="M22" s="18">
        <f>G22*'GS 1k-4,999 Predicted Monthly'!$T$13</f>
        <v>2576090.3488703901</v>
      </c>
      <c r="N22" s="18">
        <f>H22*'GS 1k-4,999 Predicted Monthly'!$T$14</f>
        <v>3407455.1510788198</v>
      </c>
      <c r="O22" s="18">
        <f t="shared" si="4"/>
        <v>7765443.34466644</v>
      </c>
      <c r="P22" s="18">
        <f t="shared" si="2"/>
        <v>-977180.44208615646</v>
      </c>
      <c r="Q22" s="279">
        <f t="shared" si="3"/>
        <v>0.11177198812636145</v>
      </c>
      <c r="S22" s="1" t="s">
        <v>162</v>
      </c>
    </row>
    <row r="23" spans="1:22" x14ac:dyDescent="0.25">
      <c r="A23" s="3">
        <f>'Monthly Data'!A23</f>
        <v>42644</v>
      </c>
      <c r="B23" s="1">
        <f t="shared" si="0"/>
        <v>2016</v>
      </c>
      <c r="C23" s="1">
        <f t="shared" si="1"/>
        <v>10</v>
      </c>
      <c r="D23" s="24">
        <f>'Monthly Data'!S23</f>
        <v>7674378.604801679</v>
      </c>
      <c r="E23" s="278">
        <f>'Monthly Data'!BE23</f>
        <v>7.2541666666666735</v>
      </c>
      <c r="F23" s="278">
        <f>'Monthly Data'!CG23</f>
        <v>0</v>
      </c>
      <c r="G23" s="278">
        <f>'Monthly Data'!AQ23</f>
        <v>214.3</v>
      </c>
      <c r="H23" s="278">
        <f>'Monthly Data'!CD23</f>
        <v>31</v>
      </c>
      <c r="J23" s="18">
        <f>'GS 1k-4,999 Predicted Monthly'!$T$10</f>
        <v>1142088.9328922699</v>
      </c>
      <c r="K23" s="18">
        <f>E23*'GS 1k-4,999 Predicted Monthly'!$T$11</f>
        <v>64886.544852755607</v>
      </c>
      <c r="L23" s="18">
        <f>F23*'GS 1k-4,999 Predicted Monthly'!$T$12</f>
        <v>0</v>
      </c>
      <c r="M23" s="18">
        <f>G23*'GS 1k-4,999 Predicted Monthly'!$T$13</f>
        <v>2585743.1464305604</v>
      </c>
      <c r="N23" s="18">
        <f>H23*'GS 1k-4,999 Predicted Monthly'!$T$14</f>
        <v>3521036.9894481138</v>
      </c>
      <c r="O23" s="18">
        <f t="shared" si="4"/>
        <v>7313755.6136236992</v>
      </c>
      <c r="P23" s="18">
        <f t="shared" si="2"/>
        <v>-360622.99117797986</v>
      </c>
      <c r="Q23" s="279">
        <f t="shared" si="3"/>
        <v>4.6990513466764139E-2</v>
      </c>
      <c r="S23" s="1" t="s">
        <v>163</v>
      </c>
      <c r="T23" s="1">
        <v>7381089.6841846304</v>
      </c>
      <c r="U23" s="1" t="s">
        <v>164</v>
      </c>
      <c r="V23" s="1">
        <v>813215.46590156702</v>
      </c>
    </row>
    <row r="24" spans="1:22" x14ac:dyDescent="0.25">
      <c r="A24" s="3">
        <f>'Monthly Data'!A24</f>
        <v>42675</v>
      </c>
      <c r="B24" s="1">
        <f t="shared" si="0"/>
        <v>2016</v>
      </c>
      <c r="C24" s="1">
        <f t="shared" si="1"/>
        <v>11</v>
      </c>
      <c r="D24" s="24">
        <f>'Monthly Data'!S24</f>
        <v>7232382.6811063746</v>
      </c>
      <c r="E24" s="278">
        <f>'Monthly Data'!BE24</f>
        <v>0</v>
      </c>
      <c r="F24" s="278">
        <f>'Monthly Data'!CG24</f>
        <v>0</v>
      </c>
      <c r="G24" s="278">
        <f>'Monthly Data'!AQ24</f>
        <v>215.1</v>
      </c>
      <c r="H24" s="278">
        <f>'Monthly Data'!CD24</f>
        <v>30</v>
      </c>
      <c r="J24" s="18">
        <f>'GS 1k-4,999 Predicted Monthly'!$T$10</f>
        <v>1142088.9328922699</v>
      </c>
      <c r="K24" s="18">
        <f>E24*'GS 1k-4,999 Predicted Monthly'!$T$11</f>
        <v>0</v>
      </c>
      <c r="L24" s="18">
        <f>F24*'GS 1k-4,999 Predicted Monthly'!$T$12</f>
        <v>0</v>
      </c>
      <c r="M24" s="18">
        <f>G24*'GS 1k-4,999 Predicted Monthly'!$T$13</f>
        <v>2595395.9439907302</v>
      </c>
      <c r="N24" s="18">
        <f>H24*'GS 1k-4,999 Predicted Monthly'!$T$14</f>
        <v>3407455.1510788198</v>
      </c>
      <c r="O24" s="18">
        <f t="shared" si="4"/>
        <v>7144940.0279618204</v>
      </c>
      <c r="P24" s="18">
        <f t="shared" si="2"/>
        <v>-87442.653144554235</v>
      </c>
      <c r="Q24" s="279">
        <f t="shared" si="3"/>
        <v>1.2090435061323066E-2</v>
      </c>
    </row>
    <row r="25" spans="1:22" x14ac:dyDescent="0.25">
      <c r="A25" s="3">
        <f>'Monthly Data'!A25</f>
        <v>42705</v>
      </c>
      <c r="B25" s="1">
        <f t="shared" si="0"/>
        <v>2016</v>
      </c>
      <c r="C25" s="1">
        <f t="shared" si="1"/>
        <v>12</v>
      </c>
      <c r="D25" s="24">
        <f>'Monthly Data'!S25</f>
        <v>7259200.5747319283</v>
      </c>
      <c r="E25" s="278">
        <f>'Monthly Data'!BE25</f>
        <v>0</v>
      </c>
      <c r="F25" s="278">
        <f>'Monthly Data'!CG25</f>
        <v>0</v>
      </c>
      <c r="G25" s="278">
        <f>'Monthly Data'!AQ25</f>
        <v>215.7</v>
      </c>
      <c r="H25" s="278">
        <f>'Monthly Data'!CD25</f>
        <v>31</v>
      </c>
      <c r="J25" s="18">
        <f>'GS 1k-4,999 Predicted Monthly'!$T$10</f>
        <v>1142088.9328922699</v>
      </c>
      <c r="K25" s="18">
        <f>E25*'GS 1k-4,999 Predicted Monthly'!$T$11</f>
        <v>0</v>
      </c>
      <c r="L25" s="18">
        <f>F25*'GS 1k-4,999 Predicted Monthly'!$T$12</f>
        <v>0</v>
      </c>
      <c r="M25" s="18">
        <f>G25*'GS 1k-4,999 Predicted Monthly'!$T$13</f>
        <v>2602635.5421608579</v>
      </c>
      <c r="N25" s="18">
        <f>H25*'GS 1k-4,999 Predicted Monthly'!$T$14</f>
        <v>3521036.9894481138</v>
      </c>
      <c r="O25" s="18">
        <f t="shared" si="4"/>
        <v>7265761.4645012412</v>
      </c>
      <c r="P25" s="18">
        <f t="shared" si="2"/>
        <v>6560.8897693129256</v>
      </c>
      <c r="Q25" s="279">
        <f t="shared" si="3"/>
        <v>9.0380334608059919E-4</v>
      </c>
      <c r="T25" s="18"/>
      <c r="V25" s="18"/>
    </row>
    <row r="26" spans="1:22" x14ac:dyDescent="0.25">
      <c r="A26" s="3">
        <f>'Monthly Data'!A26</f>
        <v>42736</v>
      </c>
      <c r="B26" s="1">
        <f t="shared" si="0"/>
        <v>2017</v>
      </c>
      <c r="C26" s="1">
        <f t="shared" si="1"/>
        <v>1</v>
      </c>
      <c r="D26" s="24">
        <f>'Monthly Data'!S26</f>
        <v>7748576.2980715707</v>
      </c>
      <c r="E26" s="278">
        <f>'Monthly Data'!BE26</f>
        <v>0</v>
      </c>
      <c r="F26" s="278">
        <f>'Monthly Data'!CG26</f>
        <v>0</v>
      </c>
      <c r="G26" s="278">
        <f>'Monthly Data'!AQ26</f>
        <v>215.5</v>
      </c>
      <c r="H26" s="278">
        <f>'Monthly Data'!CD26</f>
        <v>31</v>
      </c>
      <c r="J26" s="18">
        <f>'GS 1k-4,999 Predicted Monthly'!$T$10</f>
        <v>1142088.9328922699</v>
      </c>
      <c r="K26" s="18">
        <f>E26*'GS 1k-4,999 Predicted Monthly'!$T$11</f>
        <v>0</v>
      </c>
      <c r="L26" s="18">
        <f>F26*'GS 1k-4,999 Predicted Monthly'!$T$12</f>
        <v>0</v>
      </c>
      <c r="M26" s="18">
        <f>G26*'GS 1k-4,999 Predicted Monthly'!$T$13</f>
        <v>2600222.3427708154</v>
      </c>
      <c r="N26" s="18">
        <f>H26*'GS 1k-4,999 Predicted Monthly'!$T$14</f>
        <v>3521036.9894481138</v>
      </c>
      <c r="O26" s="18">
        <f t="shared" si="4"/>
        <v>7263348.2651111986</v>
      </c>
      <c r="P26" s="18">
        <f t="shared" si="2"/>
        <v>-485228.03296037205</v>
      </c>
      <c r="Q26" s="279">
        <f t="shared" si="3"/>
        <v>6.2621572569548464E-2</v>
      </c>
    </row>
    <row r="27" spans="1:22" x14ac:dyDescent="0.25">
      <c r="A27" s="3">
        <f>'Monthly Data'!A27</f>
        <v>42767</v>
      </c>
      <c r="B27" s="1">
        <f t="shared" si="0"/>
        <v>2017</v>
      </c>
      <c r="C27" s="1">
        <f t="shared" si="1"/>
        <v>2</v>
      </c>
      <c r="D27" s="24">
        <f>'Monthly Data'!S27</f>
        <v>7030359.4291701298</v>
      </c>
      <c r="E27" s="278">
        <f>'Monthly Data'!BE27</f>
        <v>0</v>
      </c>
      <c r="F27" s="278">
        <f>'Monthly Data'!CG27</f>
        <v>0</v>
      </c>
      <c r="G27" s="278">
        <f>'Monthly Data'!AQ27</f>
        <v>209.8</v>
      </c>
      <c r="H27" s="278">
        <f>'Monthly Data'!CD27</f>
        <v>28</v>
      </c>
      <c r="J27" s="18">
        <f>'GS 1k-4,999 Predicted Monthly'!$T$10</f>
        <v>1142088.9328922699</v>
      </c>
      <c r="K27" s="18">
        <f>E27*'GS 1k-4,999 Predicted Monthly'!$T$11</f>
        <v>0</v>
      </c>
      <c r="L27" s="18">
        <f>F27*'GS 1k-4,999 Predicted Monthly'!$T$12</f>
        <v>0</v>
      </c>
      <c r="M27" s="18">
        <f>G27*'GS 1k-4,999 Predicted Monthly'!$T$13</f>
        <v>2531446.1601546039</v>
      </c>
      <c r="N27" s="18">
        <f>H27*'GS 1k-4,999 Predicted Monthly'!$T$14</f>
        <v>3180291.4743402321</v>
      </c>
      <c r="O27" s="18">
        <f t="shared" si="4"/>
        <v>6853826.5673871059</v>
      </c>
      <c r="P27" s="18">
        <f t="shared" si="2"/>
        <v>-176532.86178302392</v>
      </c>
      <c r="Q27" s="279">
        <f t="shared" si="3"/>
        <v>2.5110076314243585E-2</v>
      </c>
    </row>
    <row r="28" spans="1:22" x14ac:dyDescent="0.25">
      <c r="A28" s="3">
        <f>'Monthly Data'!A28</f>
        <v>42795</v>
      </c>
      <c r="B28" s="1">
        <f t="shared" si="0"/>
        <v>2017</v>
      </c>
      <c r="C28" s="1">
        <f t="shared" si="1"/>
        <v>3</v>
      </c>
      <c r="D28" s="24">
        <f>'Monthly Data'!S28</f>
        <v>7867386.6453418816</v>
      </c>
      <c r="E28" s="278">
        <f>'Monthly Data'!BE28</f>
        <v>0</v>
      </c>
      <c r="F28" s="278">
        <f>'Monthly Data'!CG28</f>
        <v>0</v>
      </c>
      <c r="G28" s="278">
        <f>'Monthly Data'!AQ28</f>
        <v>203.2</v>
      </c>
      <c r="H28" s="278">
        <f>'Monthly Data'!CD28</f>
        <v>31</v>
      </c>
      <c r="J28" s="18">
        <f>'GS 1k-4,999 Predicted Monthly'!$T$10</f>
        <v>1142088.9328922699</v>
      </c>
      <c r="K28" s="18">
        <f>E28*'GS 1k-4,999 Predicted Monthly'!$T$11</f>
        <v>0</v>
      </c>
      <c r="L28" s="18">
        <f>F28*'GS 1k-4,999 Predicted Monthly'!$T$12</f>
        <v>0</v>
      </c>
      <c r="M28" s="18">
        <f>G28*'GS 1k-4,999 Predicted Monthly'!$T$13</f>
        <v>2451810.5802832004</v>
      </c>
      <c r="N28" s="18">
        <f>H28*'GS 1k-4,999 Predicted Monthly'!$T$14</f>
        <v>3521036.9894481138</v>
      </c>
      <c r="O28" s="18">
        <f t="shared" si="4"/>
        <v>7114936.5026235841</v>
      </c>
      <c r="P28" s="18">
        <f t="shared" si="2"/>
        <v>-752450.14271829743</v>
      </c>
      <c r="Q28" s="279">
        <f t="shared" si="3"/>
        <v>9.5641688484168721E-2</v>
      </c>
    </row>
    <row r="29" spans="1:22" x14ac:dyDescent="0.25">
      <c r="A29" s="3">
        <f>'Monthly Data'!A29</f>
        <v>42826</v>
      </c>
      <c r="B29" s="1">
        <f t="shared" si="0"/>
        <v>2017</v>
      </c>
      <c r="C29" s="1">
        <f t="shared" si="1"/>
        <v>4</v>
      </c>
      <c r="D29" s="24">
        <f>'Monthly Data'!S29</f>
        <v>7658302.3379697306</v>
      </c>
      <c r="E29" s="278">
        <f>'Monthly Data'!BE29</f>
        <v>2.3458333333333385</v>
      </c>
      <c r="F29" s="278">
        <f>'Monthly Data'!CG29</f>
        <v>0</v>
      </c>
      <c r="G29" s="278">
        <f>'Monthly Data'!AQ29</f>
        <v>200</v>
      </c>
      <c r="H29" s="278">
        <f>'Monthly Data'!CD29</f>
        <v>30</v>
      </c>
      <c r="J29" s="18">
        <f>'GS 1k-4,999 Predicted Monthly'!$T$10</f>
        <v>1142088.9328922699</v>
      </c>
      <c r="K29" s="18">
        <f>E29*'GS 1k-4,999 Predicted Monthly'!$T$11</f>
        <v>20982.840179265626</v>
      </c>
      <c r="L29" s="18">
        <f>F29*'GS 1k-4,999 Predicted Monthly'!$T$12</f>
        <v>0</v>
      </c>
      <c r="M29" s="18">
        <f>G29*'GS 1k-4,999 Predicted Monthly'!$T$13</f>
        <v>2413199.3900425201</v>
      </c>
      <c r="N29" s="18">
        <f>H29*'GS 1k-4,999 Predicted Monthly'!$T$14</f>
        <v>3407455.1510788198</v>
      </c>
      <c r="O29" s="18">
        <f t="shared" si="4"/>
        <v>6983726.3141928762</v>
      </c>
      <c r="P29" s="18">
        <f t="shared" si="2"/>
        <v>-674576.02377685439</v>
      </c>
      <c r="Q29" s="279">
        <f t="shared" si="3"/>
        <v>8.8084276907209338E-2</v>
      </c>
    </row>
    <row r="30" spans="1:22" x14ac:dyDescent="0.25">
      <c r="A30" s="3">
        <f>'Monthly Data'!A30</f>
        <v>42856</v>
      </c>
      <c r="B30" s="1">
        <f t="shared" si="0"/>
        <v>2017</v>
      </c>
      <c r="C30" s="1">
        <f t="shared" si="1"/>
        <v>5</v>
      </c>
      <c r="D30" s="24">
        <f>'Monthly Data'!S30</f>
        <v>7506438.3334006667</v>
      </c>
      <c r="E30" s="278">
        <f>'Monthly Data'!BE30</f>
        <v>13.075000000000003</v>
      </c>
      <c r="F30" s="278">
        <f>'Monthly Data'!CG30</f>
        <v>0</v>
      </c>
      <c r="G30" s="278">
        <f>'Monthly Data'!AQ30</f>
        <v>202.9</v>
      </c>
      <c r="H30" s="278">
        <f>'Monthly Data'!CD30</f>
        <v>31</v>
      </c>
      <c r="J30" s="18">
        <f>'GS 1k-4,999 Predicted Monthly'!$T$10</f>
        <v>1142088.9328922699</v>
      </c>
      <c r="K30" s="18">
        <f>E30*'GS 1k-4,999 Predicted Monthly'!$T$11</f>
        <v>116952.31346809129</v>
      </c>
      <c r="L30" s="18">
        <f>F30*'GS 1k-4,999 Predicted Monthly'!$T$12</f>
        <v>0</v>
      </c>
      <c r="M30" s="18">
        <f>G30*'GS 1k-4,999 Predicted Monthly'!$T$13</f>
        <v>2448190.7811981365</v>
      </c>
      <c r="N30" s="18">
        <f>H30*'GS 1k-4,999 Predicted Monthly'!$T$14</f>
        <v>3521036.9894481138</v>
      </c>
      <c r="O30" s="18">
        <f t="shared" si="4"/>
        <v>7228269.0170066115</v>
      </c>
      <c r="P30" s="18">
        <f t="shared" si="2"/>
        <v>-278169.31639405526</v>
      </c>
      <c r="Q30" s="279">
        <f t="shared" si="3"/>
        <v>3.7057430440254516E-2</v>
      </c>
    </row>
    <row r="31" spans="1:22" x14ac:dyDescent="0.25">
      <c r="A31" s="3">
        <f>'Monthly Data'!A31</f>
        <v>42887</v>
      </c>
      <c r="B31" s="1">
        <f t="shared" si="0"/>
        <v>2017</v>
      </c>
      <c r="C31" s="1">
        <f t="shared" si="1"/>
        <v>6</v>
      </c>
      <c r="D31" s="24">
        <f>'Monthly Data'!S31</f>
        <v>8030339.2459057812</v>
      </c>
      <c r="E31" s="278">
        <f>'Monthly Data'!BE31</f>
        <v>68.909166666666678</v>
      </c>
      <c r="F31" s="278">
        <f>'Monthly Data'!CG31</f>
        <v>0</v>
      </c>
      <c r="G31" s="278">
        <f>'Monthly Data'!AQ31</f>
        <v>206.7</v>
      </c>
      <c r="H31" s="278">
        <f>'Monthly Data'!CD31</f>
        <v>30</v>
      </c>
      <c r="J31" s="18">
        <f>'GS 1k-4,999 Predicted Monthly'!$T$10</f>
        <v>1142088.9328922699</v>
      </c>
      <c r="K31" s="18">
        <f>E31*'GS 1k-4,999 Predicted Monthly'!$T$11</f>
        <v>616373.72549330373</v>
      </c>
      <c r="L31" s="18">
        <f>F31*'GS 1k-4,999 Predicted Monthly'!$T$12</f>
        <v>0</v>
      </c>
      <c r="M31" s="18">
        <f>G31*'GS 1k-4,999 Predicted Monthly'!$T$13</f>
        <v>2494041.5696089445</v>
      </c>
      <c r="N31" s="18">
        <f>H31*'GS 1k-4,999 Predicted Monthly'!$T$14</f>
        <v>3407455.1510788198</v>
      </c>
      <c r="O31" s="18">
        <f t="shared" si="4"/>
        <v>7659959.3790733386</v>
      </c>
      <c r="P31" s="18">
        <f t="shared" si="2"/>
        <v>-370379.86683244258</v>
      </c>
      <c r="Q31" s="279">
        <f t="shared" si="3"/>
        <v>4.6122567863030005E-2</v>
      </c>
    </row>
    <row r="32" spans="1:22" x14ac:dyDescent="0.25">
      <c r="A32" s="3">
        <f>'Monthly Data'!A32</f>
        <v>42917</v>
      </c>
      <c r="B32" s="1">
        <f t="shared" si="0"/>
        <v>2017</v>
      </c>
      <c r="C32" s="1">
        <f t="shared" si="1"/>
        <v>7</v>
      </c>
      <c r="D32" s="24">
        <f>'Monthly Data'!S32</f>
        <v>8822626.0175652429</v>
      </c>
      <c r="E32" s="278">
        <f>'Monthly Data'!BE32</f>
        <v>136.16666666666663</v>
      </c>
      <c r="F32" s="278">
        <f>'Monthly Data'!CG32</f>
        <v>0</v>
      </c>
      <c r="G32" s="278">
        <f>'Monthly Data'!AQ32</f>
        <v>207</v>
      </c>
      <c r="H32" s="278">
        <f>'Monthly Data'!CD32</f>
        <v>31</v>
      </c>
      <c r="J32" s="18">
        <f>'GS 1k-4,999 Predicted Monthly'!$T$10</f>
        <v>1142088.9328922699</v>
      </c>
      <c r="K32" s="18">
        <f>E32*'GS 1k-4,999 Predicted Monthly'!$T$11</f>
        <v>1217973.7425548825</v>
      </c>
      <c r="L32" s="18">
        <f>F32*'GS 1k-4,999 Predicted Monthly'!$T$12</f>
        <v>0</v>
      </c>
      <c r="M32" s="18">
        <f>G32*'GS 1k-4,999 Predicted Monthly'!$T$13</f>
        <v>2497661.3686940083</v>
      </c>
      <c r="N32" s="18">
        <f>H32*'GS 1k-4,999 Predicted Monthly'!$T$14</f>
        <v>3521036.9894481138</v>
      </c>
      <c r="O32" s="18">
        <f t="shared" si="4"/>
        <v>8378761.0335892737</v>
      </c>
      <c r="P32" s="18">
        <f t="shared" si="2"/>
        <v>-443864.98397596925</v>
      </c>
      <c r="Q32" s="279">
        <f t="shared" si="3"/>
        <v>5.0309849141544086E-2</v>
      </c>
    </row>
    <row r="33" spans="1:17" x14ac:dyDescent="0.25">
      <c r="A33" s="3">
        <f>'Monthly Data'!A33</f>
        <v>42948</v>
      </c>
      <c r="B33" s="1">
        <f t="shared" si="0"/>
        <v>2017</v>
      </c>
      <c r="C33" s="1">
        <f t="shared" si="1"/>
        <v>8</v>
      </c>
      <c r="D33" s="24">
        <f>'Monthly Data'!S33</f>
        <v>9105942.2354655229</v>
      </c>
      <c r="E33" s="278">
        <f>'Monthly Data'!BE33</f>
        <v>97.06576086956521</v>
      </c>
      <c r="F33" s="278">
        <f>'Monthly Data'!CG33</f>
        <v>0</v>
      </c>
      <c r="G33" s="278">
        <f>'Monthly Data'!AQ33</f>
        <v>208.1</v>
      </c>
      <c r="H33" s="278">
        <f>'Monthly Data'!CD33</f>
        <v>31</v>
      </c>
      <c r="J33" s="18">
        <f>'GS 1k-4,999 Predicted Monthly'!$T$10</f>
        <v>1142088.9328922699</v>
      </c>
      <c r="K33" s="18">
        <f>E33*'GS 1k-4,999 Predicted Monthly'!$T$11</f>
        <v>868226.79099320667</v>
      </c>
      <c r="L33" s="18">
        <f>F33*'GS 1k-4,999 Predicted Monthly'!$T$12</f>
        <v>0</v>
      </c>
      <c r="M33" s="18">
        <f>G33*'GS 1k-4,999 Predicted Monthly'!$T$13</f>
        <v>2510933.965339242</v>
      </c>
      <c r="N33" s="18">
        <f>H33*'GS 1k-4,999 Predicted Monthly'!$T$14</f>
        <v>3521036.9894481138</v>
      </c>
      <c r="O33" s="18">
        <f t="shared" si="4"/>
        <v>8042286.6786728315</v>
      </c>
      <c r="P33" s="18">
        <f t="shared" si="2"/>
        <v>-1063655.5567926913</v>
      </c>
      <c r="Q33" s="279">
        <f t="shared" si="3"/>
        <v>0.11680895060480406</v>
      </c>
    </row>
    <row r="34" spans="1:17" x14ac:dyDescent="0.25">
      <c r="A34" s="3">
        <f>'Monthly Data'!A34</f>
        <v>42979</v>
      </c>
      <c r="B34" s="1">
        <f t="shared" si="0"/>
        <v>2017</v>
      </c>
      <c r="C34" s="1">
        <f t="shared" si="1"/>
        <v>9</v>
      </c>
      <c r="D34" s="24">
        <f>'Monthly Data'!S34</f>
        <v>7578589.9761335328</v>
      </c>
      <c r="E34" s="278">
        <f>'Monthly Data'!BE34</f>
        <v>73.237499999999983</v>
      </c>
      <c r="F34" s="278">
        <f>'Monthly Data'!CG34</f>
        <v>0</v>
      </c>
      <c r="G34" s="278">
        <f>'Monthly Data'!AQ34</f>
        <v>208.1</v>
      </c>
      <c r="H34" s="278">
        <f>'Monthly Data'!CD34</f>
        <v>30</v>
      </c>
      <c r="J34" s="18">
        <f>'GS 1k-4,999 Predicted Monthly'!$T$10</f>
        <v>1142088.9328922699</v>
      </c>
      <c r="K34" s="18">
        <f>E34*'GS 1k-4,999 Predicted Monthly'!$T$11</f>
        <v>655089.48815444217</v>
      </c>
      <c r="L34" s="18">
        <f>F34*'GS 1k-4,999 Predicted Monthly'!$T$12</f>
        <v>0</v>
      </c>
      <c r="M34" s="18">
        <f>G34*'GS 1k-4,999 Predicted Monthly'!$T$13</f>
        <v>2510933.965339242</v>
      </c>
      <c r="N34" s="18">
        <f>H34*'GS 1k-4,999 Predicted Monthly'!$T$14</f>
        <v>3407455.1510788198</v>
      </c>
      <c r="O34" s="18">
        <f t="shared" si="4"/>
        <v>7715567.5374647733</v>
      </c>
      <c r="P34" s="18">
        <f t="shared" ref="P34:P65" si="5">O34-D34</f>
        <v>136977.56133124046</v>
      </c>
      <c r="Q34" s="279">
        <f t="shared" ref="Q34:Q65" si="6">ABS(P34/D34)</f>
        <v>1.8074280540655938E-2</v>
      </c>
    </row>
    <row r="35" spans="1:17" x14ac:dyDescent="0.25">
      <c r="A35" s="3">
        <f>'Monthly Data'!A35</f>
        <v>43009</v>
      </c>
      <c r="B35" s="1">
        <f t="shared" si="0"/>
        <v>2017</v>
      </c>
      <c r="C35" s="1">
        <f t="shared" si="1"/>
        <v>10</v>
      </c>
      <c r="D35" s="24">
        <f>'Monthly Data'!S35</f>
        <v>7201241.0247569699</v>
      </c>
      <c r="E35" s="278">
        <f>'Monthly Data'!BE35</f>
        <v>10.279166666666672</v>
      </c>
      <c r="F35" s="278">
        <f>'Monthly Data'!CG35</f>
        <v>0</v>
      </c>
      <c r="G35" s="278">
        <f>'Monthly Data'!AQ35</f>
        <v>209.9</v>
      </c>
      <c r="H35" s="278">
        <f>'Monthly Data'!CD35</f>
        <v>31</v>
      </c>
      <c r="J35" s="18">
        <f>'GS 1k-4,999 Predicted Monthly'!$T$10</f>
        <v>1142088.9328922699</v>
      </c>
      <c r="K35" s="18">
        <f>E35*'GS 1k-4,999 Predicted Monthly'!$T$11</f>
        <v>91944.345865449752</v>
      </c>
      <c r="L35" s="18">
        <f>F35*'GS 1k-4,999 Predicted Monthly'!$T$12</f>
        <v>0</v>
      </c>
      <c r="M35" s="18">
        <f>G35*'GS 1k-4,999 Predicted Monthly'!$T$13</f>
        <v>2532652.7598496247</v>
      </c>
      <c r="N35" s="18">
        <f>H35*'GS 1k-4,999 Predicted Monthly'!$T$14</f>
        <v>3521036.9894481138</v>
      </c>
      <c r="O35" s="18">
        <f t="shared" si="4"/>
        <v>7287723.0280554583</v>
      </c>
      <c r="P35" s="18">
        <f t="shared" si="5"/>
        <v>86482.003298488446</v>
      </c>
      <c r="Q35" s="279">
        <f t="shared" si="6"/>
        <v>1.2009319366088997E-2</v>
      </c>
    </row>
    <row r="36" spans="1:17" x14ac:dyDescent="0.25">
      <c r="A36" s="3">
        <f>'Monthly Data'!A36</f>
        <v>43040</v>
      </c>
      <c r="B36" s="1">
        <f t="shared" si="0"/>
        <v>2017</v>
      </c>
      <c r="C36" s="1">
        <f t="shared" si="1"/>
        <v>11</v>
      </c>
      <c r="D36" s="24">
        <f>'Monthly Data'!S36</f>
        <v>7272686.6406943528</v>
      </c>
      <c r="E36" s="278">
        <f>'Monthly Data'!BE36</f>
        <v>0</v>
      </c>
      <c r="F36" s="278">
        <f>'Monthly Data'!CG36</f>
        <v>0</v>
      </c>
      <c r="G36" s="278">
        <f>'Monthly Data'!AQ36</f>
        <v>209</v>
      </c>
      <c r="H36" s="278">
        <f>'Monthly Data'!CD36</f>
        <v>30</v>
      </c>
      <c r="J36" s="18">
        <f>'GS 1k-4,999 Predicted Monthly'!$T$10</f>
        <v>1142088.9328922699</v>
      </c>
      <c r="K36" s="18">
        <f>E36*'GS 1k-4,999 Predicted Monthly'!$T$11</f>
        <v>0</v>
      </c>
      <c r="L36" s="18">
        <f>F36*'GS 1k-4,999 Predicted Monthly'!$T$12</f>
        <v>0</v>
      </c>
      <c r="M36" s="18">
        <f>G36*'GS 1k-4,999 Predicted Monthly'!$T$13</f>
        <v>2521793.3625944336</v>
      </c>
      <c r="N36" s="18">
        <f>H36*'GS 1k-4,999 Predicted Monthly'!$T$14</f>
        <v>3407455.1510788198</v>
      </c>
      <c r="O36" s="18">
        <f t="shared" si="4"/>
        <v>7071337.4465655237</v>
      </c>
      <c r="P36" s="18">
        <f t="shared" si="5"/>
        <v>-201349.19412882905</v>
      </c>
      <c r="Q36" s="279">
        <f t="shared" si="6"/>
        <v>2.7685668869902723E-2</v>
      </c>
    </row>
    <row r="37" spans="1:17" x14ac:dyDescent="0.25">
      <c r="A37" s="3">
        <f>'Monthly Data'!A37</f>
        <v>43070</v>
      </c>
      <c r="B37" s="1">
        <f t="shared" si="0"/>
        <v>2017</v>
      </c>
      <c r="C37" s="1">
        <f t="shared" si="1"/>
        <v>12</v>
      </c>
      <c r="D37" s="24">
        <f>'Monthly Data'!S37</f>
        <v>6901002.2880553724</v>
      </c>
      <c r="E37" s="278">
        <f>'Monthly Data'!BE37</f>
        <v>0</v>
      </c>
      <c r="F37" s="278">
        <f>'Monthly Data'!CG37</f>
        <v>0</v>
      </c>
      <c r="G37" s="278">
        <f>'Monthly Data'!AQ37</f>
        <v>208</v>
      </c>
      <c r="H37" s="278">
        <f>'Monthly Data'!CD37</f>
        <v>31</v>
      </c>
      <c r="J37" s="18">
        <f>'GS 1k-4,999 Predicted Monthly'!$T$10</f>
        <v>1142088.9328922699</v>
      </c>
      <c r="K37" s="18">
        <f>E37*'GS 1k-4,999 Predicted Monthly'!$T$11</f>
        <v>0</v>
      </c>
      <c r="L37" s="18">
        <f>F37*'GS 1k-4,999 Predicted Monthly'!$T$12</f>
        <v>0</v>
      </c>
      <c r="M37" s="18">
        <f>G37*'GS 1k-4,999 Predicted Monthly'!$T$13</f>
        <v>2509727.3656442207</v>
      </c>
      <c r="N37" s="18">
        <f>H37*'GS 1k-4,999 Predicted Monthly'!$T$14</f>
        <v>3521036.9894481138</v>
      </c>
      <c r="O37" s="18">
        <f t="shared" si="4"/>
        <v>7172853.287984604</v>
      </c>
      <c r="P37" s="18">
        <f t="shared" si="5"/>
        <v>271850.99992923159</v>
      </c>
      <c r="Q37" s="279">
        <f t="shared" si="6"/>
        <v>3.9392973452532537E-2</v>
      </c>
    </row>
    <row r="38" spans="1:17" x14ac:dyDescent="0.25">
      <c r="A38" s="3">
        <f>'Monthly Data'!A38</f>
        <v>43101</v>
      </c>
      <c r="B38" s="1">
        <f t="shared" si="0"/>
        <v>2018</v>
      </c>
      <c r="C38" s="1">
        <f t="shared" si="1"/>
        <v>1</v>
      </c>
      <c r="D38" s="24">
        <f>'Monthly Data'!S38</f>
        <v>7124030.899678275</v>
      </c>
      <c r="E38" s="278">
        <f>'Monthly Data'!BE38</f>
        <v>0</v>
      </c>
      <c r="F38" s="278">
        <f>'Monthly Data'!CG38</f>
        <v>0</v>
      </c>
      <c r="G38" s="278">
        <f>'Monthly Data'!AQ38</f>
        <v>206.9</v>
      </c>
      <c r="H38" s="278">
        <f>'Monthly Data'!CD38</f>
        <v>31</v>
      </c>
      <c r="J38" s="18">
        <f>'GS 1k-4,999 Predicted Monthly'!$T$10</f>
        <v>1142088.9328922699</v>
      </c>
      <c r="K38" s="18">
        <f>E38*'GS 1k-4,999 Predicted Monthly'!$T$11</f>
        <v>0</v>
      </c>
      <c r="L38" s="18">
        <f>F38*'GS 1k-4,999 Predicted Monthly'!$T$12</f>
        <v>0</v>
      </c>
      <c r="M38" s="18">
        <f>G38*'GS 1k-4,999 Predicted Monthly'!$T$13</f>
        <v>2496454.768998987</v>
      </c>
      <c r="N38" s="18">
        <f>H38*'GS 1k-4,999 Predicted Monthly'!$T$14</f>
        <v>3521036.9894481138</v>
      </c>
      <c r="O38" s="18">
        <f t="shared" si="4"/>
        <v>7159580.6913393708</v>
      </c>
      <c r="P38" s="18">
        <f t="shared" si="5"/>
        <v>35549.791661095805</v>
      </c>
      <c r="Q38" s="279">
        <f t="shared" si="6"/>
        <v>4.9901231706759239E-3</v>
      </c>
    </row>
    <row r="39" spans="1:17" x14ac:dyDescent="0.25">
      <c r="A39" s="3">
        <f>'Monthly Data'!A39</f>
        <v>43132</v>
      </c>
      <c r="B39" s="1">
        <f t="shared" si="0"/>
        <v>2018</v>
      </c>
      <c r="C39" s="1">
        <f t="shared" si="1"/>
        <v>2</v>
      </c>
      <c r="D39" s="24">
        <f>'Monthly Data'!S39</f>
        <v>6399514.7034799419</v>
      </c>
      <c r="E39" s="278">
        <f>'Monthly Data'!BE39</f>
        <v>0</v>
      </c>
      <c r="F39" s="278">
        <f>'Monthly Data'!CG39</f>
        <v>0</v>
      </c>
      <c r="G39" s="278">
        <f>'Monthly Data'!AQ39</f>
        <v>207.4</v>
      </c>
      <c r="H39" s="278">
        <f>'Monthly Data'!CD39</f>
        <v>28</v>
      </c>
      <c r="J39" s="18">
        <f>'GS 1k-4,999 Predicted Monthly'!$T$10</f>
        <v>1142088.9328922699</v>
      </c>
      <c r="K39" s="18">
        <f>E39*'GS 1k-4,999 Predicted Monthly'!$T$11</f>
        <v>0</v>
      </c>
      <c r="L39" s="18">
        <f>F39*'GS 1k-4,999 Predicted Monthly'!$T$12</f>
        <v>0</v>
      </c>
      <c r="M39" s="18">
        <f>G39*'GS 1k-4,999 Predicted Monthly'!$T$13</f>
        <v>2502487.7674740935</v>
      </c>
      <c r="N39" s="18">
        <f>H39*'GS 1k-4,999 Predicted Monthly'!$T$14</f>
        <v>3180291.4743402321</v>
      </c>
      <c r="O39" s="18">
        <f t="shared" si="4"/>
        <v>6824868.174706595</v>
      </c>
      <c r="P39" s="18">
        <f t="shared" si="5"/>
        <v>425353.47122665308</v>
      </c>
      <c r="Q39" s="279">
        <f t="shared" si="6"/>
        <v>6.6466519874601337E-2</v>
      </c>
    </row>
    <row r="40" spans="1:17" x14ac:dyDescent="0.25">
      <c r="A40" s="3">
        <f>'Monthly Data'!A40</f>
        <v>43160</v>
      </c>
      <c r="B40" s="1">
        <f t="shared" si="0"/>
        <v>2018</v>
      </c>
      <c r="C40" s="1">
        <f t="shared" si="1"/>
        <v>3</v>
      </c>
      <c r="D40" s="24">
        <f>'Monthly Data'!S40</f>
        <v>6880257.4649304906</v>
      </c>
      <c r="E40" s="278">
        <f>'Monthly Data'!BE40</f>
        <v>0</v>
      </c>
      <c r="F40" s="278">
        <f>'Monthly Data'!CG40</f>
        <v>0</v>
      </c>
      <c r="G40" s="278">
        <f>'Monthly Data'!AQ40</f>
        <v>210.4</v>
      </c>
      <c r="H40" s="278">
        <f>'Monthly Data'!CD40</f>
        <v>31</v>
      </c>
      <c r="J40" s="18">
        <f>'GS 1k-4,999 Predicted Monthly'!$T$10</f>
        <v>1142088.9328922699</v>
      </c>
      <c r="K40" s="18">
        <f>E40*'GS 1k-4,999 Predicted Monthly'!$T$11</f>
        <v>0</v>
      </c>
      <c r="L40" s="18">
        <f>F40*'GS 1k-4,999 Predicted Monthly'!$T$12</f>
        <v>0</v>
      </c>
      <c r="M40" s="18">
        <f>G40*'GS 1k-4,999 Predicted Monthly'!$T$13</f>
        <v>2538685.7583247311</v>
      </c>
      <c r="N40" s="18">
        <f>H40*'GS 1k-4,999 Predicted Monthly'!$T$14</f>
        <v>3521036.9894481138</v>
      </c>
      <c r="O40" s="18">
        <f t="shared" si="4"/>
        <v>7201811.6806651149</v>
      </c>
      <c r="P40" s="18">
        <f t="shared" si="5"/>
        <v>321554.2157346243</v>
      </c>
      <c r="Q40" s="279">
        <f t="shared" si="6"/>
        <v>4.6735782399659496E-2</v>
      </c>
    </row>
    <row r="41" spans="1:17" x14ac:dyDescent="0.25">
      <c r="A41" s="3">
        <f>'Monthly Data'!A41</f>
        <v>43191</v>
      </c>
      <c r="B41" s="1">
        <f t="shared" si="0"/>
        <v>2018</v>
      </c>
      <c r="C41" s="1">
        <f t="shared" si="1"/>
        <v>4</v>
      </c>
      <c r="D41" s="24">
        <f>'Monthly Data'!S41</f>
        <v>7045665.0089409975</v>
      </c>
      <c r="E41" s="278">
        <f>'Monthly Data'!BE41</f>
        <v>0</v>
      </c>
      <c r="F41" s="278">
        <f>'Monthly Data'!CG41</f>
        <v>0</v>
      </c>
      <c r="G41" s="278">
        <f>'Monthly Data'!AQ41</f>
        <v>214.5</v>
      </c>
      <c r="H41" s="278">
        <f>'Monthly Data'!CD41</f>
        <v>30</v>
      </c>
      <c r="J41" s="18">
        <f>'GS 1k-4,999 Predicted Monthly'!$T$10</f>
        <v>1142088.9328922699</v>
      </c>
      <c r="K41" s="18">
        <f>E41*'GS 1k-4,999 Predicted Monthly'!$T$11</f>
        <v>0</v>
      </c>
      <c r="L41" s="18">
        <f>F41*'GS 1k-4,999 Predicted Monthly'!$T$12</f>
        <v>0</v>
      </c>
      <c r="M41" s="18">
        <f>G41*'GS 1k-4,999 Predicted Monthly'!$T$13</f>
        <v>2588156.345820603</v>
      </c>
      <c r="N41" s="18">
        <f>H41*'GS 1k-4,999 Predicted Monthly'!$T$14</f>
        <v>3407455.1510788198</v>
      </c>
      <c r="O41" s="18">
        <f t="shared" si="4"/>
        <v>7137700.4297916926</v>
      </c>
      <c r="P41" s="18">
        <f t="shared" si="5"/>
        <v>92035.420850695111</v>
      </c>
      <c r="Q41" s="279">
        <f t="shared" si="6"/>
        <v>1.3062701779590929E-2</v>
      </c>
    </row>
    <row r="42" spans="1:17" x14ac:dyDescent="0.25">
      <c r="A42" s="3">
        <f>'Monthly Data'!A42</f>
        <v>43221</v>
      </c>
      <c r="B42" s="1">
        <f t="shared" si="0"/>
        <v>2018</v>
      </c>
      <c r="C42" s="1">
        <f t="shared" si="1"/>
        <v>5</v>
      </c>
      <c r="D42" s="24">
        <f>'Monthly Data'!S42</f>
        <v>7498547.6286311271</v>
      </c>
      <c r="E42" s="278">
        <f>'Monthly Data'!BE42</f>
        <v>50.000541125541133</v>
      </c>
      <c r="F42" s="278">
        <f>'Monthly Data'!CG42</f>
        <v>0</v>
      </c>
      <c r="G42" s="278">
        <f>'Monthly Data'!AQ42</f>
        <v>218.3</v>
      </c>
      <c r="H42" s="278">
        <f>'Monthly Data'!CD42</f>
        <v>31</v>
      </c>
      <c r="J42" s="18">
        <f>'GS 1k-4,999 Predicted Monthly'!$T$10</f>
        <v>1142088.9328922699</v>
      </c>
      <c r="K42" s="18">
        <f>E42*'GS 1k-4,999 Predicted Monthly'!$T$11</f>
        <v>447241.22059567692</v>
      </c>
      <c r="L42" s="18">
        <f>F42*'GS 1k-4,999 Predicted Monthly'!$T$12</f>
        <v>0</v>
      </c>
      <c r="M42" s="18">
        <f>G42*'GS 1k-4,999 Predicted Monthly'!$T$13</f>
        <v>2634007.1342314109</v>
      </c>
      <c r="N42" s="18">
        <f>H42*'GS 1k-4,999 Predicted Monthly'!$T$14</f>
        <v>3521036.9894481138</v>
      </c>
      <c r="O42" s="18">
        <f t="shared" si="4"/>
        <v>7744374.2771674711</v>
      </c>
      <c r="P42" s="18">
        <f t="shared" si="5"/>
        <v>245826.64853634406</v>
      </c>
      <c r="Q42" s="279">
        <f t="shared" si="6"/>
        <v>3.2783234929084547E-2</v>
      </c>
    </row>
    <row r="43" spans="1:17" x14ac:dyDescent="0.25">
      <c r="A43" s="3">
        <f>'Monthly Data'!A43</f>
        <v>43252</v>
      </c>
      <c r="B43" s="1">
        <f t="shared" si="0"/>
        <v>2018</v>
      </c>
      <c r="C43" s="1">
        <f t="shared" si="1"/>
        <v>6</v>
      </c>
      <c r="D43" s="24">
        <f>'Monthly Data'!S43</f>
        <v>7218892.5771825379</v>
      </c>
      <c r="E43" s="278">
        <f>'Monthly Data'!BE43</f>
        <v>85.839772727272717</v>
      </c>
      <c r="F43" s="278">
        <f>'Monthly Data'!CG43</f>
        <v>0</v>
      </c>
      <c r="G43" s="278">
        <f>'Monthly Data'!AQ43</f>
        <v>220.4</v>
      </c>
      <c r="H43" s="278">
        <f>'Monthly Data'!CD43</f>
        <v>30</v>
      </c>
      <c r="J43" s="18">
        <f>'GS 1k-4,999 Predicted Monthly'!$T$10</f>
        <v>1142088.9328922699</v>
      </c>
      <c r="K43" s="18">
        <f>E43*'GS 1k-4,999 Predicted Monthly'!$T$11</f>
        <v>767813.38493535074</v>
      </c>
      <c r="L43" s="18">
        <f>F43*'GS 1k-4,999 Predicted Monthly'!$T$12</f>
        <v>0</v>
      </c>
      <c r="M43" s="18">
        <f>G43*'GS 1k-4,999 Predicted Monthly'!$T$13</f>
        <v>2659345.727826857</v>
      </c>
      <c r="N43" s="18">
        <f>H43*'GS 1k-4,999 Predicted Monthly'!$T$14</f>
        <v>3407455.1510788198</v>
      </c>
      <c r="O43" s="18">
        <f t="shared" si="4"/>
        <v>7976703.1967332978</v>
      </c>
      <c r="P43" s="18">
        <f t="shared" si="5"/>
        <v>757810.6195507599</v>
      </c>
      <c r="Q43" s="279">
        <f t="shared" si="6"/>
        <v>0.10497602110690028</v>
      </c>
    </row>
    <row r="44" spans="1:17" x14ac:dyDescent="0.25">
      <c r="A44" s="3">
        <f>'Monthly Data'!A44</f>
        <v>43282</v>
      </c>
      <c r="B44" s="1">
        <f t="shared" si="0"/>
        <v>2018</v>
      </c>
      <c r="C44" s="1">
        <f t="shared" si="1"/>
        <v>7</v>
      </c>
      <c r="D44" s="24">
        <f>'Monthly Data'!S44</f>
        <v>7674844.1264595538</v>
      </c>
      <c r="E44" s="278">
        <f>'Monthly Data'!BE44</f>
        <v>194.39861424807077</v>
      </c>
      <c r="F44" s="278">
        <f>'Monthly Data'!CG44</f>
        <v>0</v>
      </c>
      <c r="G44" s="278">
        <f>'Monthly Data'!AQ44</f>
        <v>219.9</v>
      </c>
      <c r="H44" s="278">
        <f>'Monthly Data'!CD44</f>
        <v>31</v>
      </c>
      <c r="J44" s="18">
        <f>'GS 1k-4,999 Predicted Monthly'!$T$10</f>
        <v>1142088.9328922699</v>
      </c>
      <c r="K44" s="18">
        <f>E44*'GS 1k-4,999 Predicted Monthly'!$T$11</f>
        <v>1738842.6517248892</v>
      </c>
      <c r="L44" s="18">
        <f>F44*'GS 1k-4,999 Predicted Monthly'!$T$12</f>
        <v>0</v>
      </c>
      <c r="M44" s="18">
        <f>G44*'GS 1k-4,999 Predicted Monthly'!$T$13</f>
        <v>2653312.729351751</v>
      </c>
      <c r="N44" s="18">
        <f>H44*'GS 1k-4,999 Predicted Monthly'!$T$14</f>
        <v>3521036.9894481138</v>
      </c>
      <c r="O44" s="18">
        <f t="shared" si="4"/>
        <v>9055281.3034170233</v>
      </c>
      <c r="P44" s="18">
        <f t="shared" si="5"/>
        <v>1380437.1769574694</v>
      </c>
      <c r="Q44" s="279">
        <f t="shared" si="6"/>
        <v>0.17986517435556992</v>
      </c>
    </row>
    <row r="45" spans="1:17" x14ac:dyDescent="0.25">
      <c r="A45" s="3">
        <f>'Monthly Data'!A45</f>
        <v>43313</v>
      </c>
      <c r="B45" s="1">
        <f t="shared" si="0"/>
        <v>2018</v>
      </c>
      <c r="C45" s="1">
        <f t="shared" si="1"/>
        <v>8</v>
      </c>
      <c r="D45" s="24">
        <f>'Monthly Data'!S45</f>
        <v>8559341.27840144</v>
      </c>
      <c r="E45" s="278">
        <f>'Monthly Data'!BE45</f>
        <v>190.24583333333339</v>
      </c>
      <c r="F45" s="278">
        <f>'Monthly Data'!CG45</f>
        <v>0</v>
      </c>
      <c r="G45" s="278">
        <f>'Monthly Data'!AQ45</f>
        <v>218.3</v>
      </c>
      <c r="H45" s="278">
        <f>'Monthly Data'!CD45</f>
        <v>31</v>
      </c>
      <c r="J45" s="18">
        <f>'GS 1k-4,999 Predicted Monthly'!$T$10</f>
        <v>1142088.9328922699</v>
      </c>
      <c r="K45" s="18">
        <f>E45*'GS 1k-4,999 Predicted Monthly'!$T$11</f>
        <v>1701697.1576289295</v>
      </c>
      <c r="L45" s="18">
        <f>F45*'GS 1k-4,999 Predicted Monthly'!$T$12</f>
        <v>0</v>
      </c>
      <c r="M45" s="18">
        <f>G45*'GS 1k-4,999 Predicted Monthly'!$T$13</f>
        <v>2634007.1342314109</v>
      </c>
      <c r="N45" s="18">
        <f>H45*'GS 1k-4,999 Predicted Monthly'!$T$14</f>
        <v>3521036.9894481138</v>
      </c>
      <c r="O45" s="18">
        <f t="shared" si="4"/>
        <v>8998830.2142007239</v>
      </c>
      <c r="P45" s="18">
        <f t="shared" si="5"/>
        <v>439488.93579928391</v>
      </c>
      <c r="Q45" s="279">
        <f t="shared" si="6"/>
        <v>5.1346116658332816E-2</v>
      </c>
    </row>
    <row r="46" spans="1:17" x14ac:dyDescent="0.25">
      <c r="A46" s="3">
        <f>'Monthly Data'!A46</f>
        <v>43344</v>
      </c>
      <c r="B46" s="1">
        <f t="shared" si="0"/>
        <v>2018</v>
      </c>
      <c r="C46" s="1">
        <f t="shared" si="1"/>
        <v>9</v>
      </c>
      <c r="D46" s="24">
        <f>'Monthly Data'!S46</f>
        <v>7863635.481699842</v>
      </c>
      <c r="E46" s="278">
        <f>'Monthly Data'!BE46</f>
        <v>94.645833333333329</v>
      </c>
      <c r="F46" s="278">
        <f>'Monthly Data'!CG46</f>
        <v>0</v>
      </c>
      <c r="G46" s="278">
        <f>'Monthly Data'!AQ46</f>
        <v>216.6</v>
      </c>
      <c r="H46" s="278">
        <f>'Monthly Data'!CD46</f>
        <v>30</v>
      </c>
      <c r="J46" s="18">
        <f>'GS 1k-4,999 Predicted Monthly'!$T$10</f>
        <v>1142088.9328922699</v>
      </c>
      <c r="K46" s="18">
        <f>E46*'GS 1k-4,999 Predicted Monthly'!$T$11</f>
        <v>846581.1983517186</v>
      </c>
      <c r="L46" s="18">
        <f>F46*'GS 1k-4,999 Predicted Monthly'!$T$12</f>
        <v>0</v>
      </c>
      <c r="M46" s="18">
        <f>G46*'GS 1k-4,999 Predicted Monthly'!$T$13</f>
        <v>2613494.939416049</v>
      </c>
      <c r="N46" s="18">
        <f>H46*'GS 1k-4,999 Predicted Monthly'!$T$14</f>
        <v>3407455.1510788198</v>
      </c>
      <c r="O46" s="18">
        <f t="shared" si="4"/>
        <v>8009620.2217388581</v>
      </c>
      <c r="P46" s="18">
        <f t="shared" si="5"/>
        <v>145984.74003901612</v>
      </c>
      <c r="Q46" s="279">
        <f t="shared" si="6"/>
        <v>1.8564535497448992E-2</v>
      </c>
    </row>
    <row r="47" spans="1:17" x14ac:dyDescent="0.25">
      <c r="A47" s="3">
        <f>'Monthly Data'!A47</f>
        <v>43374</v>
      </c>
      <c r="B47" s="1">
        <f t="shared" si="0"/>
        <v>2018</v>
      </c>
      <c r="C47" s="1">
        <f t="shared" si="1"/>
        <v>10</v>
      </c>
      <c r="D47" s="24">
        <f>'Monthly Data'!S47</f>
        <v>7239505.6133747967</v>
      </c>
      <c r="E47" s="278">
        <f>'Monthly Data'!BE47</f>
        <v>8.0958333333333314</v>
      </c>
      <c r="F47" s="278">
        <f>'Monthly Data'!CG47</f>
        <v>0</v>
      </c>
      <c r="G47" s="278">
        <f>'Monthly Data'!AQ47</f>
        <v>215.2</v>
      </c>
      <c r="H47" s="278">
        <f>'Monthly Data'!CD47</f>
        <v>31</v>
      </c>
      <c r="J47" s="18">
        <f>'GS 1k-4,999 Predicted Monthly'!$T$10</f>
        <v>1142088.9328922699</v>
      </c>
      <c r="K47" s="18">
        <f>E47*'GS 1k-4,999 Predicted Monthly'!$T$11</f>
        <v>72415.023922403212</v>
      </c>
      <c r="L47" s="18">
        <f>F47*'GS 1k-4,999 Predicted Monthly'!$T$12</f>
        <v>0</v>
      </c>
      <c r="M47" s="18">
        <f>G47*'GS 1k-4,999 Predicted Monthly'!$T$13</f>
        <v>2596602.5436857515</v>
      </c>
      <c r="N47" s="18">
        <f>H47*'GS 1k-4,999 Predicted Monthly'!$T$14</f>
        <v>3521036.9894481138</v>
      </c>
      <c r="O47" s="18">
        <f t="shared" si="4"/>
        <v>7332143.4899485391</v>
      </c>
      <c r="P47" s="18">
        <f t="shared" si="5"/>
        <v>92637.876573742367</v>
      </c>
      <c r="Q47" s="279">
        <f t="shared" si="6"/>
        <v>1.2796160611105311E-2</v>
      </c>
    </row>
    <row r="48" spans="1:17" x14ac:dyDescent="0.25">
      <c r="A48" s="3">
        <f>'Monthly Data'!A48</f>
        <v>43405</v>
      </c>
      <c r="B48" s="1">
        <f t="shared" si="0"/>
        <v>2018</v>
      </c>
      <c r="C48" s="1">
        <f t="shared" si="1"/>
        <v>11</v>
      </c>
      <c r="D48" s="24">
        <f>'Monthly Data'!S48</f>
        <v>6895809.8727658689</v>
      </c>
      <c r="E48" s="278">
        <f>'Monthly Data'!BE48</f>
        <v>0</v>
      </c>
      <c r="F48" s="278">
        <f>'Monthly Data'!CG48</f>
        <v>0</v>
      </c>
      <c r="G48" s="278">
        <f>'Monthly Data'!AQ48</f>
        <v>215.3</v>
      </c>
      <c r="H48" s="278">
        <f>'Monthly Data'!CD48</f>
        <v>30</v>
      </c>
      <c r="J48" s="18">
        <f>'GS 1k-4,999 Predicted Monthly'!$T$10</f>
        <v>1142088.9328922699</v>
      </c>
      <c r="K48" s="18">
        <f>E48*'GS 1k-4,999 Predicted Monthly'!$T$11</f>
        <v>0</v>
      </c>
      <c r="L48" s="18">
        <f>F48*'GS 1k-4,999 Predicted Monthly'!$T$12</f>
        <v>0</v>
      </c>
      <c r="M48" s="18">
        <f>G48*'GS 1k-4,999 Predicted Monthly'!$T$13</f>
        <v>2597809.1433807733</v>
      </c>
      <c r="N48" s="18">
        <f>H48*'GS 1k-4,999 Predicted Monthly'!$T$14</f>
        <v>3407455.1510788198</v>
      </c>
      <c r="O48" s="18">
        <f t="shared" si="4"/>
        <v>7147353.2273518629</v>
      </c>
      <c r="P48" s="18">
        <f t="shared" si="5"/>
        <v>251543.35458599404</v>
      </c>
      <c r="Q48" s="279">
        <f t="shared" si="6"/>
        <v>3.6477710265683624E-2</v>
      </c>
    </row>
    <row r="49" spans="1:19" x14ac:dyDescent="0.25">
      <c r="A49" s="3">
        <f>'Monthly Data'!A49</f>
        <v>43435</v>
      </c>
      <c r="B49" s="1">
        <f t="shared" si="0"/>
        <v>2018</v>
      </c>
      <c r="C49" s="1">
        <f t="shared" si="1"/>
        <v>12</v>
      </c>
      <c r="D49" s="24">
        <f>'Monthly Data'!S49</f>
        <v>6632585.3377094418</v>
      </c>
      <c r="E49" s="278">
        <f>'Monthly Data'!BE49</f>
        <v>0</v>
      </c>
      <c r="F49" s="278">
        <f>'Monthly Data'!CG49</f>
        <v>0</v>
      </c>
      <c r="G49" s="278">
        <f>'Monthly Data'!AQ49</f>
        <v>214.3</v>
      </c>
      <c r="H49" s="278">
        <f>'Monthly Data'!CD49</f>
        <v>31</v>
      </c>
      <c r="J49" s="18">
        <f>'GS 1k-4,999 Predicted Monthly'!$T$10</f>
        <v>1142088.9328922699</v>
      </c>
      <c r="K49" s="18">
        <f>E49*'GS 1k-4,999 Predicted Monthly'!$T$11</f>
        <v>0</v>
      </c>
      <c r="L49" s="18">
        <f>F49*'GS 1k-4,999 Predicted Monthly'!$T$12</f>
        <v>0</v>
      </c>
      <c r="M49" s="18">
        <f>G49*'GS 1k-4,999 Predicted Monthly'!$T$13</f>
        <v>2585743.1464305604</v>
      </c>
      <c r="N49" s="18">
        <f>H49*'GS 1k-4,999 Predicted Monthly'!$T$14</f>
        <v>3521036.9894481138</v>
      </c>
      <c r="O49" s="18">
        <f t="shared" si="4"/>
        <v>7248869.0687709441</v>
      </c>
      <c r="P49" s="18">
        <f t="shared" si="5"/>
        <v>616283.73106150236</v>
      </c>
      <c r="Q49" s="279">
        <f t="shared" si="6"/>
        <v>9.2917572813972338E-2</v>
      </c>
    </row>
    <row r="50" spans="1:19" x14ac:dyDescent="0.25">
      <c r="A50" s="3">
        <f>'Monthly Data'!A50</f>
        <v>43466</v>
      </c>
      <c r="B50" s="1">
        <f t="shared" si="0"/>
        <v>2019</v>
      </c>
      <c r="C50" s="1">
        <f t="shared" si="1"/>
        <v>1</v>
      </c>
      <c r="D50" s="24">
        <f>'Monthly Data'!S50</f>
        <v>7362866.2549784202</v>
      </c>
      <c r="E50" s="278">
        <f>'Monthly Data'!BE50</f>
        <v>0</v>
      </c>
      <c r="F50" s="278">
        <f>'Monthly Data'!CG50</f>
        <v>0</v>
      </c>
      <c r="G50" s="278">
        <f>'Monthly Data'!AQ50</f>
        <v>217.1</v>
      </c>
      <c r="H50" s="278">
        <f>'Monthly Data'!CD50</f>
        <v>31</v>
      </c>
      <c r="J50" s="18">
        <f>'GS 1k-4,999 Predicted Monthly'!$T$10</f>
        <v>1142088.9328922699</v>
      </c>
      <c r="K50" s="18">
        <f>E50*'GS 1k-4,999 Predicted Monthly'!$T$11</f>
        <v>0</v>
      </c>
      <c r="L50" s="18">
        <f>F50*'GS 1k-4,999 Predicted Monthly'!$T$12</f>
        <v>0</v>
      </c>
      <c r="M50" s="18">
        <f>G50*'GS 1k-4,999 Predicted Monthly'!$T$13</f>
        <v>2619527.9378911555</v>
      </c>
      <c r="N50" s="18">
        <f>H50*'GS 1k-4,999 Predicted Monthly'!$T$14</f>
        <v>3521036.9894481138</v>
      </c>
      <c r="O50" s="18">
        <f t="shared" si="4"/>
        <v>7282653.8602315392</v>
      </c>
      <c r="P50" s="18">
        <f t="shared" si="5"/>
        <v>-80212.394746880978</v>
      </c>
      <c r="Q50" s="279">
        <f t="shared" si="6"/>
        <v>1.0894180604278282E-2</v>
      </c>
    </row>
    <row r="51" spans="1:19" x14ac:dyDescent="0.25">
      <c r="A51" s="3">
        <f>'Monthly Data'!A51</f>
        <v>43497</v>
      </c>
      <c r="B51" s="1">
        <f t="shared" si="0"/>
        <v>2019</v>
      </c>
      <c r="C51" s="1">
        <f t="shared" si="1"/>
        <v>2</v>
      </c>
      <c r="D51" s="24">
        <f>'Monthly Data'!S51</f>
        <v>6700295.0580196613</v>
      </c>
      <c r="E51" s="278">
        <f>'Monthly Data'!BE51</f>
        <v>0</v>
      </c>
      <c r="F51" s="278">
        <f>'Monthly Data'!CG51</f>
        <v>0</v>
      </c>
      <c r="G51" s="278">
        <f>'Monthly Data'!AQ51</f>
        <v>219.1</v>
      </c>
      <c r="H51" s="278">
        <f>'Monthly Data'!CD51</f>
        <v>28</v>
      </c>
      <c r="J51" s="18">
        <f>'GS 1k-4,999 Predicted Monthly'!$T$10</f>
        <v>1142088.9328922699</v>
      </c>
      <c r="K51" s="18">
        <f>E51*'GS 1k-4,999 Predicted Monthly'!$T$11</f>
        <v>0</v>
      </c>
      <c r="L51" s="18">
        <f>F51*'GS 1k-4,999 Predicted Monthly'!$T$12</f>
        <v>0</v>
      </c>
      <c r="M51" s="18">
        <f>G51*'GS 1k-4,999 Predicted Monthly'!$T$13</f>
        <v>2643659.9317915807</v>
      </c>
      <c r="N51" s="18">
        <f>H51*'GS 1k-4,999 Predicted Monthly'!$T$14</f>
        <v>3180291.4743402321</v>
      </c>
      <c r="O51" s="18">
        <f t="shared" si="4"/>
        <v>6966040.3390240828</v>
      </c>
      <c r="P51" s="18">
        <f t="shared" si="5"/>
        <v>265745.28100442141</v>
      </c>
      <c r="Q51" s="279">
        <f t="shared" si="6"/>
        <v>3.9661728133352545E-2</v>
      </c>
    </row>
    <row r="52" spans="1:19" x14ac:dyDescent="0.25">
      <c r="A52" s="3">
        <f>'Monthly Data'!A52</f>
        <v>43525</v>
      </c>
      <c r="B52" s="1">
        <f t="shared" si="0"/>
        <v>2019</v>
      </c>
      <c r="C52" s="1">
        <f t="shared" si="1"/>
        <v>3</v>
      </c>
      <c r="D52" s="24">
        <f>'Monthly Data'!S52</f>
        <v>7200226.2824770492</v>
      </c>
      <c r="E52" s="278">
        <f>'Monthly Data'!BE52</f>
        <v>0</v>
      </c>
      <c r="F52" s="278">
        <f>'Monthly Data'!CG52</f>
        <v>0</v>
      </c>
      <c r="G52" s="278">
        <f>'Monthly Data'!AQ52</f>
        <v>221.6</v>
      </c>
      <c r="H52" s="278">
        <f>'Monthly Data'!CD52</f>
        <v>31</v>
      </c>
      <c r="J52" s="18">
        <f>'GS 1k-4,999 Predicted Monthly'!$T$10</f>
        <v>1142088.9328922699</v>
      </c>
      <c r="K52" s="18">
        <f>E52*'GS 1k-4,999 Predicted Monthly'!$T$11</f>
        <v>0</v>
      </c>
      <c r="L52" s="18">
        <f>F52*'GS 1k-4,999 Predicted Monthly'!$T$12</f>
        <v>0</v>
      </c>
      <c r="M52" s="18">
        <f>G52*'GS 1k-4,999 Predicted Monthly'!$T$13</f>
        <v>2673824.924167112</v>
      </c>
      <c r="N52" s="18">
        <f>H52*'GS 1k-4,999 Predicted Monthly'!$T$14</f>
        <v>3521036.9894481138</v>
      </c>
      <c r="O52" s="18">
        <f t="shared" si="4"/>
        <v>7336950.8465074953</v>
      </c>
      <c r="P52" s="18">
        <f t="shared" si="5"/>
        <v>136724.56403044611</v>
      </c>
      <c r="Q52" s="279">
        <f t="shared" si="6"/>
        <v>1.8988925995727126E-2</v>
      </c>
    </row>
    <row r="53" spans="1:19" x14ac:dyDescent="0.25">
      <c r="A53" s="3">
        <f>'Monthly Data'!A53</f>
        <v>43556</v>
      </c>
      <c r="B53" s="1">
        <f t="shared" si="0"/>
        <v>2019</v>
      </c>
      <c r="C53" s="1">
        <f t="shared" si="1"/>
        <v>4</v>
      </c>
      <c r="D53" s="24">
        <f>'Monthly Data'!S53</f>
        <v>6757129.4428079324</v>
      </c>
      <c r="E53" s="278">
        <f>'Monthly Data'!BE53</f>
        <v>0</v>
      </c>
      <c r="F53" s="278">
        <f>'Monthly Data'!CG53</f>
        <v>0</v>
      </c>
      <c r="G53" s="278">
        <f>'Monthly Data'!AQ53</f>
        <v>220.7</v>
      </c>
      <c r="H53" s="278">
        <f>'Monthly Data'!CD53</f>
        <v>30</v>
      </c>
      <c r="J53" s="18">
        <f>'GS 1k-4,999 Predicted Monthly'!$T$10</f>
        <v>1142088.9328922699</v>
      </c>
      <c r="K53" s="18">
        <f>E53*'GS 1k-4,999 Predicted Monthly'!$T$11</f>
        <v>0</v>
      </c>
      <c r="L53" s="18">
        <f>F53*'GS 1k-4,999 Predicted Monthly'!$T$12</f>
        <v>0</v>
      </c>
      <c r="M53" s="18">
        <f>G53*'GS 1k-4,999 Predicted Monthly'!$T$13</f>
        <v>2662965.5269119209</v>
      </c>
      <c r="N53" s="18">
        <f>H53*'GS 1k-4,999 Predicted Monthly'!$T$14</f>
        <v>3407455.1510788198</v>
      </c>
      <c r="O53" s="18">
        <f t="shared" si="4"/>
        <v>7212509.6108830106</v>
      </c>
      <c r="P53" s="18">
        <f t="shared" si="5"/>
        <v>455380.16807507817</v>
      </c>
      <c r="Q53" s="279">
        <f t="shared" si="6"/>
        <v>6.7392547668266134E-2</v>
      </c>
    </row>
    <row r="54" spans="1:19" x14ac:dyDescent="0.25">
      <c r="A54" s="3">
        <f>'Monthly Data'!A54</f>
        <v>43586</v>
      </c>
      <c r="B54" s="1">
        <f t="shared" si="0"/>
        <v>2019</v>
      </c>
      <c r="C54" s="1">
        <f t="shared" si="1"/>
        <v>5</v>
      </c>
      <c r="D54" s="24">
        <f>'Monthly Data'!S54</f>
        <v>7190309.3222989608</v>
      </c>
      <c r="E54" s="278">
        <f>'Monthly Data'!BE54</f>
        <v>2.4041666666666686</v>
      </c>
      <c r="F54" s="278">
        <f>'Monthly Data'!CG54</f>
        <v>0</v>
      </c>
      <c r="G54" s="278">
        <f>'Monthly Data'!AQ54</f>
        <v>219.3</v>
      </c>
      <c r="H54" s="278">
        <f>'Monthly Data'!CD54</f>
        <v>31</v>
      </c>
      <c r="J54" s="18">
        <f>'GS 1k-4,999 Predicted Monthly'!$T$10</f>
        <v>1142088.9328922699</v>
      </c>
      <c r="K54" s="18">
        <f>E54*'GS 1k-4,999 Predicted Monthly'!$T$11</f>
        <v>21504.615956369889</v>
      </c>
      <c r="L54" s="18">
        <f>F54*'GS 1k-4,999 Predicted Monthly'!$T$12</f>
        <v>0</v>
      </c>
      <c r="M54" s="18">
        <f>G54*'GS 1k-4,999 Predicted Monthly'!$T$13</f>
        <v>2646073.1311816233</v>
      </c>
      <c r="N54" s="18">
        <f>H54*'GS 1k-4,999 Predicted Monthly'!$T$14</f>
        <v>3521036.9894481138</v>
      </c>
      <c r="O54" s="18">
        <f t="shared" si="4"/>
        <v>7330703.6694783773</v>
      </c>
      <c r="P54" s="18">
        <f t="shared" si="5"/>
        <v>140394.34717941657</v>
      </c>
      <c r="Q54" s="279">
        <f t="shared" si="6"/>
        <v>1.9525494785602383E-2</v>
      </c>
    </row>
    <row r="55" spans="1:19" x14ac:dyDescent="0.25">
      <c r="A55" s="3">
        <f>'Monthly Data'!A55</f>
        <v>43617</v>
      </c>
      <c r="B55" s="1">
        <f t="shared" si="0"/>
        <v>2019</v>
      </c>
      <c r="C55" s="1">
        <f t="shared" si="1"/>
        <v>6</v>
      </c>
      <c r="D55" s="24">
        <f>'Monthly Data'!S55</f>
        <v>7204081.3004395068</v>
      </c>
      <c r="E55" s="278">
        <f>'Monthly Data'!BE55</f>
        <v>71.666666666666629</v>
      </c>
      <c r="F55" s="278">
        <f>'Monthly Data'!CG55</f>
        <v>0</v>
      </c>
      <c r="G55" s="278">
        <f>'Monthly Data'!AQ55</f>
        <v>218.5</v>
      </c>
      <c r="H55" s="278">
        <f>'Monthly Data'!CD55</f>
        <v>30</v>
      </c>
      <c r="J55" s="18">
        <f>'GS 1k-4,999 Predicted Monthly'!$T$10</f>
        <v>1142088.9328922699</v>
      </c>
      <c r="K55" s="18">
        <f>E55*'GS 1k-4,999 Predicted Monthly'!$T$11</f>
        <v>641038.81187099067</v>
      </c>
      <c r="L55" s="18">
        <f>F55*'GS 1k-4,999 Predicted Monthly'!$T$12</f>
        <v>0</v>
      </c>
      <c r="M55" s="18">
        <f>G55*'GS 1k-4,999 Predicted Monthly'!$T$13</f>
        <v>2636420.333621453</v>
      </c>
      <c r="N55" s="18">
        <f>H55*'GS 1k-4,999 Predicted Monthly'!$T$14</f>
        <v>3407455.1510788198</v>
      </c>
      <c r="O55" s="18">
        <f t="shared" si="4"/>
        <v>7827003.2294635344</v>
      </c>
      <c r="P55" s="18">
        <f t="shared" si="5"/>
        <v>622921.92902402766</v>
      </c>
      <c r="Q55" s="279">
        <f t="shared" si="6"/>
        <v>8.6467920480856372E-2</v>
      </c>
    </row>
    <row r="56" spans="1:19" x14ac:dyDescent="0.25">
      <c r="A56" s="3">
        <f>'Monthly Data'!A56</f>
        <v>43647</v>
      </c>
      <c r="B56" s="1">
        <f t="shared" si="0"/>
        <v>2019</v>
      </c>
      <c r="C56" s="1">
        <f t="shared" si="1"/>
        <v>7</v>
      </c>
      <c r="D56" s="24">
        <f>'Monthly Data'!S56</f>
        <v>8750214.2978592087</v>
      </c>
      <c r="E56" s="278">
        <f>'Monthly Data'!BE56</f>
        <v>197.60000000000005</v>
      </c>
      <c r="F56" s="278">
        <f>'Monthly Data'!CG56</f>
        <v>0</v>
      </c>
      <c r="G56" s="278">
        <f>'Monthly Data'!AQ56</f>
        <v>217</v>
      </c>
      <c r="H56" s="278">
        <f>'Monthly Data'!CD56</f>
        <v>31</v>
      </c>
      <c r="J56" s="18">
        <f>'GS 1k-4,999 Predicted Monthly'!$T$10</f>
        <v>1142088.9328922699</v>
      </c>
      <c r="K56" s="18">
        <f>E56*'GS 1k-4,999 Predicted Monthly'!$T$11</f>
        <v>1767478.1752424352</v>
      </c>
      <c r="L56" s="18">
        <f>F56*'GS 1k-4,999 Predicted Monthly'!$T$12</f>
        <v>0</v>
      </c>
      <c r="M56" s="18">
        <f>G56*'GS 1k-4,999 Predicted Monthly'!$T$13</f>
        <v>2618321.3381961342</v>
      </c>
      <c r="N56" s="18">
        <f>H56*'GS 1k-4,999 Predicted Monthly'!$T$14</f>
        <v>3521036.9894481138</v>
      </c>
      <c r="O56" s="18">
        <f t="shared" si="4"/>
        <v>9048925.4357789531</v>
      </c>
      <c r="P56" s="18">
        <f t="shared" si="5"/>
        <v>298711.13791974448</v>
      </c>
      <c r="Q56" s="279">
        <f t="shared" si="6"/>
        <v>3.4137579692514033E-2</v>
      </c>
    </row>
    <row r="57" spans="1:19" x14ac:dyDescent="0.25">
      <c r="A57" s="3">
        <f>'Monthly Data'!A57</f>
        <v>43678</v>
      </c>
      <c r="B57" s="1">
        <f t="shared" si="0"/>
        <v>2019</v>
      </c>
      <c r="C57" s="1">
        <f t="shared" si="1"/>
        <v>8</v>
      </c>
      <c r="D57" s="24">
        <f>'Monthly Data'!S57</f>
        <v>8314591.1828323836</v>
      </c>
      <c r="E57" s="278">
        <f>'Monthly Data'!BE57</f>
        <v>128.07083333333338</v>
      </c>
      <c r="F57" s="278">
        <f>'Monthly Data'!CG57</f>
        <v>0</v>
      </c>
      <c r="G57" s="278">
        <f>'Monthly Data'!AQ57</f>
        <v>214.2</v>
      </c>
      <c r="H57" s="278">
        <f>'Monthly Data'!CD57</f>
        <v>31</v>
      </c>
      <c r="J57" s="18">
        <f>'GS 1k-4,999 Predicted Monthly'!$T$10</f>
        <v>1142088.9328922699</v>
      </c>
      <c r="K57" s="18">
        <f>E57*'GS 1k-4,999 Predicted Monthly'!$T$11</f>
        <v>1145558.7186324801</v>
      </c>
      <c r="L57" s="18">
        <f>F57*'GS 1k-4,999 Predicted Monthly'!$T$12</f>
        <v>0</v>
      </c>
      <c r="M57" s="18">
        <f>G57*'GS 1k-4,999 Predicted Monthly'!$T$13</f>
        <v>2584536.5467355391</v>
      </c>
      <c r="N57" s="18">
        <f>H57*'GS 1k-4,999 Predicted Monthly'!$T$14</f>
        <v>3521036.9894481138</v>
      </c>
      <c r="O57" s="18">
        <f t="shared" si="4"/>
        <v>8393221.1877084021</v>
      </c>
      <c r="P57" s="18">
        <f t="shared" si="5"/>
        <v>78630.004876018502</v>
      </c>
      <c r="Q57" s="279">
        <f t="shared" si="6"/>
        <v>9.4568696339960064E-3</v>
      </c>
    </row>
    <row r="58" spans="1:19" x14ac:dyDescent="0.25">
      <c r="A58" s="3">
        <f>'Monthly Data'!A58</f>
        <v>43709</v>
      </c>
      <c r="B58" s="1">
        <f t="shared" si="0"/>
        <v>2019</v>
      </c>
      <c r="C58" s="1">
        <f t="shared" si="1"/>
        <v>9</v>
      </c>
      <c r="D58" s="24">
        <f>'Monthly Data'!S58</f>
        <v>7364154.3036004463</v>
      </c>
      <c r="E58" s="278">
        <f>'Monthly Data'!BE58</f>
        <v>32.520833333333329</v>
      </c>
      <c r="F58" s="278">
        <f>'Monthly Data'!CG58</f>
        <v>0</v>
      </c>
      <c r="G58" s="278">
        <f>'Monthly Data'!AQ58</f>
        <v>210</v>
      </c>
      <c r="H58" s="278">
        <f>'Monthly Data'!CD58</f>
        <v>30</v>
      </c>
      <c r="J58" s="18">
        <f>'GS 1k-4,999 Predicted Monthly'!$T$10</f>
        <v>1142088.9328922699</v>
      </c>
      <c r="K58" s="18">
        <f>E58*'GS 1k-4,999 Predicted Monthly'!$T$11</f>
        <v>290889.99573564442</v>
      </c>
      <c r="L58" s="18">
        <f>F58*'GS 1k-4,999 Predicted Monthly'!$T$12</f>
        <v>0</v>
      </c>
      <c r="M58" s="18">
        <f>G58*'GS 1k-4,999 Predicted Monthly'!$T$13</f>
        <v>2533859.359544646</v>
      </c>
      <c r="N58" s="18">
        <f>H58*'GS 1k-4,999 Predicted Monthly'!$T$14</f>
        <v>3407455.1510788198</v>
      </c>
      <c r="O58" s="18">
        <f t="shared" si="4"/>
        <v>7374293.43925138</v>
      </c>
      <c r="P58" s="18">
        <f t="shared" si="5"/>
        <v>10139.13565093372</v>
      </c>
      <c r="Q58" s="279">
        <f t="shared" si="6"/>
        <v>1.3768228139891831E-3</v>
      </c>
    </row>
    <row r="59" spans="1:19" x14ac:dyDescent="0.25">
      <c r="A59" s="3">
        <f>'Monthly Data'!A59</f>
        <v>43739</v>
      </c>
      <c r="B59" s="1">
        <f t="shared" si="0"/>
        <v>2019</v>
      </c>
      <c r="C59" s="1">
        <f t="shared" si="1"/>
        <v>10</v>
      </c>
      <c r="D59" s="24">
        <f>'Monthly Data'!S59</f>
        <v>6877310.3938974263</v>
      </c>
      <c r="E59" s="278">
        <f>'Monthly Data'!BE59</f>
        <v>3.8125000000000036</v>
      </c>
      <c r="F59" s="278">
        <f>'Monthly Data'!CG59</f>
        <v>0</v>
      </c>
      <c r="G59" s="278">
        <f>'Monthly Data'!AQ59</f>
        <v>207.5</v>
      </c>
      <c r="H59" s="278">
        <f>'Monthly Data'!CD59</f>
        <v>31</v>
      </c>
      <c r="J59" s="18">
        <f>'GS 1k-4,999 Predicted Monthly'!$T$10</f>
        <v>1142088.9328922699</v>
      </c>
      <c r="K59" s="18">
        <f>E59*'GS 1k-4,999 Predicted Monthly'!$T$11</f>
        <v>34101.774003602171</v>
      </c>
      <c r="L59" s="18">
        <f>F59*'GS 1k-4,999 Predicted Monthly'!$T$12</f>
        <v>0</v>
      </c>
      <c r="M59" s="18">
        <f>G59*'GS 1k-4,999 Predicted Monthly'!$T$13</f>
        <v>2503694.3671691148</v>
      </c>
      <c r="N59" s="18">
        <f>H59*'GS 1k-4,999 Predicted Monthly'!$T$14</f>
        <v>3521036.9894481138</v>
      </c>
      <c r="O59" s="18">
        <f t="shared" si="4"/>
        <v>7200922.0635131001</v>
      </c>
      <c r="P59" s="18">
        <f t="shared" si="5"/>
        <v>323611.66961567383</v>
      </c>
      <c r="Q59" s="279">
        <f t="shared" si="6"/>
        <v>4.7054975140111505E-2</v>
      </c>
    </row>
    <row r="60" spans="1:19" x14ac:dyDescent="0.25">
      <c r="A60" s="3">
        <f>'Monthly Data'!A60</f>
        <v>43770</v>
      </c>
      <c r="B60" s="1">
        <f t="shared" si="0"/>
        <v>2019</v>
      </c>
      <c r="C60" s="1">
        <f t="shared" si="1"/>
        <v>11</v>
      </c>
      <c r="D60" s="24">
        <f>'Monthly Data'!S60</f>
        <v>6504414.3737810226</v>
      </c>
      <c r="E60" s="278">
        <f>'Monthly Data'!BE60</f>
        <v>0</v>
      </c>
      <c r="F60" s="278">
        <f>'Monthly Data'!CG60</f>
        <v>0</v>
      </c>
      <c r="G60" s="278">
        <f>'Monthly Data'!AQ60</f>
        <v>206.3</v>
      </c>
      <c r="H60" s="278">
        <f>'Monthly Data'!CD60</f>
        <v>30</v>
      </c>
      <c r="J60" s="18">
        <f>'GS 1k-4,999 Predicted Monthly'!$T$10</f>
        <v>1142088.9328922699</v>
      </c>
      <c r="K60" s="18">
        <f>E60*'GS 1k-4,999 Predicted Monthly'!$T$11</f>
        <v>0</v>
      </c>
      <c r="L60" s="18">
        <f>F60*'GS 1k-4,999 Predicted Monthly'!$T$12</f>
        <v>0</v>
      </c>
      <c r="M60" s="18">
        <f>G60*'GS 1k-4,999 Predicted Monthly'!$T$13</f>
        <v>2489215.1708288598</v>
      </c>
      <c r="N60" s="18">
        <f>H60*'GS 1k-4,999 Predicted Monthly'!$T$14</f>
        <v>3407455.1510788198</v>
      </c>
      <c r="O60" s="18">
        <f t="shared" si="4"/>
        <v>7038759.254799949</v>
      </c>
      <c r="P60" s="18">
        <f t="shared" si="5"/>
        <v>534344.88101892639</v>
      </c>
      <c r="Q60" s="279">
        <f t="shared" si="6"/>
        <v>8.2151113122934563E-2</v>
      </c>
    </row>
    <row r="61" spans="1:19" x14ac:dyDescent="0.25">
      <c r="A61" s="3">
        <f>'Monthly Data'!A61</f>
        <v>43800</v>
      </c>
      <c r="B61" s="1">
        <f t="shared" si="0"/>
        <v>2019</v>
      </c>
      <c r="C61" s="1">
        <f t="shared" si="1"/>
        <v>12</v>
      </c>
      <c r="D61" s="24">
        <f>'Monthly Data'!S61</f>
        <v>6916748.0792108662</v>
      </c>
      <c r="E61" s="278">
        <f>'Monthly Data'!BE61</f>
        <v>0</v>
      </c>
      <c r="F61" s="278">
        <f>'Monthly Data'!CG61</f>
        <v>0</v>
      </c>
      <c r="G61" s="278">
        <f>'Monthly Data'!AQ61</f>
        <v>207.6</v>
      </c>
      <c r="H61" s="278">
        <f>'Monthly Data'!CD61</f>
        <v>31</v>
      </c>
      <c r="J61" s="18">
        <f>'GS 1k-4,999 Predicted Monthly'!$T$10</f>
        <v>1142088.9328922699</v>
      </c>
      <c r="K61" s="18">
        <f>E61*'GS 1k-4,999 Predicted Monthly'!$T$11</f>
        <v>0</v>
      </c>
      <c r="L61" s="18">
        <f>F61*'GS 1k-4,999 Predicted Monthly'!$T$12</f>
        <v>0</v>
      </c>
      <c r="M61" s="18">
        <f>G61*'GS 1k-4,999 Predicted Monthly'!$T$13</f>
        <v>2504900.9668641356</v>
      </c>
      <c r="N61" s="18">
        <f>H61*'GS 1k-4,999 Predicted Monthly'!$T$14</f>
        <v>3521036.9894481138</v>
      </c>
      <c r="O61" s="18">
        <f t="shared" si="4"/>
        <v>7168026.8892045189</v>
      </c>
      <c r="P61" s="18">
        <f t="shared" si="5"/>
        <v>251278.80999365263</v>
      </c>
      <c r="Q61" s="279">
        <f t="shared" si="6"/>
        <v>3.6329038894578489E-2</v>
      </c>
    </row>
    <row r="62" spans="1:19" x14ac:dyDescent="0.25">
      <c r="A62" s="3">
        <f>'Monthly Data'!A62</f>
        <v>43831</v>
      </c>
      <c r="B62" s="1">
        <f t="shared" si="0"/>
        <v>2020</v>
      </c>
      <c r="C62" s="1">
        <f t="shared" si="1"/>
        <v>1</v>
      </c>
      <c r="D62" s="24">
        <f>'Monthly Data'!S62</f>
        <v>7135430.5825945279</v>
      </c>
      <c r="E62" s="278">
        <f>'Monthly Data'!BE62</f>
        <v>0</v>
      </c>
      <c r="F62" s="278">
        <f>'Monthly Data'!CG62</f>
        <v>0</v>
      </c>
      <c r="G62" s="278">
        <f>'Monthly Data'!AQ62</f>
        <v>208.1</v>
      </c>
      <c r="H62" s="278">
        <f>'Monthly Data'!CD62</f>
        <v>31</v>
      </c>
      <c r="J62" s="18">
        <f>'GS 1k-4,999 Predicted Monthly'!$T$10</f>
        <v>1142088.9328922699</v>
      </c>
      <c r="K62" s="18">
        <f>E62*'GS 1k-4,999 Predicted Monthly'!$T$11</f>
        <v>0</v>
      </c>
      <c r="L62" s="18">
        <f>F62*'GS 1k-4,999 Predicted Monthly'!$T$12</f>
        <v>0</v>
      </c>
      <c r="M62" s="18">
        <f>G62*'GS 1k-4,999 Predicted Monthly'!$T$13</f>
        <v>2510933.965339242</v>
      </c>
      <c r="N62" s="18">
        <f>H62*'GS 1k-4,999 Predicted Monthly'!$T$14</f>
        <v>3521036.9894481138</v>
      </c>
      <c r="O62" s="18">
        <f t="shared" si="4"/>
        <v>7174059.8876796253</v>
      </c>
      <c r="P62" s="18">
        <f t="shared" si="5"/>
        <v>38629.30508509744</v>
      </c>
      <c r="Q62" s="279">
        <f t="shared" si="6"/>
        <v>5.4137314683329685E-3</v>
      </c>
    </row>
    <row r="63" spans="1:19" x14ac:dyDescent="0.25">
      <c r="A63" s="3">
        <f>'Monthly Data'!A63</f>
        <v>43862</v>
      </c>
      <c r="B63" s="1">
        <f t="shared" si="0"/>
        <v>2020</v>
      </c>
      <c r="C63" s="1">
        <f t="shared" si="1"/>
        <v>2</v>
      </c>
      <c r="D63" s="24">
        <f>'Monthly Data'!S63</f>
        <v>6643831.0976723712</v>
      </c>
      <c r="E63" s="278">
        <f>'Monthly Data'!BE63</f>
        <v>0</v>
      </c>
      <c r="F63" s="278">
        <f>'Monthly Data'!CG63</f>
        <v>0</v>
      </c>
      <c r="G63" s="278">
        <f>'Monthly Data'!AQ63</f>
        <v>210.7</v>
      </c>
      <c r="H63" s="278">
        <f>'Monthly Data'!CD63</f>
        <v>29</v>
      </c>
      <c r="J63" s="18">
        <f>'GS 1k-4,999 Predicted Monthly'!$T$10</f>
        <v>1142088.9328922699</v>
      </c>
      <c r="K63" s="18">
        <f>E63*'GS 1k-4,999 Predicted Monthly'!$T$11</f>
        <v>0</v>
      </c>
      <c r="L63" s="18">
        <f>F63*'GS 1k-4,999 Predicted Monthly'!$T$12</f>
        <v>0</v>
      </c>
      <c r="M63" s="18">
        <f>G63*'GS 1k-4,999 Predicted Monthly'!$T$13</f>
        <v>2542305.557409795</v>
      </c>
      <c r="N63" s="18">
        <f>H63*'GS 1k-4,999 Predicted Monthly'!$T$14</f>
        <v>3293873.3127095257</v>
      </c>
      <c r="O63" s="18">
        <f t="shared" si="4"/>
        <v>6978267.8030115906</v>
      </c>
      <c r="P63" s="18">
        <f t="shared" si="5"/>
        <v>334436.70533921942</v>
      </c>
      <c r="Q63" s="279">
        <f t="shared" si="6"/>
        <v>5.0337930092230587E-2</v>
      </c>
    </row>
    <row r="64" spans="1:19" x14ac:dyDescent="0.25">
      <c r="A64" s="3">
        <f>'Monthly Data'!A64</f>
        <v>43891</v>
      </c>
      <c r="B64" s="1">
        <f t="shared" si="0"/>
        <v>2020</v>
      </c>
      <c r="C64" s="1">
        <f t="shared" si="1"/>
        <v>3</v>
      </c>
      <c r="D64" s="24">
        <f>'Monthly Data'!S64</f>
        <v>6564881.6992580527</v>
      </c>
      <c r="E64" s="278">
        <f>'Monthly Data'!BE64</f>
        <v>0</v>
      </c>
      <c r="F64" s="278">
        <f>'Monthly Data'!CG64</f>
        <v>0.5</v>
      </c>
      <c r="G64" s="278">
        <f>'Monthly Data'!AQ64</f>
        <v>208.3</v>
      </c>
      <c r="H64" s="278">
        <f>'Monthly Data'!CD64</f>
        <v>31</v>
      </c>
      <c r="J64" s="18">
        <f>'GS 1k-4,999 Predicted Monthly'!$T$10</f>
        <v>1142088.9328922699</v>
      </c>
      <c r="K64" s="18">
        <f>E64*'GS 1k-4,999 Predicted Monthly'!$T$11</f>
        <v>0</v>
      </c>
      <c r="L64" s="18">
        <f>F64*'GS 1k-4,999 Predicted Monthly'!$T$12</f>
        <v>-696022.37621152995</v>
      </c>
      <c r="M64" s="18">
        <f>G64*'GS 1k-4,999 Predicted Monthly'!$T$13</f>
        <v>2513347.1647292846</v>
      </c>
      <c r="N64" s="18">
        <f>H64*'GS 1k-4,999 Predicted Monthly'!$T$14</f>
        <v>3521036.9894481138</v>
      </c>
      <c r="O64" s="18">
        <f t="shared" si="4"/>
        <v>6480450.7108581383</v>
      </c>
      <c r="P64" s="18">
        <f t="shared" si="5"/>
        <v>-84430.988399914466</v>
      </c>
      <c r="Q64" s="279">
        <f t="shared" si="6"/>
        <v>1.2861006834206419E-2</v>
      </c>
      <c r="S64" s="18"/>
    </row>
    <row r="65" spans="1:24" x14ac:dyDescent="0.25">
      <c r="A65" s="3">
        <f>'Monthly Data'!A65</f>
        <v>43922</v>
      </c>
      <c r="B65" s="1">
        <f t="shared" si="0"/>
        <v>2020</v>
      </c>
      <c r="C65" s="1">
        <f t="shared" si="1"/>
        <v>4</v>
      </c>
      <c r="D65" s="24">
        <f>'Monthly Data'!S65</f>
        <v>5198888.1617160002</v>
      </c>
      <c r="E65" s="278">
        <f>'Monthly Data'!BE65</f>
        <v>0</v>
      </c>
      <c r="F65" s="278">
        <f>'Monthly Data'!CG65</f>
        <v>1</v>
      </c>
      <c r="G65" s="278">
        <f>'Monthly Data'!AQ65</f>
        <v>201.9</v>
      </c>
      <c r="H65" s="278">
        <f>'Monthly Data'!CD65</f>
        <v>30</v>
      </c>
      <c r="J65" s="18">
        <f>'GS 1k-4,999 Predicted Monthly'!$T$10</f>
        <v>1142088.9328922699</v>
      </c>
      <c r="K65" s="18">
        <f>E65*'GS 1k-4,999 Predicted Monthly'!$T$11</f>
        <v>0</v>
      </c>
      <c r="L65" s="18">
        <f>F65*'GS 1k-4,999 Predicted Monthly'!$T$12</f>
        <v>-1392044.7524230599</v>
      </c>
      <c r="M65" s="18">
        <f>G65*'GS 1k-4,999 Predicted Monthly'!$T$13</f>
        <v>2436124.7842479241</v>
      </c>
      <c r="N65" s="18">
        <f>H65*'GS 1k-4,999 Predicted Monthly'!$T$14</f>
        <v>3407455.1510788198</v>
      </c>
      <c r="O65" s="18">
        <f t="shared" si="4"/>
        <v>5593624.1157959532</v>
      </c>
      <c r="P65" s="18">
        <f t="shared" si="5"/>
        <v>394735.95407995302</v>
      </c>
      <c r="Q65" s="279">
        <f t="shared" si="6"/>
        <v>7.5926994734516903E-2</v>
      </c>
      <c r="S65" s="18"/>
    </row>
    <row r="66" spans="1:24" x14ac:dyDescent="0.25">
      <c r="A66" s="3">
        <f>'Monthly Data'!A66</f>
        <v>43952</v>
      </c>
      <c r="B66" s="1">
        <f t="shared" ref="B66:B121" si="7">YEAR(A66)</f>
        <v>2020</v>
      </c>
      <c r="C66" s="1">
        <f t="shared" ref="C66:C121" si="8">MONTH(A66)</f>
        <v>5</v>
      </c>
      <c r="D66" s="24">
        <f>'Monthly Data'!S66</f>
        <v>5975758.5394809321</v>
      </c>
      <c r="E66" s="278">
        <f>'Monthly Data'!BE66</f>
        <v>31.450595238095232</v>
      </c>
      <c r="F66" s="278">
        <f>'Monthly Data'!CG66</f>
        <v>1</v>
      </c>
      <c r="G66" s="278">
        <f>'Monthly Data'!AQ66</f>
        <v>193.3</v>
      </c>
      <c r="H66" s="278">
        <f>'Monthly Data'!CD66</f>
        <v>31</v>
      </c>
      <c r="J66" s="18">
        <f>'GS 1k-4,999 Predicted Monthly'!$T$10</f>
        <v>1142088.9328922699</v>
      </c>
      <c r="K66" s="18">
        <f>E66*'GS 1k-4,999 Predicted Monthly'!$T$11</f>
        <v>281317.00749856763</v>
      </c>
      <c r="L66" s="18">
        <f>F66*'GS 1k-4,999 Predicted Monthly'!$T$12</f>
        <v>-1392044.7524230599</v>
      </c>
      <c r="M66" s="18">
        <f>G66*'GS 1k-4,999 Predicted Monthly'!$T$13</f>
        <v>2332357.2104760958</v>
      </c>
      <c r="N66" s="18">
        <f>H66*'GS 1k-4,999 Predicted Monthly'!$T$14</f>
        <v>3521036.9894481138</v>
      </c>
      <c r="O66" s="18">
        <f t="shared" si="4"/>
        <v>5884755.3878919873</v>
      </c>
      <c r="P66" s="18">
        <f t="shared" ref="P66:P97" si="9">O66-D66</f>
        <v>-91003.151588944718</v>
      </c>
      <c r="Q66" s="279">
        <f t="shared" ref="Q66:Q97" si="10">ABS(P66/D66)</f>
        <v>1.5228719665913652E-2</v>
      </c>
      <c r="S66" s="18"/>
    </row>
    <row r="67" spans="1:24" x14ac:dyDescent="0.25">
      <c r="A67" s="3">
        <f>'Monthly Data'!A67</f>
        <v>43983</v>
      </c>
      <c r="B67" s="1">
        <f t="shared" si="7"/>
        <v>2020</v>
      </c>
      <c r="C67" s="1">
        <f t="shared" si="8"/>
        <v>6</v>
      </c>
      <c r="D67" s="24">
        <f>'Monthly Data'!S67</f>
        <v>7052492.3045150973</v>
      </c>
      <c r="E67" s="278">
        <f>'Monthly Data'!BE67</f>
        <v>115.68206521739128</v>
      </c>
      <c r="F67" s="278">
        <f>'Monthly Data'!CG67</f>
        <v>0.5</v>
      </c>
      <c r="G67" s="278">
        <f>'Monthly Data'!AQ67</f>
        <v>190.3</v>
      </c>
      <c r="H67" s="278">
        <f>'Monthly Data'!CD67</f>
        <v>30</v>
      </c>
      <c r="J67" s="18">
        <f>'GS 1k-4,999 Predicted Monthly'!$T$10</f>
        <v>1142088.9328922699</v>
      </c>
      <c r="K67" s="18">
        <f>E67*'GS 1k-4,999 Predicted Monthly'!$T$11</f>
        <v>1034744.5624428698</v>
      </c>
      <c r="L67" s="18">
        <f>F67*'GS 1k-4,999 Predicted Monthly'!$T$12</f>
        <v>-696022.37621152995</v>
      </c>
      <c r="M67" s="18">
        <f>G67*'GS 1k-4,999 Predicted Monthly'!$T$13</f>
        <v>2296159.2196254581</v>
      </c>
      <c r="N67" s="18">
        <f>H67*'GS 1k-4,999 Predicted Monthly'!$T$14</f>
        <v>3407455.1510788198</v>
      </c>
      <c r="O67" s="18">
        <f t="shared" ref="O67:O121" si="11">SUM(J67:N67)</f>
        <v>7184425.4898278881</v>
      </c>
      <c r="P67" s="18">
        <f t="shared" si="9"/>
        <v>131933.1853127908</v>
      </c>
      <c r="Q67" s="279">
        <f t="shared" si="10"/>
        <v>1.8707313615688097E-2</v>
      </c>
      <c r="S67" s="18"/>
    </row>
    <row r="68" spans="1:24" x14ac:dyDescent="0.25">
      <c r="A68" s="3">
        <f>'Monthly Data'!A68</f>
        <v>44013</v>
      </c>
      <c r="B68" s="1">
        <f t="shared" si="7"/>
        <v>2020</v>
      </c>
      <c r="C68" s="1">
        <f t="shared" si="8"/>
        <v>7</v>
      </c>
      <c r="D68" s="24">
        <f>'Monthly Data'!S68</f>
        <v>8644136.8558436297</v>
      </c>
      <c r="E68" s="278">
        <f>'Monthly Data'!BE68</f>
        <v>246.88749999999999</v>
      </c>
      <c r="F68" s="278">
        <f>'Monthly Data'!CG68</f>
        <v>0.5</v>
      </c>
      <c r="G68" s="278">
        <f>'Monthly Data'!AQ68</f>
        <v>195.6</v>
      </c>
      <c r="H68" s="278">
        <f>'Monthly Data'!CD68</f>
        <v>31</v>
      </c>
      <c r="J68" s="18">
        <f>'GS 1k-4,999 Predicted Monthly'!$T$10</f>
        <v>1142088.9328922699</v>
      </c>
      <c r="K68" s="18">
        <f>E68*'GS 1k-4,999 Predicted Monthly'!$T$11</f>
        <v>2208341.4371971991</v>
      </c>
      <c r="L68" s="18">
        <f>F68*'GS 1k-4,999 Predicted Monthly'!$T$12</f>
        <v>-696022.37621152995</v>
      </c>
      <c r="M68" s="18">
        <f>G68*'GS 1k-4,999 Predicted Monthly'!$T$13</f>
        <v>2360109.0034615844</v>
      </c>
      <c r="N68" s="18">
        <f>H68*'GS 1k-4,999 Predicted Monthly'!$T$14</f>
        <v>3521036.9894481138</v>
      </c>
      <c r="O68" s="18">
        <f t="shared" si="11"/>
        <v>8535553.9867876377</v>
      </c>
      <c r="P68" s="18">
        <f t="shared" si="9"/>
        <v>-108582.86905599199</v>
      </c>
      <c r="Q68" s="279">
        <f t="shared" si="10"/>
        <v>1.256144724069096E-2</v>
      </c>
      <c r="S68" s="18"/>
    </row>
    <row r="69" spans="1:24" x14ac:dyDescent="0.25">
      <c r="A69" s="3">
        <f>'Monthly Data'!A69</f>
        <v>44044</v>
      </c>
      <c r="B69" s="1">
        <f t="shared" si="7"/>
        <v>2020</v>
      </c>
      <c r="C69" s="1">
        <f t="shared" si="8"/>
        <v>8</v>
      </c>
      <c r="D69" s="24">
        <f>'Monthly Data'!S69</f>
        <v>8115885.9892690107</v>
      </c>
      <c r="E69" s="278">
        <f>'Monthly Data'!BE69</f>
        <v>154.93106060606064</v>
      </c>
      <c r="F69" s="278">
        <f>'Monthly Data'!CG69</f>
        <v>0.5</v>
      </c>
      <c r="G69" s="278">
        <f>'Monthly Data'!AQ69</f>
        <v>202.7</v>
      </c>
      <c r="H69" s="278">
        <f>'Monthly Data'!CD69</f>
        <v>31</v>
      </c>
      <c r="J69" s="18">
        <f>'GS 1k-4,999 Predicted Monthly'!$T$10</f>
        <v>1142088.9328922699</v>
      </c>
      <c r="K69" s="18">
        <f>E69*'GS 1k-4,999 Predicted Monthly'!$T$11</f>
        <v>1385816.1350626273</v>
      </c>
      <c r="L69" s="18">
        <f>F69*'GS 1k-4,999 Predicted Monthly'!$T$12</f>
        <v>-696022.37621152995</v>
      </c>
      <c r="M69" s="18">
        <f>G69*'GS 1k-4,999 Predicted Monthly'!$T$13</f>
        <v>2445777.5818080939</v>
      </c>
      <c r="N69" s="18">
        <f>H69*'GS 1k-4,999 Predicted Monthly'!$T$14</f>
        <v>3521036.9894481138</v>
      </c>
      <c r="O69" s="18">
        <f t="shared" si="11"/>
        <v>7798697.2629995737</v>
      </c>
      <c r="P69" s="18">
        <f t="shared" si="9"/>
        <v>-317188.726269437</v>
      </c>
      <c r="Q69" s="279">
        <f t="shared" si="10"/>
        <v>3.9082452204088423E-2</v>
      </c>
      <c r="S69" s="18"/>
    </row>
    <row r="70" spans="1:24" x14ac:dyDescent="0.25">
      <c r="A70" s="3">
        <f>'Monthly Data'!A70</f>
        <v>44075</v>
      </c>
      <c r="B70" s="1">
        <f t="shared" si="7"/>
        <v>2020</v>
      </c>
      <c r="C70" s="1">
        <f t="shared" si="8"/>
        <v>9</v>
      </c>
      <c r="D70" s="24">
        <f>'Monthly Data'!S70</f>
        <v>6840875.8033127291</v>
      </c>
      <c r="E70" s="278">
        <f>'Monthly Data'!BE70</f>
        <v>37.879166666666663</v>
      </c>
      <c r="F70" s="278">
        <f>'Monthly Data'!CG70</f>
        <v>0.5</v>
      </c>
      <c r="G70" s="278">
        <f>'Monthly Data'!AQ70</f>
        <v>208.8</v>
      </c>
      <c r="H70" s="278">
        <f>'Monthly Data'!CD70</f>
        <v>30</v>
      </c>
      <c r="J70" s="18">
        <f>'GS 1k-4,999 Predicted Monthly'!$T$10</f>
        <v>1142088.9328922699</v>
      </c>
      <c r="K70" s="18">
        <f>E70*'GS 1k-4,999 Predicted Monthly'!$T$11</f>
        <v>338818.8278325104</v>
      </c>
      <c r="L70" s="18">
        <f>F70*'GS 1k-4,999 Predicted Monthly'!$T$12</f>
        <v>-696022.37621152995</v>
      </c>
      <c r="M70" s="18">
        <f>G70*'GS 1k-4,999 Predicted Monthly'!$T$13</f>
        <v>2519380.163204391</v>
      </c>
      <c r="N70" s="18">
        <f>H70*'GS 1k-4,999 Predicted Monthly'!$T$14</f>
        <v>3407455.1510788198</v>
      </c>
      <c r="O70" s="18">
        <f t="shared" si="11"/>
        <v>6711720.6987964613</v>
      </c>
      <c r="P70" s="18">
        <f t="shared" si="9"/>
        <v>-129155.10451626778</v>
      </c>
      <c r="Q70" s="279">
        <f t="shared" si="10"/>
        <v>1.8879907811471121E-2</v>
      </c>
      <c r="S70" s="18"/>
    </row>
    <row r="71" spans="1:24" x14ac:dyDescent="0.25">
      <c r="A71" s="3">
        <f>'Monthly Data'!A71</f>
        <v>44105</v>
      </c>
      <c r="B71" s="1">
        <f t="shared" si="7"/>
        <v>2020</v>
      </c>
      <c r="C71" s="1">
        <f t="shared" si="8"/>
        <v>10</v>
      </c>
      <c r="D71" s="24">
        <f>'Monthly Data'!S71</f>
        <v>6096532.0669815103</v>
      </c>
      <c r="E71" s="278">
        <f>'Monthly Data'!BE71</f>
        <v>0.22916666666666785</v>
      </c>
      <c r="F71" s="278">
        <f>'Monthly Data'!CG71</f>
        <v>0.5</v>
      </c>
      <c r="G71" s="278">
        <f>'Monthly Data'!AQ71</f>
        <v>213.3</v>
      </c>
      <c r="H71" s="278">
        <f>'Monthly Data'!CD71</f>
        <v>31</v>
      </c>
      <c r="J71" s="18">
        <f>'GS 1k-4,999 Predicted Monthly'!$T$10</f>
        <v>1142088.9328922699</v>
      </c>
      <c r="K71" s="18">
        <f>E71*'GS 1k-4,999 Predicted Monthly'!$T$11</f>
        <v>2049.8334100525981</v>
      </c>
      <c r="L71" s="18">
        <f>F71*'GS 1k-4,999 Predicted Monthly'!$T$12</f>
        <v>-696022.37621152995</v>
      </c>
      <c r="M71" s="18">
        <f>G71*'GS 1k-4,999 Predicted Monthly'!$T$13</f>
        <v>2573677.149480348</v>
      </c>
      <c r="N71" s="18">
        <f>H71*'GS 1k-4,999 Predicted Monthly'!$T$14</f>
        <v>3521036.9894481138</v>
      </c>
      <c r="O71" s="18">
        <f t="shared" si="11"/>
        <v>6542830.5290192543</v>
      </c>
      <c r="P71" s="18">
        <f t="shared" si="9"/>
        <v>446298.462037744</v>
      </c>
      <c r="Q71" s="279">
        <f t="shared" si="10"/>
        <v>7.3205300510903973E-2</v>
      </c>
      <c r="S71" s="18"/>
    </row>
    <row r="72" spans="1:24" x14ac:dyDescent="0.25">
      <c r="A72" s="3">
        <f>'Monthly Data'!A72</f>
        <v>44136</v>
      </c>
      <c r="B72" s="1">
        <f t="shared" si="7"/>
        <v>2020</v>
      </c>
      <c r="C72" s="1">
        <f t="shared" si="8"/>
        <v>11</v>
      </c>
      <c r="D72" s="24">
        <f>'Monthly Data'!S72</f>
        <v>6275162.6858837437</v>
      </c>
      <c r="E72" s="278">
        <f>'Monthly Data'!BE72</f>
        <v>0</v>
      </c>
      <c r="F72" s="278">
        <f>'Monthly Data'!CG72</f>
        <v>0.5</v>
      </c>
      <c r="G72" s="278">
        <f>'Monthly Data'!AQ72</f>
        <v>214.2</v>
      </c>
      <c r="H72" s="278">
        <f>'Monthly Data'!CD72</f>
        <v>30</v>
      </c>
      <c r="J72" s="18">
        <f>'GS 1k-4,999 Predicted Monthly'!$T$10</f>
        <v>1142088.9328922699</v>
      </c>
      <c r="K72" s="18">
        <f>E72*'GS 1k-4,999 Predicted Monthly'!$T$11</f>
        <v>0</v>
      </c>
      <c r="L72" s="18">
        <f>F72*'GS 1k-4,999 Predicted Monthly'!$T$12</f>
        <v>-696022.37621152995</v>
      </c>
      <c r="M72" s="18">
        <f>G72*'GS 1k-4,999 Predicted Monthly'!$T$13</f>
        <v>2584536.5467355391</v>
      </c>
      <c r="N72" s="18">
        <f>H72*'GS 1k-4,999 Predicted Monthly'!$T$14</f>
        <v>3407455.1510788198</v>
      </c>
      <c r="O72" s="18">
        <f t="shared" si="11"/>
        <v>6438058.2544950992</v>
      </c>
      <c r="P72" s="18">
        <f t="shared" si="9"/>
        <v>162895.5686113555</v>
      </c>
      <c r="Q72" s="279">
        <f t="shared" si="10"/>
        <v>2.5958780156854943E-2</v>
      </c>
      <c r="S72" s="18"/>
    </row>
    <row r="73" spans="1:24" x14ac:dyDescent="0.25">
      <c r="A73" s="3">
        <f>'Monthly Data'!A73</f>
        <v>44166</v>
      </c>
      <c r="B73" s="1">
        <f t="shared" si="7"/>
        <v>2020</v>
      </c>
      <c r="C73" s="1">
        <f t="shared" si="8"/>
        <v>12</v>
      </c>
      <c r="D73" s="24">
        <f>'Monthly Data'!S73</f>
        <v>6594890.4345861645</v>
      </c>
      <c r="E73" s="278">
        <f>'Monthly Data'!BE73</f>
        <v>0</v>
      </c>
      <c r="F73" s="278">
        <f>'Monthly Data'!CG73</f>
        <v>0.5</v>
      </c>
      <c r="G73" s="278">
        <f>'Monthly Data'!AQ73</f>
        <v>213.6</v>
      </c>
      <c r="H73" s="278">
        <f>'Monthly Data'!CD73</f>
        <v>31</v>
      </c>
      <c r="J73" s="18">
        <f>'GS 1k-4,999 Predicted Monthly'!$T$10</f>
        <v>1142088.9328922699</v>
      </c>
      <c r="K73" s="18">
        <f>E73*'GS 1k-4,999 Predicted Monthly'!$T$11</f>
        <v>0</v>
      </c>
      <c r="L73" s="18">
        <f>F73*'GS 1k-4,999 Predicted Monthly'!$T$12</f>
        <v>-696022.37621152995</v>
      </c>
      <c r="M73" s="18">
        <f>G73*'GS 1k-4,999 Predicted Monthly'!$T$13</f>
        <v>2577296.9485654114</v>
      </c>
      <c r="N73" s="18">
        <f>H73*'GS 1k-4,999 Predicted Monthly'!$T$14</f>
        <v>3521036.9894481138</v>
      </c>
      <c r="O73" s="18">
        <f t="shared" si="11"/>
        <v>6544400.4946942646</v>
      </c>
      <c r="P73" s="18">
        <f t="shared" si="9"/>
        <v>-50489.939891899936</v>
      </c>
      <c r="Q73" s="279">
        <f t="shared" si="10"/>
        <v>7.6559179250516576E-3</v>
      </c>
      <c r="S73" s="18"/>
    </row>
    <row r="74" spans="1:24" x14ac:dyDescent="0.25">
      <c r="A74" s="3">
        <f>'Monthly Data'!A74</f>
        <v>44197</v>
      </c>
      <c r="B74" s="1">
        <f t="shared" si="7"/>
        <v>2021</v>
      </c>
      <c r="C74" s="1">
        <f t="shared" si="8"/>
        <v>1</v>
      </c>
      <c r="D74" s="24">
        <f>'Monthly Data'!S74</f>
        <v>6462981.7309892355</v>
      </c>
      <c r="E74" s="278">
        <f>'Monthly Data'!BE74</f>
        <v>0</v>
      </c>
      <c r="F74" s="278">
        <f>'Monthly Data'!CG74</f>
        <v>0.5</v>
      </c>
      <c r="G74" s="278">
        <f>'Monthly Data'!AQ74</f>
        <v>207.3</v>
      </c>
      <c r="H74" s="278">
        <f>'Monthly Data'!CD74</f>
        <v>31</v>
      </c>
      <c r="J74" s="18">
        <f>'GS 1k-4,999 Predicted Monthly'!$T$10</f>
        <v>1142088.9328922699</v>
      </c>
      <c r="K74" s="18">
        <f>E74*'GS 1k-4,999 Predicted Monthly'!$T$11</f>
        <v>0</v>
      </c>
      <c r="L74" s="18">
        <f>F74*'GS 1k-4,999 Predicted Monthly'!$T$12</f>
        <v>-696022.37621152995</v>
      </c>
      <c r="M74" s="18">
        <f>G74*'GS 1k-4,999 Predicted Monthly'!$T$13</f>
        <v>2501281.1677790722</v>
      </c>
      <c r="N74" s="18">
        <f>H74*'GS 1k-4,999 Predicted Monthly'!$T$14</f>
        <v>3521036.9894481138</v>
      </c>
      <c r="O74" s="18">
        <f t="shared" si="11"/>
        <v>6468384.7139079254</v>
      </c>
      <c r="P74" s="18">
        <f t="shared" si="9"/>
        <v>5402.9829186899588</v>
      </c>
      <c r="Q74" s="279">
        <f t="shared" si="10"/>
        <v>8.3598919872901586E-4</v>
      </c>
      <c r="S74" s="18"/>
    </row>
    <row r="75" spans="1:24" x14ac:dyDescent="0.25">
      <c r="A75" s="3">
        <f>'Monthly Data'!A75</f>
        <v>44228</v>
      </c>
      <c r="B75" s="1">
        <f t="shared" si="7"/>
        <v>2021</v>
      </c>
      <c r="C75" s="1">
        <f t="shared" si="8"/>
        <v>2</v>
      </c>
      <c r="D75" s="24">
        <f>'Monthly Data'!S75</f>
        <v>5458159.4994783401</v>
      </c>
      <c r="E75" s="278">
        <f>'Monthly Data'!BE75</f>
        <v>0</v>
      </c>
      <c r="F75" s="278">
        <f>'Monthly Data'!CG75</f>
        <v>0.5</v>
      </c>
      <c r="G75" s="278">
        <f>'Monthly Data'!AQ75</f>
        <v>205.4</v>
      </c>
      <c r="H75" s="278">
        <f>'Monthly Data'!CD75</f>
        <v>28</v>
      </c>
      <c r="J75" s="18">
        <f>'GS 1k-4,999 Predicted Monthly'!$T$10</f>
        <v>1142088.9328922699</v>
      </c>
      <c r="K75" s="18">
        <f>E75*'GS 1k-4,999 Predicted Monthly'!$T$11</f>
        <v>0</v>
      </c>
      <c r="L75" s="18">
        <f>F75*'GS 1k-4,999 Predicted Monthly'!$T$12</f>
        <v>-696022.37621152995</v>
      </c>
      <c r="M75" s="18">
        <f>G75*'GS 1k-4,999 Predicted Monthly'!$T$13</f>
        <v>2478355.7735736682</v>
      </c>
      <c r="N75" s="18">
        <f>H75*'GS 1k-4,999 Predicted Monthly'!$T$14</f>
        <v>3180291.4743402321</v>
      </c>
      <c r="O75" s="18">
        <f t="shared" si="11"/>
        <v>6104713.8045946397</v>
      </c>
      <c r="P75" s="18">
        <f t="shared" si="9"/>
        <v>646554.30511629954</v>
      </c>
      <c r="Q75" s="279">
        <f t="shared" si="10"/>
        <v>0.11845646965393619</v>
      </c>
      <c r="S75" s="18"/>
    </row>
    <row r="76" spans="1:24" x14ac:dyDescent="0.25">
      <c r="A76" s="3">
        <f>'Monthly Data'!A76</f>
        <v>44256</v>
      </c>
      <c r="B76" s="1">
        <f t="shared" si="7"/>
        <v>2021</v>
      </c>
      <c r="C76" s="1">
        <f t="shared" si="8"/>
        <v>3</v>
      </c>
      <c r="D76" s="24">
        <f>'Monthly Data'!S76</f>
        <v>6087613.54559239</v>
      </c>
      <c r="E76" s="278">
        <f>'Monthly Data'!BE76</f>
        <v>0</v>
      </c>
      <c r="F76" s="278">
        <f>'Monthly Data'!CG76</f>
        <v>0.5</v>
      </c>
      <c r="G76" s="278">
        <f>'Monthly Data'!AQ76</f>
        <v>204.5</v>
      </c>
      <c r="H76" s="278">
        <f>'Monthly Data'!CD76</f>
        <v>31</v>
      </c>
      <c r="J76" s="18">
        <f>'GS 1k-4,999 Predicted Monthly'!$T$10</f>
        <v>1142088.9328922699</v>
      </c>
      <c r="K76" s="18">
        <f>E76*'GS 1k-4,999 Predicted Monthly'!$T$11</f>
        <v>0</v>
      </c>
      <c r="L76" s="18">
        <f>F76*'GS 1k-4,999 Predicted Monthly'!$T$12</f>
        <v>-696022.37621152995</v>
      </c>
      <c r="M76" s="18">
        <f>G76*'GS 1k-4,999 Predicted Monthly'!$T$13</f>
        <v>2467496.3763184766</v>
      </c>
      <c r="N76" s="18">
        <f>H76*'GS 1k-4,999 Predicted Monthly'!$T$14</f>
        <v>3521036.9894481138</v>
      </c>
      <c r="O76" s="18">
        <f t="shared" si="11"/>
        <v>6434599.9224473303</v>
      </c>
      <c r="P76" s="18">
        <f t="shared" si="9"/>
        <v>346986.37685494032</v>
      </c>
      <c r="Q76" s="279">
        <f t="shared" si="10"/>
        <v>5.6998752344614351E-2</v>
      </c>
    </row>
    <row r="77" spans="1:24" x14ac:dyDescent="0.25">
      <c r="A77" s="3">
        <f>'Monthly Data'!A77</f>
        <v>44287</v>
      </c>
      <c r="B77" s="1">
        <f t="shared" si="7"/>
        <v>2021</v>
      </c>
      <c r="C77" s="1">
        <f t="shared" si="8"/>
        <v>4</v>
      </c>
      <c r="D77" s="24">
        <f>'Monthly Data'!S77</f>
        <v>6925948.7904819697</v>
      </c>
      <c r="E77" s="278">
        <f>'Monthly Data'!BE77</f>
        <v>0.21249999999999858</v>
      </c>
      <c r="F77" s="278">
        <f>'Monthly Data'!CG77</f>
        <v>0.5</v>
      </c>
      <c r="G77" s="278">
        <f>'Monthly Data'!AQ77</f>
        <v>206</v>
      </c>
      <c r="H77" s="278">
        <f>'Monthly Data'!CD77</f>
        <v>30</v>
      </c>
      <c r="J77" s="18">
        <f>'GS 1k-4,999 Predicted Monthly'!$T$10</f>
        <v>1142088.9328922699</v>
      </c>
      <c r="K77" s="18">
        <f>E77*'GS 1k-4,999 Predicted Monthly'!$T$11</f>
        <v>1900.7546165942049</v>
      </c>
      <c r="L77" s="18">
        <f>F77*'GS 1k-4,999 Predicted Monthly'!$T$12</f>
        <v>-696022.37621152995</v>
      </c>
      <c r="M77" s="18">
        <f>G77*'GS 1k-4,999 Predicted Monthly'!$T$13</f>
        <v>2485595.3717437959</v>
      </c>
      <c r="N77" s="18">
        <f>H77*'GS 1k-4,999 Predicted Monthly'!$T$14</f>
        <v>3407455.1510788198</v>
      </c>
      <c r="O77" s="18">
        <f t="shared" si="11"/>
        <v>6341017.8341199495</v>
      </c>
      <c r="P77" s="18">
        <f t="shared" si="9"/>
        <v>-584930.95636202022</v>
      </c>
      <c r="Q77" s="279">
        <f t="shared" si="10"/>
        <v>8.445499296296638E-2</v>
      </c>
      <c r="S77" s="18"/>
    </row>
    <row r="78" spans="1:24" x14ac:dyDescent="0.25">
      <c r="A78" s="3">
        <f>'Monthly Data'!A78</f>
        <v>44317</v>
      </c>
      <c r="B78" s="1">
        <f t="shared" si="7"/>
        <v>2021</v>
      </c>
      <c r="C78" s="1">
        <f t="shared" si="8"/>
        <v>5</v>
      </c>
      <c r="D78" s="24">
        <f>'Monthly Data'!S78</f>
        <v>6679521.9702554708</v>
      </c>
      <c r="E78" s="278">
        <f>'Monthly Data'!BE78</f>
        <v>35.574999999999996</v>
      </c>
      <c r="F78" s="278">
        <f>'Monthly Data'!CG78</f>
        <v>0.5</v>
      </c>
      <c r="G78" s="278">
        <f>'Monthly Data'!AQ78</f>
        <v>204.1</v>
      </c>
      <c r="H78" s="278">
        <f>'Monthly Data'!CD78</f>
        <v>31</v>
      </c>
      <c r="J78" s="18">
        <f>'GS 1k-4,999 Predicted Monthly'!$T$10</f>
        <v>1142088.9328922699</v>
      </c>
      <c r="K78" s="18">
        <f>E78*'GS 1k-4,999 Predicted Monthly'!$T$11</f>
        <v>318208.68463689071</v>
      </c>
      <c r="L78" s="18">
        <f>F78*'GS 1k-4,999 Predicted Monthly'!$T$12</f>
        <v>-696022.37621152995</v>
      </c>
      <c r="M78" s="18">
        <f>G78*'GS 1k-4,999 Predicted Monthly'!$T$13</f>
        <v>2462669.9775383915</v>
      </c>
      <c r="N78" s="18">
        <f>H78*'GS 1k-4,999 Predicted Monthly'!$T$14</f>
        <v>3521036.9894481138</v>
      </c>
      <c r="O78" s="18">
        <f t="shared" si="11"/>
        <v>6747982.2083041361</v>
      </c>
      <c r="P78" s="18">
        <f t="shared" si="9"/>
        <v>68460.238048665226</v>
      </c>
      <c r="Q78" s="279">
        <f t="shared" si="10"/>
        <v>1.0249272081673658E-2</v>
      </c>
      <c r="S78" s="18"/>
      <c r="V78" s="18"/>
      <c r="W78" s="18"/>
      <c r="X78" s="240"/>
    </row>
    <row r="79" spans="1:24" x14ac:dyDescent="0.25">
      <c r="A79" s="3">
        <f>'Monthly Data'!A79</f>
        <v>44348</v>
      </c>
      <c r="B79" s="1">
        <f t="shared" si="7"/>
        <v>2021</v>
      </c>
      <c r="C79" s="1">
        <f t="shared" si="8"/>
        <v>6</v>
      </c>
      <c r="D79" s="24">
        <f>'Monthly Data'!S79</f>
        <v>7247178.0773107251</v>
      </c>
      <c r="E79" s="278">
        <f>'Monthly Data'!BE79</f>
        <v>124.94583333333331</v>
      </c>
      <c r="F79" s="278">
        <f>'Monthly Data'!CG79</f>
        <v>0.5</v>
      </c>
      <c r="G79" s="278">
        <f>'Monthly Data'!AQ79</f>
        <v>203.9</v>
      </c>
      <c r="H79" s="278">
        <f>'Monthly Data'!CD79</f>
        <v>30</v>
      </c>
      <c r="J79" s="18">
        <f>'GS 1k-4,999 Predicted Monthly'!$T$10</f>
        <v>1142088.9328922699</v>
      </c>
      <c r="K79" s="18">
        <f>E79*'GS 1k-4,999 Predicted Monthly'!$T$11</f>
        <v>1117606.4448590351</v>
      </c>
      <c r="L79" s="18">
        <f>F79*'GS 1k-4,999 Predicted Monthly'!$T$12</f>
        <v>-696022.37621152995</v>
      </c>
      <c r="M79" s="18">
        <f>G79*'GS 1k-4,999 Predicted Monthly'!$T$13</f>
        <v>2460256.7781483494</v>
      </c>
      <c r="N79" s="18">
        <f>H79*'GS 1k-4,999 Predicted Monthly'!$T$14</f>
        <v>3407455.1510788198</v>
      </c>
      <c r="O79" s="18">
        <f t="shared" si="11"/>
        <v>7431384.9307669438</v>
      </c>
      <c r="P79" s="18">
        <f t="shared" si="9"/>
        <v>184206.85345621873</v>
      </c>
      <c r="Q79" s="279">
        <f t="shared" si="10"/>
        <v>2.5417735219302628E-2</v>
      </c>
      <c r="S79" s="18"/>
      <c r="V79" s="18"/>
      <c r="W79" s="18"/>
      <c r="X79" s="240"/>
    </row>
    <row r="80" spans="1:24" x14ac:dyDescent="0.25">
      <c r="A80" s="3">
        <f>'Monthly Data'!A80</f>
        <v>44378</v>
      </c>
      <c r="B80" s="1">
        <f t="shared" si="7"/>
        <v>2021</v>
      </c>
      <c r="C80" s="1">
        <f t="shared" si="8"/>
        <v>7</v>
      </c>
      <c r="D80" s="24">
        <f>'Monthly Data'!S80</f>
        <v>7247185.5473630354</v>
      </c>
      <c r="E80" s="278">
        <f>'Monthly Data'!BE80</f>
        <v>131.62083333333331</v>
      </c>
      <c r="F80" s="278">
        <f>'Monthly Data'!CG80</f>
        <v>0.5</v>
      </c>
      <c r="G80" s="278">
        <f>'Monthly Data'!AQ80</f>
        <v>205.7</v>
      </c>
      <c r="H80" s="278">
        <f>'Monthly Data'!CD80</f>
        <v>31</v>
      </c>
      <c r="J80" s="18">
        <f>'GS 1k-4,999 Predicted Monthly'!$T$10</f>
        <v>1142088.9328922699</v>
      </c>
      <c r="K80" s="18">
        <f>E80*'GS 1k-4,999 Predicted Monthly'!$T$11</f>
        <v>1177312.5016391124</v>
      </c>
      <c r="L80" s="18">
        <f>F80*'GS 1k-4,999 Predicted Monthly'!$T$12</f>
        <v>-696022.37621152995</v>
      </c>
      <c r="M80" s="18">
        <f>G80*'GS 1k-4,999 Predicted Monthly'!$T$13</f>
        <v>2481975.5726587316</v>
      </c>
      <c r="N80" s="18">
        <f>H80*'GS 1k-4,999 Predicted Monthly'!$T$14</f>
        <v>3521036.9894481138</v>
      </c>
      <c r="O80" s="18">
        <f t="shared" si="11"/>
        <v>7626391.6204266977</v>
      </c>
      <c r="P80" s="18">
        <f t="shared" si="9"/>
        <v>379206.07306366228</v>
      </c>
      <c r="Q80" s="279">
        <f t="shared" si="10"/>
        <v>5.2324598367933385E-2</v>
      </c>
      <c r="S80" s="18"/>
      <c r="V80" s="18"/>
      <c r="W80" s="18"/>
      <c r="X80" s="240"/>
    </row>
    <row r="81" spans="1:24" x14ac:dyDescent="0.25">
      <c r="A81" s="3">
        <f>'Monthly Data'!A81</f>
        <v>44409</v>
      </c>
      <c r="B81" s="1">
        <f t="shared" si="7"/>
        <v>2021</v>
      </c>
      <c r="C81" s="1">
        <f t="shared" si="8"/>
        <v>8</v>
      </c>
      <c r="D81" s="24">
        <f>'Monthly Data'!S81</f>
        <v>8365993.6754025491</v>
      </c>
      <c r="E81" s="278">
        <f>'Monthly Data'!BE81</f>
        <v>204.06249999999994</v>
      </c>
      <c r="F81" s="278">
        <f>'Monthly Data'!CG81</f>
        <v>0.5</v>
      </c>
      <c r="G81" s="278">
        <f>'Monthly Data'!AQ81</f>
        <v>208.6</v>
      </c>
      <c r="H81" s="278">
        <f>'Monthly Data'!CD81</f>
        <v>31</v>
      </c>
      <c r="J81" s="18">
        <f>'GS 1k-4,999 Predicted Monthly'!$T$10</f>
        <v>1142088.9328922699</v>
      </c>
      <c r="K81" s="18">
        <f>E81*'GS 1k-4,999 Predicted Monthly'!$T$11</f>
        <v>1825283.4774059171</v>
      </c>
      <c r="L81" s="18">
        <f>F81*'GS 1k-4,999 Predicted Monthly'!$T$12</f>
        <v>-696022.37621152995</v>
      </c>
      <c r="M81" s="18">
        <f>G81*'GS 1k-4,999 Predicted Monthly'!$T$13</f>
        <v>2516966.9638143484</v>
      </c>
      <c r="N81" s="18">
        <f>H81*'GS 1k-4,999 Predicted Monthly'!$T$14</f>
        <v>3521036.9894481138</v>
      </c>
      <c r="O81" s="18">
        <f t="shared" si="11"/>
        <v>8309353.987349119</v>
      </c>
      <c r="P81" s="18">
        <f t="shared" si="9"/>
        <v>-56639.688053430058</v>
      </c>
      <c r="Q81" s="279">
        <f t="shared" si="10"/>
        <v>6.7702284093233804E-3</v>
      </c>
      <c r="S81" s="18"/>
      <c r="V81" s="18"/>
      <c r="W81" s="18"/>
      <c r="X81" s="240"/>
    </row>
    <row r="82" spans="1:24" x14ac:dyDescent="0.25">
      <c r="A82" s="3">
        <f>'Monthly Data'!A82</f>
        <v>44440</v>
      </c>
      <c r="B82" s="1">
        <f t="shared" si="7"/>
        <v>2021</v>
      </c>
      <c r="C82" s="1">
        <f t="shared" si="8"/>
        <v>9</v>
      </c>
      <c r="D82" s="24">
        <f>'Monthly Data'!S82</f>
        <v>6409096.5814957926</v>
      </c>
      <c r="E82" s="278">
        <f>'Monthly Data'!BE82</f>
        <v>49.341666666666683</v>
      </c>
      <c r="F82" s="278">
        <f>'Monthly Data'!CG82</f>
        <v>0.5</v>
      </c>
      <c r="G82" s="278">
        <f>'Monthly Data'!AQ82</f>
        <v>212.9</v>
      </c>
      <c r="H82" s="278">
        <f>'Monthly Data'!CD82</f>
        <v>30</v>
      </c>
      <c r="J82" s="18">
        <f>'GS 1k-4,999 Predicted Monthly'!$T$10</f>
        <v>1142088.9328922699</v>
      </c>
      <c r="K82" s="18">
        <f>E82*'GS 1k-4,999 Predicted Monthly'!$T$11</f>
        <v>441347.76803350454</v>
      </c>
      <c r="L82" s="18">
        <f>F82*'GS 1k-4,999 Predicted Monthly'!$T$12</f>
        <v>-696022.37621152995</v>
      </c>
      <c r="M82" s="18">
        <f>G82*'GS 1k-4,999 Predicted Monthly'!$T$13</f>
        <v>2568850.7507002628</v>
      </c>
      <c r="N82" s="18">
        <f>H82*'GS 1k-4,999 Predicted Monthly'!$T$14</f>
        <v>3407455.1510788198</v>
      </c>
      <c r="O82" s="18">
        <f t="shared" si="11"/>
        <v>6863720.2264933269</v>
      </c>
      <c r="P82" s="18">
        <f t="shared" si="9"/>
        <v>454623.64499753434</v>
      </c>
      <c r="Q82" s="279">
        <f>ABS(P82/D82)</f>
        <v>7.0934122963619256E-2</v>
      </c>
      <c r="S82" s="18"/>
      <c r="V82" s="18"/>
      <c r="W82" s="18"/>
      <c r="X82" s="240"/>
    </row>
    <row r="83" spans="1:24" x14ac:dyDescent="0.25">
      <c r="A83" s="3">
        <f>'Monthly Data'!A83</f>
        <v>44470</v>
      </c>
      <c r="B83" s="1">
        <f t="shared" si="7"/>
        <v>2021</v>
      </c>
      <c r="C83" s="1">
        <f t="shared" si="8"/>
        <v>10</v>
      </c>
      <c r="D83" s="24">
        <f>'Monthly Data'!S83</f>
        <v>6889103.0725763496</v>
      </c>
      <c r="E83" s="278">
        <f>'Monthly Data'!BE83</f>
        <v>18.245833333333344</v>
      </c>
      <c r="F83" s="278">
        <f>'Monthly Data'!CG83</f>
        <v>0.5</v>
      </c>
      <c r="G83" s="278">
        <f>'Monthly Data'!AQ83</f>
        <v>217.2</v>
      </c>
      <c r="H83" s="278">
        <f>'Monthly Data'!CD83</f>
        <v>31</v>
      </c>
      <c r="J83" s="18">
        <f>'GS 1k-4,999 Predicted Monthly'!$T$10</f>
        <v>1142088.9328922699</v>
      </c>
      <c r="K83" s="18">
        <f>E83*'GS 1k-4,999 Predicted Monthly'!$T$11</f>
        <v>163204.00913855067</v>
      </c>
      <c r="L83" s="18">
        <f>F83*'GS 1k-4,999 Predicted Monthly'!$T$12</f>
        <v>-696022.37621152995</v>
      </c>
      <c r="M83" s="18">
        <f>G83*'GS 1k-4,999 Predicted Monthly'!$T$13</f>
        <v>2620734.5375861768</v>
      </c>
      <c r="N83" s="18">
        <f>H83*'GS 1k-4,999 Predicted Monthly'!$T$14</f>
        <v>3521036.9894481138</v>
      </c>
      <c r="O83" s="18">
        <f t="shared" si="11"/>
        <v>6751042.0928535815</v>
      </c>
      <c r="P83" s="18">
        <f t="shared" si="9"/>
        <v>-138060.97972276807</v>
      </c>
      <c r="Q83" s="279">
        <f t="shared" si="10"/>
        <v>2.0040486877363088E-2</v>
      </c>
      <c r="S83" s="18"/>
      <c r="V83" s="18"/>
      <c r="W83" s="18"/>
      <c r="X83" s="240"/>
    </row>
    <row r="84" spans="1:24" x14ac:dyDescent="0.25">
      <c r="A84" s="3">
        <f>'Monthly Data'!A84</f>
        <v>44501</v>
      </c>
      <c r="B84" s="1">
        <f t="shared" si="7"/>
        <v>2021</v>
      </c>
      <c r="C84" s="1">
        <f t="shared" si="8"/>
        <v>11</v>
      </c>
      <c r="D84" s="24">
        <f>'Monthly Data'!S84</f>
        <v>6744335.6859382633</v>
      </c>
      <c r="E84" s="278">
        <f>'Monthly Data'!BE84</f>
        <v>0</v>
      </c>
      <c r="F84" s="278">
        <f>'Monthly Data'!CG84</f>
        <v>0.5</v>
      </c>
      <c r="G84" s="278">
        <f>'Monthly Data'!AQ84</f>
        <v>222.6</v>
      </c>
      <c r="H84" s="278">
        <f>'Monthly Data'!CD84</f>
        <v>30</v>
      </c>
      <c r="J84" s="18">
        <f>'GS 1k-4,999 Predicted Monthly'!$T$10</f>
        <v>1142088.9328922699</v>
      </c>
      <c r="K84" s="18">
        <f>E84*'GS 1k-4,999 Predicted Monthly'!$T$11</f>
        <v>0</v>
      </c>
      <c r="L84" s="18">
        <f>F84*'GS 1k-4,999 Predicted Monthly'!$T$12</f>
        <v>-696022.37621152995</v>
      </c>
      <c r="M84" s="18">
        <f>G84*'GS 1k-4,999 Predicted Monthly'!$T$13</f>
        <v>2685890.9211173248</v>
      </c>
      <c r="N84" s="18">
        <f>H84*'GS 1k-4,999 Predicted Monthly'!$T$14</f>
        <v>3407455.1510788198</v>
      </c>
      <c r="O84" s="18">
        <f t="shared" si="11"/>
        <v>6539412.6288768845</v>
      </c>
      <c r="P84" s="18">
        <f t="shared" si="9"/>
        <v>-204923.05706137884</v>
      </c>
      <c r="Q84" s="279">
        <f t="shared" si="10"/>
        <v>3.0384468775573738E-2</v>
      </c>
      <c r="S84" s="18"/>
      <c r="V84" s="18"/>
      <c r="W84" s="18"/>
      <c r="X84" s="240"/>
    </row>
    <row r="85" spans="1:24" x14ac:dyDescent="0.25">
      <c r="A85" s="3">
        <f>'Monthly Data'!A85</f>
        <v>44531</v>
      </c>
      <c r="B85" s="1">
        <f t="shared" si="7"/>
        <v>2021</v>
      </c>
      <c r="C85" s="1">
        <f t="shared" si="8"/>
        <v>12</v>
      </c>
      <c r="D85" s="24">
        <f>'Monthly Data'!S85</f>
        <v>6128351.284929418</v>
      </c>
      <c r="E85" s="278">
        <f>'Monthly Data'!BE85</f>
        <v>0</v>
      </c>
      <c r="F85" s="278">
        <f>'Monthly Data'!CG85</f>
        <v>0.5</v>
      </c>
      <c r="G85" s="278">
        <f>'Monthly Data'!AQ85</f>
        <v>223.5</v>
      </c>
      <c r="H85" s="278">
        <f>'Monthly Data'!CD85</f>
        <v>31</v>
      </c>
      <c r="J85" s="18">
        <f>'GS 1k-4,999 Predicted Monthly'!$T$10</f>
        <v>1142088.9328922699</v>
      </c>
      <c r="K85" s="18">
        <f>E85*'GS 1k-4,999 Predicted Monthly'!$T$11</f>
        <v>0</v>
      </c>
      <c r="L85" s="18">
        <f>F85*'GS 1k-4,999 Predicted Monthly'!$T$12</f>
        <v>-696022.37621152995</v>
      </c>
      <c r="M85" s="18">
        <f>G85*'GS 1k-4,999 Predicted Monthly'!$T$13</f>
        <v>2696750.3183725164</v>
      </c>
      <c r="N85" s="18">
        <f>H85*'GS 1k-4,999 Predicted Monthly'!$T$14</f>
        <v>3521036.9894481138</v>
      </c>
      <c r="O85" s="18">
        <f t="shared" si="11"/>
        <v>6663853.8645013701</v>
      </c>
      <c r="P85" s="18">
        <f t="shared" si="9"/>
        <v>535502.57957195211</v>
      </c>
      <c r="Q85" s="279">
        <f t="shared" si="10"/>
        <v>8.7381182095229659E-2</v>
      </c>
      <c r="S85" s="18"/>
      <c r="V85" s="18"/>
      <c r="W85" s="18"/>
      <c r="X85" s="240"/>
    </row>
    <row r="86" spans="1:24" x14ac:dyDescent="0.25">
      <c r="A86" s="3">
        <f>'Monthly Data'!A86</f>
        <v>44562</v>
      </c>
      <c r="B86" s="1">
        <f t="shared" si="7"/>
        <v>2022</v>
      </c>
      <c r="C86" s="1">
        <f t="shared" si="8"/>
        <v>1</v>
      </c>
      <c r="D86" s="24">
        <f>'Monthly Data'!S86</f>
        <v>6906301.0009142747</v>
      </c>
      <c r="E86" s="278">
        <f>'Monthly Data'!BE86</f>
        <v>0</v>
      </c>
      <c r="F86" s="278">
        <f>'Monthly Data'!CG86</f>
        <v>0.25</v>
      </c>
      <c r="G86" s="278">
        <f>'Monthly Data'!AQ86</f>
        <v>221.3</v>
      </c>
      <c r="H86" s="278">
        <f>'Monthly Data'!CD86</f>
        <v>31</v>
      </c>
      <c r="J86" s="18">
        <f>'GS 1k-4,999 Predicted Monthly'!$T$10</f>
        <v>1142088.9328922699</v>
      </c>
      <c r="K86" s="18">
        <f>E86*'GS 1k-4,999 Predicted Monthly'!$T$11</f>
        <v>0</v>
      </c>
      <c r="L86" s="18">
        <f>F86*'GS 1k-4,999 Predicted Monthly'!$T$12</f>
        <v>-348011.18810576497</v>
      </c>
      <c r="M86" s="18">
        <f>G86*'GS 1k-4,999 Predicted Monthly'!$T$13</f>
        <v>2670205.1250820486</v>
      </c>
      <c r="N86" s="18">
        <f>H86*'GS 1k-4,999 Predicted Monthly'!$T$14</f>
        <v>3521036.9894481138</v>
      </c>
      <c r="O86" s="18">
        <f t="shared" si="11"/>
        <v>6985319.8593166675</v>
      </c>
      <c r="P86" s="18">
        <f t="shared" si="9"/>
        <v>79018.858402392827</v>
      </c>
      <c r="Q86" s="279">
        <f t="shared" si="10"/>
        <v>1.1441560162514217E-2</v>
      </c>
      <c r="S86" s="18"/>
      <c r="V86" s="18"/>
      <c r="W86" s="18"/>
      <c r="X86" s="240"/>
    </row>
    <row r="87" spans="1:24" x14ac:dyDescent="0.25">
      <c r="A87" s="3">
        <f>'Monthly Data'!A87</f>
        <v>44593</v>
      </c>
      <c r="B87" s="1">
        <f t="shared" si="7"/>
        <v>2022</v>
      </c>
      <c r="C87" s="1">
        <f t="shared" si="8"/>
        <v>2</v>
      </c>
      <c r="D87" s="24">
        <f>'Monthly Data'!S87</f>
        <v>7158851.9016371276</v>
      </c>
      <c r="E87" s="278">
        <f>'Monthly Data'!BE87</f>
        <v>0</v>
      </c>
      <c r="F87" s="278">
        <f>'Monthly Data'!CG87</f>
        <v>0.25</v>
      </c>
      <c r="G87" s="278">
        <f>'Monthly Data'!AQ87</f>
        <v>221.3</v>
      </c>
      <c r="H87" s="278">
        <f>'Monthly Data'!CD87</f>
        <v>28</v>
      </c>
      <c r="J87" s="18">
        <f>'GS 1k-4,999 Predicted Monthly'!$T$10</f>
        <v>1142088.9328922699</v>
      </c>
      <c r="K87" s="18">
        <f>E87*'GS 1k-4,999 Predicted Monthly'!$T$11</f>
        <v>0</v>
      </c>
      <c r="L87" s="18">
        <f>F87*'GS 1k-4,999 Predicted Monthly'!$T$12</f>
        <v>-348011.18810576497</v>
      </c>
      <c r="M87" s="18">
        <f>G87*'GS 1k-4,999 Predicted Monthly'!$T$13</f>
        <v>2670205.1250820486</v>
      </c>
      <c r="N87" s="18">
        <f>H87*'GS 1k-4,999 Predicted Monthly'!$T$14</f>
        <v>3180291.4743402321</v>
      </c>
      <c r="O87" s="18">
        <f t="shared" si="11"/>
        <v>6644574.3442087853</v>
      </c>
      <c r="P87" s="18">
        <f t="shared" si="9"/>
        <v>-514277.55742834229</v>
      </c>
      <c r="Q87" s="279">
        <f t="shared" si="10"/>
        <v>7.1837993646821266E-2</v>
      </c>
      <c r="S87" s="18"/>
      <c r="V87" s="18"/>
      <c r="W87" s="18"/>
      <c r="X87" s="240"/>
    </row>
    <row r="88" spans="1:24" x14ac:dyDescent="0.25">
      <c r="A88" s="3">
        <f>'Monthly Data'!A88</f>
        <v>44621</v>
      </c>
      <c r="B88" s="1">
        <f t="shared" si="7"/>
        <v>2022</v>
      </c>
      <c r="C88" s="1">
        <f t="shared" si="8"/>
        <v>3</v>
      </c>
      <c r="D88" s="24">
        <f>'Monthly Data'!S88</f>
        <v>7057935.0318071265</v>
      </c>
      <c r="E88" s="278">
        <f>'Monthly Data'!BE88</f>
        <v>0</v>
      </c>
      <c r="F88" s="278">
        <f>'Monthly Data'!CG88</f>
        <v>0.25</v>
      </c>
      <c r="G88" s="278">
        <f>'Monthly Data'!AQ88</f>
        <v>222.7</v>
      </c>
      <c r="H88" s="278">
        <f>'Monthly Data'!CD88</f>
        <v>31</v>
      </c>
      <c r="J88" s="18">
        <f>'GS 1k-4,999 Predicted Monthly'!$T$10</f>
        <v>1142088.9328922699</v>
      </c>
      <c r="K88" s="18">
        <f>E88*'GS 1k-4,999 Predicted Monthly'!$T$11</f>
        <v>0</v>
      </c>
      <c r="L88" s="18">
        <f>F88*'GS 1k-4,999 Predicted Monthly'!$T$12</f>
        <v>-348011.18810576497</v>
      </c>
      <c r="M88" s="18">
        <f>G88*'GS 1k-4,999 Predicted Monthly'!$T$13</f>
        <v>2687097.5208123461</v>
      </c>
      <c r="N88" s="18">
        <f>H88*'GS 1k-4,999 Predicted Monthly'!$T$14</f>
        <v>3521036.9894481138</v>
      </c>
      <c r="O88" s="18">
        <f t="shared" si="11"/>
        <v>7002212.2550469656</v>
      </c>
      <c r="P88" s="18">
        <f t="shared" si="9"/>
        <v>-55722.776760160923</v>
      </c>
      <c r="Q88" s="279">
        <f t="shared" si="10"/>
        <v>7.8950537953440987E-3</v>
      </c>
      <c r="S88" s="18"/>
    </row>
    <row r="89" spans="1:24" x14ac:dyDescent="0.25">
      <c r="A89" s="3">
        <f>'Monthly Data'!A89</f>
        <v>44652</v>
      </c>
      <c r="B89" s="1">
        <f t="shared" si="7"/>
        <v>2022</v>
      </c>
      <c r="C89" s="1">
        <f t="shared" si="8"/>
        <v>4</v>
      </c>
      <c r="D89" s="24">
        <f>'Monthly Data'!S89</f>
        <v>6934624.7238631817</v>
      </c>
      <c r="E89" s="278">
        <f>'Monthly Data'!BE89</f>
        <v>0</v>
      </c>
      <c r="F89" s="278">
        <f>'Monthly Data'!CG89</f>
        <v>0.25</v>
      </c>
      <c r="G89" s="278">
        <f>'Monthly Data'!AQ89</f>
        <v>227.3</v>
      </c>
      <c r="H89" s="278">
        <f>'Monthly Data'!CD89</f>
        <v>30</v>
      </c>
      <c r="J89" s="18">
        <f>'GS 1k-4,999 Predicted Monthly'!$T$10</f>
        <v>1142088.9328922699</v>
      </c>
      <c r="K89" s="18">
        <f>E89*'GS 1k-4,999 Predicted Monthly'!$T$11</f>
        <v>0</v>
      </c>
      <c r="L89" s="18">
        <f>F89*'GS 1k-4,999 Predicted Monthly'!$T$12</f>
        <v>-348011.18810576497</v>
      </c>
      <c r="M89" s="18">
        <f>G89*'GS 1k-4,999 Predicted Monthly'!$T$13</f>
        <v>2742601.1067833244</v>
      </c>
      <c r="N89" s="18">
        <f>H89*'GS 1k-4,999 Predicted Monthly'!$T$14</f>
        <v>3407455.1510788198</v>
      </c>
      <c r="O89" s="18">
        <f t="shared" si="11"/>
        <v>6944134.0026486497</v>
      </c>
      <c r="P89" s="18">
        <f t="shared" si="9"/>
        <v>9509.2787854680791</v>
      </c>
      <c r="Q89" s="279">
        <f t="shared" si="10"/>
        <v>1.3712751827427792E-3</v>
      </c>
      <c r="X89" s="286"/>
    </row>
    <row r="90" spans="1:24" x14ac:dyDescent="0.25">
      <c r="A90" s="3">
        <f>'Monthly Data'!A90</f>
        <v>44682</v>
      </c>
      <c r="B90" s="1">
        <f t="shared" si="7"/>
        <v>2022</v>
      </c>
      <c r="C90" s="1">
        <f t="shared" si="8"/>
        <v>5</v>
      </c>
      <c r="D90" s="24">
        <f>'Monthly Data'!S90</f>
        <v>7873872.1026663976</v>
      </c>
      <c r="E90" s="278">
        <f>'Monthly Data'!BE90</f>
        <v>41.6875</v>
      </c>
      <c r="F90" s="278">
        <f>'Monthly Data'!CG90</f>
        <v>0.25</v>
      </c>
      <c r="G90" s="278">
        <f>'Monthly Data'!AQ90</f>
        <v>229.3</v>
      </c>
      <c r="H90" s="278">
        <f>'Monthly Data'!CD90</f>
        <v>31</v>
      </c>
      <c r="J90" s="18">
        <f>'GS 1k-4,999 Predicted Monthly'!$T$10</f>
        <v>1142088.9328922699</v>
      </c>
      <c r="K90" s="18">
        <f>E90*'GS 1k-4,999 Predicted Monthly'!$T$11</f>
        <v>372883.33213774796</v>
      </c>
      <c r="L90" s="18">
        <f>F90*'GS 1k-4,999 Predicted Monthly'!$T$12</f>
        <v>-348011.18810576497</v>
      </c>
      <c r="M90" s="18">
        <f>G90*'GS 1k-4,999 Predicted Monthly'!$T$13</f>
        <v>2766733.1006837497</v>
      </c>
      <c r="N90" s="18">
        <f>H90*'GS 1k-4,999 Predicted Monthly'!$T$14</f>
        <v>3521036.9894481138</v>
      </c>
      <c r="O90" s="18">
        <f t="shared" si="11"/>
        <v>7454731.1670561163</v>
      </c>
      <c r="P90" s="18">
        <f t="shared" si="9"/>
        <v>-419140.9356102813</v>
      </c>
      <c r="Q90" s="279">
        <f t="shared" si="10"/>
        <v>5.323186992945237E-2</v>
      </c>
    </row>
    <row r="91" spans="1:24" x14ac:dyDescent="0.25">
      <c r="A91" s="3">
        <f>'Monthly Data'!A91</f>
        <v>44713</v>
      </c>
      <c r="B91" s="1">
        <f t="shared" si="7"/>
        <v>2022</v>
      </c>
      <c r="C91" s="1">
        <f t="shared" si="8"/>
        <v>6</v>
      </c>
      <c r="D91" s="24">
        <f>'Monthly Data'!S91</f>
        <v>8319473.4229810853</v>
      </c>
      <c r="E91" s="278">
        <f>'Monthly Data'!BE91</f>
        <v>67.11282467532466</v>
      </c>
      <c r="F91" s="278">
        <f>'Monthly Data'!CG91</f>
        <v>0.25</v>
      </c>
      <c r="G91" s="278">
        <f>'Monthly Data'!AQ91</f>
        <v>229.9</v>
      </c>
      <c r="H91" s="278">
        <f>'Monthly Data'!CD91</f>
        <v>30</v>
      </c>
      <c r="J91" s="18">
        <f>'GS 1k-4,999 Predicted Monthly'!$T$10</f>
        <v>1142088.9328922699</v>
      </c>
      <c r="K91" s="18">
        <f>E91*'GS 1k-4,999 Predicted Monthly'!$T$11</f>
        <v>600305.93569083139</v>
      </c>
      <c r="L91" s="18">
        <f>F91*'GS 1k-4,999 Predicted Monthly'!$T$12</f>
        <v>-348011.18810576497</v>
      </c>
      <c r="M91" s="18">
        <f>G91*'GS 1k-4,999 Predicted Monthly'!$T$13</f>
        <v>2773972.6988538769</v>
      </c>
      <c r="N91" s="18">
        <f>H91*'GS 1k-4,999 Predicted Monthly'!$T$14</f>
        <v>3407455.1510788198</v>
      </c>
      <c r="O91" s="18">
        <f t="shared" si="11"/>
        <v>7575811.5304100327</v>
      </c>
      <c r="P91" s="18">
        <f t="shared" si="9"/>
        <v>-743661.89257105254</v>
      </c>
      <c r="Q91" s="279">
        <f t="shared" si="10"/>
        <v>8.938809642889381E-2</v>
      </c>
    </row>
    <row r="92" spans="1:24" x14ac:dyDescent="0.25">
      <c r="A92" s="3">
        <f>'Monthly Data'!A92</f>
        <v>44743</v>
      </c>
      <c r="B92" s="1">
        <f t="shared" si="7"/>
        <v>2022</v>
      </c>
      <c r="C92" s="1">
        <f t="shared" si="8"/>
        <v>7</v>
      </c>
      <c r="D92" s="24">
        <f>'Monthly Data'!S92</f>
        <v>8824616.3377139345</v>
      </c>
      <c r="E92" s="278">
        <f>'Monthly Data'!BE92</f>
        <v>159.8543382913806</v>
      </c>
      <c r="F92" s="278">
        <f>'Monthly Data'!CG92</f>
        <v>0.25</v>
      </c>
      <c r="G92" s="278">
        <f>'Monthly Data'!AQ92</f>
        <v>228.8</v>
      </c>
      <c r="H92" s="278">
        <f>'Monthly Data'!CD92</f>
        <v>31</v>
      </c>
      <c r="J92" s="18">
        <f>'GS 1k-4,999 Predicted Monthly'!$T$10</f>
        <v>1142088.9328922699</v>
      </c>
      <c r="K92" s="18">
        <f>E92*'GS 1k-4,999 Predicted Monthly'!$T$11</f>
        <v>1429853.5128939082</v>
      </c>
      <c r="L92" s="18">
        <f>F92*'GS 1k-4,999 Predicted Monthly'!$T$12</f>
        <v>-348011.18810576497</v>
      </c>
      <c r="M92" s="18">
        <f>G92*'GS 1k-4,999 Predicted Monthly'!$T$13</f>
        <v>2760700.1022086432</v>
      </c>
      <c r="N92" s="18">
        <f>H92*'GS 1k-4,999 Predicted Monthly'!$T$14</f>
        <v>3521036.9894481138</v>
      </c>
      <c r="O92" s="18">
        <f t="shared" si="11"/>
        <v>8505668.3493371699</v>
      </c>
      <c r="P92" s="18">
        <f t="shared" si="9"/>
        <v>-318947.98837676458</v>
      </c>
      <c r="Q92" s="279">
        <f t="shared" si="10"/>
        <v>3.6142986411054533E-2</v>
      </c>
    </row>
    <row r="93" spans="1:24" x14ac:dyDescent="0.25">
      <c r="A93" s="3">
        <f>'Monthly Data'!A93</f>
        <v>44774</v>
      </c>
      <c r="B93" s="1">
        <f t="shared" si="7"/>
        <v>2022</v>
      </c>
      <c r="C93" s="1">
        <f t="shared" si="8"/>
        <v>8</v>
      </c>
      <c r="D93" s="24">
        <f>'Monthly Data'!S93</f>
        <v>8324973.3981702216</v>
      </c>
      <c r="E93" s="278">
        <f>'Monthly Data'!BE93</f>
        <v>166.28333333333327</v>
      </c>
      <c r="F93" s="278">
        <f>'Monthly Data'!CG93</f>
        <v>0.25</v>
      </c>
      <c r="G93" s="278">
        <f>'Monthly Data'!AQ93</f>
        <v>227.3</v>
      </c>
      <c r="H93" s="278">
        <f>'Monthly Data'!CD93</f>
        <v>31</v>
      </c>
      <c r="J93" s="18">
        <f>'GS 1k-4,999 Predicted Monthly'!$T$10</f>
        <v>1142088.9328922699</v>
      </c>
      <c r="K93" s="18">
        <f>E93*'GS 1k-4,999 Predicted Monthly'!$T$11</f>
        <v>1487359.1223341569</v>
      </c>
      <c r="L93" s="18">
        <f>F93*'GS 1k-4,999 Predicted Monthly'!$T$12</f>
        <v>-348011.18810576497</v>
      </c>
      <c r="M93" s="18">
        <f>G93*'GS 1k-4,999 Predicted Monthly'!$T$13</f>
        <v>2742601.1067833244</v>
      </c>
      <c r="N93" s="18">
        <f>H93*'GS 1k-4,999 Predicted Monthly'!$T$14</f>
        <v>3521036.9894481138</v>
      </c>
      <c r="O93" s="18">
        <f t="shared" si="11"/>
        <v>8545074.9633520991</v>
      </c>
      <c r="P93" s="18">
        <f t="shared" si="9"/>
        <v>220101.56518187746</v>
      </c>
      <c r="Q93" s="279">
        <f t="shared" si="10"/>
        <v>2.6438710930926753E-2</v>
      </c>
    </row>
    <row r="94" spans="1:24" x14ac:dyDescent="0.25">
      <c r="A94" s="3">
        <f>'Monthly Data'!A94</f>
        <v>44805</v>
      </c>
      <c r="B94" s="1">
        <f t="shared" si="7"/>
        <v>2022</v>
      </c>
      <c r="C94" s="1">
        <f t="shared" si="8"/>
        <v>9</v>
      </c>
      <c r="D94" s="24">
        <f>'Monthly Data'!S94</f>
        <v>8116264.8044103524</v>
      </c>
      <c r="E94" s="278">
        <f>'Monthly Data'!BE94</f>
        <v>56.250000000000007</v>
      </c>
      <c r="F94" s="278">
        <f>'Monthly Data'!CG94</f>
        <v>0.25</v>
      </c>
      <c r="G94" s="278">
        <f>'Monthly Data'!AQ94</f>
        <v>226</v>
      </c>
      <c r="H94" s="278">
        <f>'Monthly Data'!CD94</f>
        <v>30</v>
      </c>
      <c r="J94" s="18">
        <f>'GS 1k-4,999 Predicted Monthly'!$T$10</f>
        <v>1142088.9328922699</v>
      </c>
      <c r="K94" s="18">
        <f>E94*'GS 1k-4,999 Predicted Monthly'!$T$11</f>
        <v>503140.92792199884</v>
      </c>
      <c r="L94" s="18">
        <f>F94*'GS 1k-4,999 Predicted Monthly'!$T$12</f>
        <v>-348011.18810576497</v>
      </c>
      <c r="M94" s="18">
        <f>G94*'GS 1k-4,999 Predicted Monthly'!$T$13</f>
        <v>2726915.3107480477</v>
      </c>
      <c r="N94" s="18">
        <f>H94*'GS 1k-4,999 Predicted Monthly'!$T$14</f>
        <v>3407455.1510788198</v>
      </c>
      <c r="O94" s="18">
        <f t="shared" si="11"/>
        <v>7431589.1345353704</v>
      </c>
      <c r="P94" s="18">
        <f t="shared" si="9"/>
        <v>-684675.66987498198</v>
      </c>
      <c r="Q94" s="279">
        <f t="shared" si="10"/>
        <v>8.4358468627456731E-2</v>
      </c>
    </row>
    <row r="95" spans="1:24" x14ac:dyDescent="0.25">
      <c r="A95" s="3">
        <f>'Monthly Data'!A95</f>
        <v>44835</v>
      </c>
      <c r="B95" s="1">
        <f t="shared" si="7"/>
        <v>2022</v>
      </c>
      <c r="C95" s="1">
        <f t="shared" si="8"/>
        <v>10</v>
      </c>
      <c r="D95" s="24">
        <f>'Monthly Data'!S95</f>
        <v>8408453.1170397643</v>
      </c>
      <c r="E95" s="278">
        <f>'Monthly Data'!BE95</f>
        <v>0</v>
      </c>
      <c r="F95" s="278">
        <f>'Monthly Data'!CG95</f>
        <v>0.25</v>
      </c>
      <c r="G95" s="278">
        <f>'Monthly Data'!AQ95</f>
        <v>226.2</v>
      </c>
      <c r="H95" s="278">
        <f>'Monthly Data'!CD95</f>
        <v>31</v>
      </c>
      <c r="J95" s="18">
        <f>'GS 1k-4,999 Predicted Monthly'!$T$10</f>
        <v>1142088.9328922699</v>
      </c>
      <c r="K95" s="18">
        <f>E95*'GS 1k-4,999 Predicted Monthly'!$T$11</f>
        <v>0</v>
      </c>
      <c r="L95" s="18">
        <f>F95*'GS 1k-4,999 Predicted Monthly'!$T$12</f>
        <v>-348011.18810576497</v>
      </c>
      <c r="M95" s="18">
        <f>G95*'GS 1k-4,999 Predicted Monthly'!$T$13</f>
        <v>2729328.5101380902</v>
      </c>
      <c r="N95" s="18">
        <f>H95*'GS 1k-4,999 Predicted Monthly'!$T$14</f>
        <v>3521036.9894481138</v>
      </c>
      <c r="O95" s="18">
        <f t="shared" si="11"/>
        <v>7044443.2443727087</v>
      </c>
      <c r="P95" s="18">
        <f t="shared" si="9"/>
        <v>-1364009.8726670556</v>
      </c>
      <c r="Q95" s="279">
        <f t="shared" si="10"/>
        <v>0.16221888303127766</v>
      </c>
    </row>
    <row r="96" spans="1:24" x14ac:dyDescent="0.25">
      <c r="A96" s="3">
        <f>'Monthly Data'!A96</f>
        <v>44866</v>
      </c>
      <c r="B96" s="1">
        <f t="shared" si="7"/>
        <v>2022</v>
      </c>
      <c r="C96" s="1">
        <f t="shared" si="8"/>
        <v>11</v>
      </c>
      <c r="D96" s="24">
        <f>'Monthly Data'!S96</f>
        <v>7440054.2619402809</v>
      </c>
      <c r="E96" s="278">
        <f>'Monthly Data'!BE96</f>
        <v>0</v>
      </c>
      <c r="F96" s="278">
        <f>'Monthly Data'!CG96</f>
        <v>0.25</v>
      </c>
      <c r="G96" s="278">
        <f>'Monthly Data'!AQ96</f>
        <v>225.9</v>
      </c>
      <c r="H96" s="278">
        <f>'Monthly Data'!CD96</f>
        <v>30</v>
      </c>
      <c r="J96" s="18">
        <f>'GS 1k-4,999 Predicted Monthly'!$T$10</f>
        <v>1142088.9328922699</v>
      </c>
      <c r="K96" s="18">
        <f>E96*'GS 1k-4,999 Predicted Monthly'!$T$11</f>
        <v>0</v>
      </c>
      <c r="L96" s="18">
        <f>F96*'GS 1k-4,999 Predicted Monthly'!$T$12</f>
        <v>-348011.18810576497</v>
      </c>
      <c r="M96" s="18">
        <f>G96*'GS 1k-4,999 Predicted Monthly'!$T$13</f>
        <v>2725708.7110530264</v>
      </c>
      <c r="N96" s="18">
        <f>H96*'GS 1k-4,999 Predicted Monthly'!$T$14</f>
        <v>3407455.1510788198</v>
      </c>
      <c r="O96" s="18">
        <f t="shared" si="11"/>
        <v>6927241.6069183517</v>
      </c>
      <c r="P96" s="18">
        <f t="shared" si="9"/>
        <v>-512812.65502192918</v>
      </c>
      <c r="Q96" s="279">
        <f t="shared" si="10"/>
        <v>6.892592943108368E-2</v>
      </c>
    </row>
    <row r="97" spans="1:17" x14ac:dyDescent="0.25">
      <c r="A97" s="3">
        <f>'Monthly Data'!A97</f>
        <v>44896</v>
      </c>
      <c r="B97" s="1">
        <f t="shared" si="7"/>
        <v>2022</v>
      </c>
      <c r="C97" s="1">
        <f t="shared" si="8"/>
        <v>12</v>
      </c>
      <c r="D97" s="24">
        <f>'Monthly Data'!S97</f>
        <v>7186855.0292048287</v>
      </c>
      <c r="E97" s="278">
        <f>'Monthly Data'!BE97</f>
        <v>0</v>
      </c>
      <c r="F97" s="278">
        <f>'Monthly Data'!CG97</f>
        <v>0.25</v>
      </c>
      <c r="G97" s="278">
        <f>'Monthly Data'!AQ97</f>
        <v>227.6</v>
      </c>
      <c r="H97" s="278">
        <f>'Monthly Data'!CD97</f>
        <v>31</v>
      </c>
      <c r="J97" s="18">
        <f>'GS 1k-4,999 Predicted Monthly'!$T$10</f>
        <v>1142088.9328922699</v>
      </c>
      <c r="K97" s="18">
        <f>E97*'GS 1k-4,999 Predicted Monthly'!$T$11</f>
        <v>0</v>
      </c>
      <c r="L97" s="18">
        <f>F97*'GS 1k-4,999 Predicted Monthly'!$T$12</f>
        <v>-348011.18810576497</v>
      </c>
      <c r="M97" s="18">
        <f>G97*'GS 1k-4,999 Predicted Monthly'!$T$13</f>
        <v>2746220.9058683878</v>
      </c>
      <c r="N97" s="18">
        <f>H97*'GS 1k-4,999 Predicted Monthly'!$T$14</f>
        <v>3521036.9894481138</v>
      </c>
      <c r="O97" s="18">
        <f t="shared" si="11"/>
        <v>7061335.6401030067</v>
      </c>
      <c r="P97" s="18">
        <f t="shared" si="9"/>
        <v>-125519.38910182193</v>
      </c>
      <c r="Q97" s="279">
        <f t="shared" si="10"/>
        <v>1.7465134414393454E-2</v>
      </c>
    </row>
    <row r="98" spans="1:17" x14ac:dyDescent="0.25">
      <c r="A98" s="3">
        <f>'Monthly Data'!A98</f>
        <v>44927</v>
      </c>
      <c r="B98" s="1">
        <f t="shared" si="7"/>
        <v>2023</v>
      </c>
      <c r="C98" s="1">
        <f t="shared" si="8"/>
        <v>1</v>
      </c>
      <c r="D98" s="24">
        <f>'Monthly Data'!S98</f>
        <v>7297519.824448091</v>
      </c>
      <c r="E98" s="278">
        <f>'Monthly Data'!BE98</f>
        <v>0</v>
      </c>
      <c r="F98" s="278">
        <f>'Monthly Data'!CG98</f>
        <v>0</v>
      </c>
      <c r="G98" s="278">
        <f>'Monthly Data'!AQ98</f>
        <v>228.9</v>
      </c>
      <c r="H98" s="278">
        <f>'Monthly Data'!CD98</f>
        <v>31</v>
      </c>
      <c r="J98" s="18">
        <f>'GS 1k-4,999 Predicted Monthly'!$T$10</f>
        <v>1142088.9328922699</v>
      </c>
      <c r="K98" s="18">
        <f>E98*'GS 1k-4,999 Predicted Monthly'!$T$11</f>
        <v>0</v>
      </c>
      <c r="L98" s="18">
        <f>F98*'GS 1k-4,999 Predicted Monthly'!$T$12</f>
        <v>0</v>
      </c>
      <c r="M98" s="18">
        <f>G98*'GS 1k-4,999 Predicted Monthly'!$T$13</f>
        <v>2761906.7019036645</v>
      </c>
      <c r="N98" s="18">
        <f>H98*'GS 1k-4,999 Predicted Monthly'!$T$14</f>
        <v>3521036.9894481138</v>
      </c>
      <c r="O98" s="18">
        <f t="shared" si="11"/>
        <v>7425032.6242440483</v>
      </c>
      <c r="P98" s="18">
        <f t="shared" ref="P98:P121" si="12">O98-D98</f>
        <v>127512.79979595728</v>
      </c>
      <c r="Q98" s="279">
        <f t="shared" ref="Q98:Q121" si="13">ABS(P98/D98)</f>
        <v>1.7473443425088747E-2</v>
      </c>
    </row>
    <row r="99" spans="1:17" x14ac:dyDescent="0.25">
      <c r="A99" s="3">
        <f>'Monthly Data'!A99</f>
        <v>44958</v>
      </c>
      <c r="B99" s="1">
        <f t="shared" si="7"/>
        <v>2023</v>
      </c>
      <c r="C99" s="1">
        <f t="shared" si="8"/>
        <v>2</v>
      </c>
      <c r="D99" s="24">
        <f>'Monthly Data'!S99</f>
        <v>7161447.3370062616</v>
      </c>
      <c r="E99" s="278">
        <f>'Monthly Data'!BE99</f>
        <v>0</v>
      </c>
      <c r="F99" s="278">
        <f>'Monthly Data'!CG99</f>
        <v>0</v>
      </c>
      <c r="G99" s="278">
        <f>'Monthly Data'!AQ99</f>
        <v>229.5</v>
      </c>
      <c r="H99" s="278">
        <f>'Monthly Data'!CD99</f>
        <v>28</v>
      </c>
      <c r="J99" s="18">
        <f>'GS 1k-4,999 Predicted Monthly'!$T$10</f>
        <v>1142088.9328922699</v>
      </c>
      <c r="K99" s="18">
        <f>E99*'GS 1k-4,999 Predicted Monthly'!$T$11</f>
        <v>0</v>
      </c>
      <c r="L99" s="18">
        <f>F99*'GS 1k-4,999 Predicted Monthly'!$T$12</f>
        <v>0</v>
      </c>
      <c r="M99" s="18">
        <f>G99*'GS 1k-4,999 Predicted Monthly'!$T$13</f>
        <v>2769146.3000737918</v>
      </c>
      <c r="N99" s="18">
        <f>H99*'GS 1k-4,999 Predicted Monthly'!$T$14</f>
        <v>3180291.4743402321</v>
      </c>
      <c r="O99" s="18">
        <f t="shared" si="11"/>
        <v>7091526.7073062938</v>
      </c>
      <c r="P99" s="18">
        <f t="shared" si="12"/>
        <v>-69920.629699967802</v>
      </c>
      <c r="Q99" s="279">
        <f t="shared" si="13"/>
        <v>9.7634774661621813E-3</v>
      </c>
    </row>
    <row r="100" spans="1:17" x14ac:dyDescent="0.25">
      <c r="A100" s="3">
        <f>'Monthly Data'!A100</f>
        <v>44986</v>
      </c>
      <c r="B100" s="1">
        <f t="shared" si="7"/>
        <v>2023</v>
      </c>
      <c r="C100" s="1">
        <f t="shared" si="8"/>
        <v>3</v>
      </c>
      <c r="D100" s="24">
        <f>'Monthly Data'!S100</f>
        <v>6776150.5893926928</v>
      </c>
      <c r="E100" s="278">
        <f>'Monthly Data'!BE100</f>
        <v>0</v>
      </c>
      <c r="F100" s="278">
        <f>'Monthly Data'!CG100</f>
        <v>0</v>
      </c>
      <c r="G100" s="278">
        <f>'Monthly Data'!AQ100</f>
        <v>226.7</v>
      </c>
      <c r="H100" s="278">
        <f>'Monthly Data'!CD100</f>
        <v>31</v>
      </c>
      <c r="J100" s="18">
        <f>'GS 1k-4,999 Predicted Monthly'!$T$10</f>
        <v>1142088.9328922699</v>
      </c>
      <c r="K100" s="18">
        <f>E100*'GS 1k-4,999 Predicted Monthly'!$T$11</f>
        <v>0</v>
      </c>
      <c r="L100" s="18">
        <f>F100*'GS 1k-4,999 Predicted Monthly'!$T$12</f>
        <v>0</v>
      </c>
      <c r="M100" s="18">
        <f>G100*'GS 1k-4,999 Predicted Monthly'!$T$13</f>
        <v>2735361.5086131962</v>
      </c>
      <c r="N100" s="18">
        <f>H100*'GS 1k-4,999 Predicted Monthly'!$T$14</f>
        <v>3521036.9894481138</v>
      </c>
      <c r="O100" s="18">
        <f t="shared" si="11"/>
        <v>7398487.43095358</v>
      </c>
      <c r="P100" s="18">
        <f t="shared" si="12"/>
        <v>622336.84156088717</v>
      </c>
      <c r="Q100" s="279">
        <f t="shared" si="13"/>
        <v>9.1842238945380877E-2</v>
      </c>
    </row>
    <row r="101" spans="1:17" x14ac:dyDescent="0.25">
      <c r="A101" s="3">
        <f>'Monthly Data'!A101</f>
        <v>45017</v>
      </c>
      <c r="B101" s="1">
        <f t="shared" si="7"/>
        <v>2023</v>
      </c>
      <c r="C101" s="1">
        <f t="shared" si="8"/>
        <v>4</v>
      </c>
      <c r="D101" s="24">
        <f>'Monthly Data'!S101</f>
        <v>6947073.5590222785</v>
      </c>
      <c r="E101" s="278">
        <f>'Monthly Data'!BE101</f>
        <v>1.75833333333334</v>
      </c>
      <c r="F101" s="278">
        <f>'Monthly Data'!CG101</f>
        <v>0</v>
      </c>
      <c r="G101" s="278">
        <f>'Monthly Data'!AQ101</f>
        <v>223.9</v>
      </c>
      <c r="H101" s="278">
        <f>'Monthly Data'!CD101</f>
        <v>30</v>
      </c>
      <c r="J101" s="18">
        <f>'GS 1k-4,999 Predicted Monthly'!$T$10</f>
        <v>1142088.9328922699</v>
      </c>
      <c r="K101" s="18">
        <f>E101*'GS 1k-4,999 Predicted Monthly'!$T$11</f>
        <v>15727.812709858094</v>
      </c>
      <c r="L101" s="18">
        <f>F101*'GS 1k-4,999 Predicted Monthly'!$T$12</f>
        <v>0</v>
      </c>
      <c r="M101" s="18">
        <f>G101*'GS 1k-4,999 Predicted Monthly'!$T$13</f>
        <v>2701576.7171526011</v>
      </c>
      <c r="N101" s="18">
        <f>H101*'GS 1k-4,999 Predicted Monthly'!$T$14</f>
        <v>3407455.1510788198</v>
      </c>
      <c r="O101" s="18">
        <f t="shared" si="11"/>
        <v>7266848.6138335485</v>
      </c>
      <c r="P101" s="18">
        <f t="shared" si="12"/>
        <v>319775.05481126998</v>
      </c>
      <c r="Q101" s="279">
        <f t="shared" si="13"/>
        <v>4.6030181211479018E-2</v>
      </c>
    </row>
    <row r="102" spans="1:17" x14ac:dyDescent="0.25">
      <c r="A102" s="3">
        <f>'Monthly Data'!A102</f>
        <v>45047</v>
      </c>
      <c r="B102" s="1">
        <f t="shared" si="7"/>
        <v>2023</v>
      </c>
      <c r="C102" s="1">
        <f t="shared" si="8"/>
        <v>5</v>
      </c>
      <c r="D102" s="24">
        <f>'Monthly Data'!S102</f>
        <v>7200001.0531606339</v>
      </c>
      <c r="E102" s="278">
        <f>'Monthly Data'!BE102</f>
        <v>19.570833333333329</v>
      </c>
      <c r="F102" s="278">
        <f>'Monthly Data'!CG102</f>
        <v>0</v>
      </c>
      <c r="G102" s="278">
        <f>'Monthly Data'!AQ102</f>
        <v>220</v>
      </c>
      <c r="H102" s="278">
        <f>'Monthly Data'!CD102</f>
        <v>31</v>
      </c>
      <c r="J102" s="18">
        <f>'GS 1k-4,999 Predicted Monthly'!$T$10</f>
        <v>1142088.9328922699</v>
      </c>
      <c r="K102" s="18">
        <f>E102*'GS 1k-4,999 Predicted Monthly'!$T$11</f>
        <v>175055.77321849094</v>
      </c>
      <c r="L102" s="18">
        <f>F102*'GS 1k-4,999 Predicted Monthly'!$T$12</f>
        <v>0</v>
      </c>
      <c r="M102" s="18">
        <f>G102*'GS 1k-4,999 Predicted Monthly'!$T$13</f>
        <v>2654519.3290467723</v>
      </c>
      <c r="N102" s="18">
        <f>H102*'GS 1k-4,999 Predicted Monthly'!$T$14</f>
        <v>3521036.9894481138</v>
      </c>
      <c r="O102" s="18">
        <f t="shared" si="11"/>
        <v>7492701.0246056467</v>
      </c>
      <c r="P102" s="18">
        <f t="shared" si="12"/>
        <v>292699.97144501284</v>
      </c>
      <c r="Q102" s="279">
        <f t="shared" si="13"/>
        <v>4.0652767865433065E-2</v>
      </c>
    </row>
    <row r="103" spans="1:17" x14ac:dyDescent="0.25">
      <c r="A103" s="3">
        <f>'Monthly Data'!A103</f>
        <v>45078</v>
      </c>
      <c r="B103" s="1">
        <f t="shared" si="7"/>
        <v>2023</v>
      </c>
      <c r="C103" s="1">
        <f t="shared" si="8"/>
        <v>6</v>
      </c>
      <c r="D103" s="24">
        <f>'Monthly Data'!S103</f>
        <v>7964036.4040014911</v>
      </c>
      <c r="E103" s="278">
        <f>'Monthly Data'!BE103</f>
        <v>89.8125</v>
      </c>
      <c r="F103" s="278">
        <f>'Monthly Data'!CG103</f>
        <v>0</v>
      </c>
      <c r="G103" s="278">
        <f>'Monthly Data'!AQ103</f>
        <v>220.4</v>
      </c>
      <c r="H103" s="278">
        <f>'Monthly Data'!CD103</f>
        <v>30</v>
      </c>
      <c r="J103" s="18">
        <f>'GS 1k-4,999 Predicted Monthly'!$T$10</f>
        <v>1142088.9328922699</v>
      </c>
      <c r="K103" s="18">
        <f>E103*'GS 1k-4,999 Predicted Monthly'!$T$11</f>
        <v>803348.3482487913</v>
      </c>
      <c r="L103" s="18">
        <f>F103*'GS 1k-4,999 Predicted Monthly'!$T$12</f>
        <v>0</v>
      </c>
      <c r="M103" s="18">
        <f>G103*'GS 1k-4,999 Predicted Monthly'!$T$13</f>
        <v>2659345.727826857</v>
      </c>
      <c r="N103" s="18">
        <f>H103*'GS 1k-4,999 Predicted Monthly'!$T$14</f>
        <v>3407455.1510788198</v>
      </c>
      <c r="O103" s="18">
        <f t="shared" si="11"/>
        <v>8012238.1600467376</v>
      </c>
      <c r="P103" s="18">
        <f t="shared" si="12"/>
        <v>48201.756045246497</v>
      </c>
      <c r="Q103" s="279">
        <f t="shared" si="13"/>
        <v>6.0524278895847036E-3</v>
      </c>
    </row>
    <row r="104" spans="1:17" x14ac:dyDescent="0.25">
      <c r="A104" s="3">
        <f>'Monthly Data'!A104</f>
        <v>45108</v>
      </c>
      <c r="B104" s="1">
        <f t="shared" si="7"/>
        <v>2023</v>
      </c>
      <c r="C104" s="1">
        <f t="shared" si="8"/>
        <v>7</v>
      </c>
      <c r="D104" s="24">
        <f>'Monthly Data'!S104</f>
        <v>8159842.6990073696</v>
      </c>
      <c r="E104" s="278">
        <f>'Monthly Data'!BE104</f>
        <v>161.78333333333336</v>
      </c>
      <c r="F104" s="278">
        <f>'Monthly Data'!CG104</f>
        <v>0</v>
      </c>
      <c r="G104" s="278">
        <f>'Monthly Data'!AQ104</f>
        <v>220.8</v>
      </c>
      <c r="H104" s="278">
        <f>'Monthly Data'!CD104</f>
        <v>31</v>
      </c>
      <c r="J104" s="18">
        <f>'GS 1k-4,999 Predicted Monthly'!$T$10</f>
        <v>1142088.9328922699</v>
      </c>
      <c r="K104" s="18">
        <f>E104*'GS 1k-4,999 Predicted Monthly'!$T$11</f>
        <v>1447107.8481003977</v>
      </c>
      <c r="L104" s="18">
        <f>F104*'GS 1k-4,999 Predicted Monthly'!$T$12</f>
        <v>0</v>
      </c>
      <c r="M104" s="18">
        <f>G104*'GS 1k-4,999 Predicted Monthly'!$T$13</f>
        <v>2664172.1266069422</v>
      </c>
      <c r="N104" s="18">
        <f>H104*'GS 1k-4,999 Predicted Monthly'!$T$14</f>
        <v>3521036.9894481138</v>
      </c>
      <c r="O104" s="18">
        <f t="shared" si="11"/>
        <v>8774405.8970477227</v>
      </c>
      <c r="P104" s="18">
        <f t="shared" si="12"/>
        <v>614563.19804035313</v>
      </c>
      <c r="Q104" s="279">
        <f t="shared" si="13"/>
        <v>7.5315569271343141E-2</v>
      </c>
    </row>
    <row r="105" spans="1:17" x14ac:dyDescent="0.25">
      <c r="A105" s="3">
        <f>'Monthly Data'!A105</f>
        <v>45139</v>
      </c>
      <c r="B105" s="1">
        <f t="shared" si="7"/>
        <v>2023</v>
      </c>
      <c r="C105" s="1">
        <f t="shared" si="8"/>
        <v>8</v>
      </c>
      <c r="D105" s="24">
        <f>'Monthly Data'!S105</f>
        <v>8217677.1423773421</v>
      </c>
      <c r="E105" s="278">
        <f>'Monthly Data'!BE105</f>
        <v>105.41739130434784</v>
      </c>
      <c r="F105" s="278">
        <f>'Monthly Data'!CG105</f>
        <v>0</v>
      </c>
      <c r="G105" s="278">
        <f>'Monthly Data'!AQ105</f>
        <v>223.5</v>
      </c>
      <c r="H105" s="278">
        <f>'Monthly Data'!CD105</f>
        <v>31</v>
      </c>
      <c r="J105" s="18">
        <f>'GS 1k-4,999 Predicted Monthly'!$T$10</f>
        <v>1142088.9328922699</v>
      </c>
      <c r="K105" s="18">
        <f>E105*'GS 1k-4,999 Predicted Monthly'!$T$11</f>
        <v>942929.85031086253</v>
      </c>
      <c r="L105" s="18">
        <f>F105*'GS 1k-4,999 Predicted Monthly'!$T$12</f>
        <v>0</v>
      </c>
      <c r="M105" s="18">
        <f>G105*'GS 1k-4,999 Predicted Monthly'!$T$13</f>
        <v>2696750.3183725164</v>
      </c>
      <c r="N105" s="18">
        <f>H105*'GS 1k-4,999 Predicted Monthly'!$T$14</f>
        <v>3521036.9894481138</v>
      </c>
      <c r="O105" s="18">
        <f t="shared" si="11"/>
        <v>8302806.0910237618</v>
      </c>
      <c r="P105" s="18">
        <f t="shared" si="12"/>
        <v>85128.948646419682</v>
      </c>
      <c r="Q105" s="279">
        <f t="shared" si="13"/>
        <v>1.0359247165774172E-2</v>
      </c>
    </row>
    <row r="106" spans="1:17" x14ac:dyDescent="0.25">
      <c r="A106" s="3">
        <f>'Monthly Data'!A106</f>
        <v>45170</v>
      </c>
      <c r="B106" s="1">
        <f t="shared" si="7"/>
        <v>2023</v>
      </c>
      <c r="C106" s="1">
        <f t="shared" si="8"/>
        <v>9</v>
      </c>
      <c r="D106" s="24">
        <f>'Monthly Data'!S106</f>
        <v>7999183.9303060388</v>
      </c>
      <c r="E106" s="278">
        <f>'Monthly Data'!BE106</f>
        <v>58.208333333333314</v>
      </c>
      <c r="F106" s="278">
        <f>'Monthly Data'!CG106</f>
        <v>0</v>
      </c>
      <c r="G106" s="278">
        <f>'Monthly Data'!AQ106</f>
        <v>223.9</v>
      </c>
      <c r="H106" s="278">
        <f>'Monthly Data'!CD106</f>
        <v>30</v>
      </c>
      <c r="J106" s="18">
        <f>'GS 1k-4,999 Predicted Monthly'!$T$10</f>
        <v>1142088.9328922699</v>
      </c>
      <c r="K106" s="18">
        <f>E106*'GS 1k-4,999 Predicted Monthly'!$T$11</f>
        <v>520657.68615335703</v>
      </c>
      <c r="L106" s="18">
        <f>F106*'GS 1k-4,999 Predicted Monthly'!$T$12</f>
        <v>0</v>
      </c>
      <c r="M106" s="18">
        <f>G106*'GS 1k-4,999 Predicted Monthly'!$T$13</f>
        <v>2701576.7171526011</v>
      </c>
      <c r="N106" s="18">
        <f>H106*'GS 1k-4,999 Predicted Monthly'!$T$14</f>
        <v>3407455.1510788198</v>
      </c>
      <c r="O106" s="18">
        <f t="shared" si="11"/>
        <v>7771778.4872770477</v>
      </c>
      <c r="P106" s="18">
        <f t="shared" si="12"/>
        <v>-227405.44302899111</v>
      </c>
      <c r="Q106" s="279">
        <f t="shared" si="13"/>
        <v>2.8428580341481265E-2</v>
      </c>
    </row>
    <row r="107" spans="1:17" x14ac:dyDescent="0.25">
      <c r="A107" s="3">
        <f>'Monthly Data'!A107</f>
        <v>45200</v>
      </c>
      <c r="B107" s="1">
        <f t="shared" si="7"/>
        <v>2023</v>
      </c>
      <c r="C107" s="1">
        <f t="shared" si="8"/>
        <v>10</v>
      </c>
      <c r="D107" s="24">
        <f>'Monthly Data'!S107</f>
        <v>6717018.2480125464</v>
      </c>
      <c r="E107" s="278">
        <f>'Monthly Data'!BE107</f>
        <v>19.579166666666676</v>
      </c>
      <c r="F107" s="278">
        <f>'Monthly Data'!CG107</f>
        <v>0</v>
      </c>
      <c r="G107" s="278">
        <f>'Monthly Data'!AQ107</f>
        <v>223.1</v>
      </c>
      <c r="H107" s="278">
        <f>'Monthly Data'!CD107</f>
        <v>31</v>
      </c>
      <c r="J107" s="18">
        <f>'GS 1k-4,999 Predicted Monthly'!$T$10</f>
        <v>1142088.9328922699</v>
      </c>
      <c r="K107" s="18">
        <f>E107*'GS 1k-4,999 Predicted Monthly'!$T$11</f>
        <v>175130.31261522023</v>
      </c>
      <c r="L107" s="18">
        <f>F107*'GS 1k-4,999 Predicted Monthly'!$T$12</f>
        <v>0</v>
      </c>
      <c r="M107" s="18">
        <f>G107*'GS 1k-4,999 Predicted Monthly'!$T$13</f>
        <v>2691923.9195924313</v>
      </c>
      <c r="N107" s="18">
        <f>H107*'GS 1k-4,999 Predicted Monthly'!$T$14</f>
        <v>3521036.9894481138</v>
      </c>
      <c r="O107" s="18">
        <f t="shared" si="11"/>
        <v>7530180.1545480359</v>
      </c>
      <c r="P107" s="18">
        <f t="shared" si="12"/>
        <v>813161.90653548948</v>
      </c>
      <c r="Q107" s="279">
        <f t="shared" si="13"/>
        <v>0.12105995197736592</v>
      </c>
    </row>
    <row r="108" spans="1:17" x14ac:dyDescent="0.25">
      <c r="A108" s="3">
        <f>'Monthly Data'!A108</f>
        <v>45231</v>
      </c>
      <c r="B108" s="1">
        <f t="shared" si="7"/>
        <v>2023</v>
      </c>
      <c r="C108" s="1">
        <f t="shared" si="8"/>
        <v>11</v>
      </c>
      <c r="D108" s="24">
        <f>'Monthly Data'!S108</f>
        <v>7539474.7935202802</v>
      </c>
      <c r="E108" s="278">
        <f>'Monthly Data'!BE108</f>
        <v>0</v>
      </c>
      <c r="F108" s="278">
        <f>'Monthly Data'!CG108</f>
        <v>0</v>
      </c>
      <c r="G108" s="278">
        <f>'Monthly Data'!AQ108</f>
        <v>224.9</v>
      </c>
      <c r="H108" s="278">
        <f>'Monthly Data'!CD108</f>
        <v>30</v>
      </c>
      <c r="J108" s="18">
        <f>'GS 1k-4,999 Predicted Monthly'!$T$10</f>
        <v>1142088.9328922699</v>
      </c>
      <c r="K108" s="18">
        <f>E108*'GS 1k-4,999 Predicted Monthly'!$T$11</f>
        <v>0</v>
      </c>
      <c r="L108" s="18">
        <f>F108*'GS 1k-4,999 Predicted Monthly'!$T$12</f>
        <v>0</v>
      </c>
      <c r="M108" s="18">
        <f>G108*'GS 1k-4,999 Predicted Monthly'!$T$13</f>
        <v>2713642.714102814</v>
      </c>
      <c r="N108" s="18">
        <f>H108*'GS 1k-4,999 Predicted Monthly'!$T$14</f>
        <v>3407455.1510788198</v>
      </c>
      <c r="O108" s="18">
        <f t="shared" si="11"/>
        <v>7263186.7980739037</v>
      </c>
      <c r="P108" s="18">
        <f t="shared" si="12"/>
        <v>-276287.9954463765</v>
      </c>
      <c r="Q108" s="279">
        <f t="shared" si="13"/>
        <v>3.6645522800053558E-2</v>
      </c>
    </row>
    <row r="109" spans="1:17" x14ac:dyDescent="0.25">
      <c r="A109" s="3">
        <f>'Monthly Data'!A109</f>
        <v>45261</v>
      </c>
      <c r="B109" s="1">
        <f t="shared" si="7"/>
        <v>2023</v>
      </c>
      <c r="C109" s="1">
        <f t="shared" si="8"/>
        <v>12</v>
      </c>
      <c r="D109" s="24">
        <f>'Monthly Data'!S109</f>
        <v>6870511.9660611674</v>
      </c>
      <c r="E109" s="278">
        <f>'Monthly Data'!BE109</f>
        <v>0</v>
      </c>
      <c r="F109" s="278">
        <f>'Monthly Data'!CG109</f>
        <v>0</v>
      </c>
      <c r="G109" s="278">
        <f>'Monthly Data'!AQ109</f>
        <v>226.3</v>
      </c>
      <c r="H109" s="278">
        <f>'Monthly Data'!CD109</f>
        <v>31</v>
      </c>
      <c r="J109" s="18">
        <f>'GS 1k-4,999 Predicted Monthly'!$T$10</f>
        <v>1142088.9328922699</v>
      </c>
      <c r="K109" s="18">
        <f>E109*'GS 1k-4,999 Predicted Monthly'!$T$11</f>
        <v>0</v>
      </c>
      <c r="L109" s="18">
        <f>F109*'GS 1k-4,999 Predicted Monthly'!$T$12</f>
        <v>0</v>
      </c>
      <c r="M109" s="18">
        <f>G109*'GS 1k-4,999 Predicted Monthly'!$T$13</f>
        <v>2730535.1098331115</v>
      </c>
      <c r="N109" s="18">
        <f>H109*'GS 1k-4,999 Predicted Monthly'!$T$14</f>
        <v>3521036.9894481138</v>
      </c>
      <c r="O109" s="18">
        <f t="shared" si="11"/>
        <v>7393661.0321734957</v>
      </c>
      <c r="P109" s="18">
        <f t="shared" si="12"/>
        <v>523149.06611232832</v>
      </c>
      <c r="Q109" s="279">
        <f t="shared" si="13"/>
        <v>7.6144116871722331E-2</v>
      </c>
    </row>
    <row r="110" spans="1:17" x14ac:dyDescent="0.25">
      <c r="A110" s="3">
        <f>'Monthly Data'!A110</f>
        <v>45292</v>
      </c>
      <c r="B110" s="1">
        <f t="shared" si="7"/>
        <v>2024</v>
      </c>
      <c r="C110" s="1">
        <f t="shared" si="8"/>
        <v>1</v>
      </c>
      <c r="D110" s="24">
        <f>'Monthly Data'!S110</f>
        <v>7590328.9312978219</v>
      </c>
      <c r="E110" s="278">
        <f>'Monthly Data'!BE110</f>
        <v>0</v>
      </c>
      <c r="F110" s="278">
        <f>'Monthly Data'!CG110</f>
        <v>0</v>
      </c>
      <c r="G110" s="278">
        <f>'Monthly Data'!AQ110</f>
        <v>228.3</v>
      </c>
      <c r="H110" s="278">
        <f>'Monthly Data'!CD110</f>
        <v>31</v>
      </c>
      <c r="J110" s="18">
        <f>'GS 1k-4,999 Predicted Monthly'!$T$10</f>
        <v>1142088.9328922699</v>
      </c>
      <c r="K110" s="18">
        <f>E110*'GS 1k-4,999 Predicted Monthly'!$T$11</f>
        <v>0</v>
      </c>
      <c r="L110" s="18">
        <f>F110*'GS 1k-4,999 Predicted Monthly'!$T$12</f>
        <v>0</v>
      </c>
      <c r="M110" s="18">
        <f>G110*'GS 1k-4,999 Predicted Monthly'!$T$13</f>
        <v>2754667.1037335368</v>
      </c>
      <c r="N110" s="18">
        <f>H110*'GS 1k-4,999 Predicted Monthly'!$T$14</f>
        <v>3521036.9894481138</v>
      </c>
      <c r="O110" s="18">
        <f t="shared" si="11"/>
        <v>7417793.0260739205</v>
      </c>
      <c r="P110" s="18">
        <f t="shared" si="12"/>
        <v>-172535.90522390138</v>
      </c>
      <c r="Q110" s="279">
        <f t="shared" si="13"/>
        <v>2.2731018218784961E-2</v>
      </c>
    </row>
    <row r="111" spans="1:17" x14ac:dyDescent="0.25">
      <c r="A111" s="3">
        <f>'Monthly Data'!A111</f>
        <v>45323</v>
      </c>
      <c r="B111" s="1">
        <f t="shared" si="7"/>
        <v>2024</v>
      </c>
      <c r="C111" s="1">
        <f t="shared" si="8"/>
        <v>2</v>
      </c>
      <c r="D111" s="24">
        <f>'Monthly Data'!S111</f>
        <v>6811755.0200896021</v>
      </c>
      <c r="E111" s="278">
        <f>'Monthly Data'!BE111</f>
        <v>0</v>
      </c>
      <c r="F111" s="278">
        <f>'Monthly Data'!CG111</f>
        <v>0</v>
      </c>
      <c r="G111" s="278">
        <f>'Monthly Data'!AQ111</f>
        <v>229.4</v>
      </c>
      <c r="H111" s="278">
        <f>'Monthly Data'!CD111</f>
        <v>29</v>
      </c>
      <c r="J111" s="18">
        <f>'GS 1k-4,999 Predicted Monthly'!$T$10</f>
        <v>1142088.9328922699</v>
      </c>
      <c r="K111" s="18">
        <f>E111*'GS 1k-4,999 Predicted Monthly'!$T$11</f>
        <v>0</v>
      </c>
      <c r="L111" s="18">
        <f>F111*'GS 1k-4,999 Predicted Monthly'!$T$12</f>
        <v>0</v>
      </c>
      <c r="M111" s="18">
        <f>G111*'GS 1k-4,999 Predicted Monthly'!$T$13</f>
        <v>2767939.7003787705</v>
      </c>
      <c r="N111" s="18">
        <f>H111*'GS 1k-4,999 Predicted Monthly'!$T$14</f>
        <v>3293873.3127095257</v>
      </c>
      <c r="O111" s="18">
        <f t="shared" si="11"/>
        <v>7203901.9459805656</v>
      </c>
      <c r="P111" s="18">
        <f t="shared" si="12"/>
        <v>392146.92589096352</v>
      </c>
      <c r="Q111" s="279">
        <f t="shared" si="13"/>
        <v>5.756914697231804E-2</v>
      </c>
    </row>
    <row r="112" spans="1:17" x14ac:dyDescent="0.25">
      <c r="A112" s="3">
        <f>'Monthly Data'!A112</f>
        <v>45352</v>
      </c>
      <c r="B112" s="1">
        <f t="shared" si="7"/>
        <v>2024</v>
      </c>
      <c r="C112" s="1">
        <f t="shared" si="8"/>
        <v>3</v>
      </c>
      <c r="D112" s="24">
        <f>'Monthly Data'!S112</f>
        <v>7114173.1088813813</v>
      </c>
      <c r="E112" s="278">
        <f>'Monthly Data'!BE112</f>
        <v>0</v>
      </c>
      <c r="F112" s="278">
        <f>'Monthly Data'!CG112</f>
        <v>0</v>
      </c>
      <c r="G112" s="278">
        <f>'Monthly Data'!AQ112</f>
        <v>230.9</v>
      </c>
      <c r="H112" s="278">
        <f>'Monthly Data'!CD112</f>
        <v>31</v>
      </c>
      <c r="J112" s="18">
        <f>'GS 1k-4,999 Predicted Monthly'!$T$10</f>
        <v>1142088.9328922699</v>
      </c>
      <c r="K112" s="18">
        <f>E112*'GS 1k-4,999 Predicted Monthly'!$T$11</f>
        <v>0</v>
      </c>
      <c r="L112" s="18">
        <f>F112*'GS 1k-4,999 Predicted Monthly'!$T$12</f>
        <v>0</v>
      </c>
      <c r="M112" s="18">
        <f>G112*'GS 1k-4,999 Predicted Monthly'!$T$13</f>
        <v>2786038.6958040893</v>
      </c>
      <c r="N112" s="18">
        <f>H112*'GS 1k-4,999 Predicted Monthly'!$T$14</f>
        <v>3521036.9894481138</v>
      </c>
      <c r="O112" s="18">
        <f t="shared" si="11"/>
        <v>7449164.6181444731</v>
      </c>
      <c r="P112" s="18">
        <f t="shared" si="12"/>
        <v>334991.50926309172</v>
      </c>
      <c r="Q112" s="279">
        <f t="shared" si="13"/>
        <v>4.7087905247186923E-2</v>
      </c>
    </row>
    <row r="113" spans="1:17" x14ac:dyDescent="0.25">
      <c r="A113" s="3">
        <f>'Monthly Data'!A113</f>
        <v>45383</v>
      </c>
      <c r="B113" s="1">
        <f t="shared" si="7"/>
        <v>2024</v>
      </c>
      <c r="C113" s="1">
        <f t="shared" si="8"/>
        <v>4</v>
      </c>
      <c r="D113" s="24">
        <f>'Monthly Data'!S113</f>
        <v>7473751.1976731606</v>
      </c>
      <c r="E113" s="278">
        <f>'Monthly Data'!BE113</f>
        <v>0</v>
      </c>
      <c r="F113" s="278">
        <f>'Monthly Data'!CG113</f>
        <v>0</v>
      </c>
      <c r="G113" s="278">
        <f>'Monthly Data'!AQ113</f>
        <v>233.1</v>
      </c>
      <c r="H113" s="278">
        <f>'Monthly Data'!CD113</f>
        <v>30</v>
      </c>
      <c r="J113" s="18">
        <f>'GS 1k-4,999 Predicted Monthly'!$T$10</f>
        <v>1142088.9328922699</v>
      </c>
      <c r="K113" s="18">
        <f>E113*'GS 1k-4,999 Predicted Monthly'!$T$11</f>
        <v>0</v>
      </c>
      <c r="L113" s="18">
        <f>F113*'GS 1k-4,999 Predicted Monthly'!$T$12</f>
        <v>0</v>
      </c>
      <c r="M113" s="18">
        <f>G113*'GS 1k-4,999 Predicted Monthly'!$T$13</f>
        <v>2812583.8890945571</v>
      </c>
      <c r="N113" s="18">
        <f>H113*'GS 1k-4,999 Predicted Monthly'!$T$14</f>
        <v>3407455.1510788198</v>
      </c>
      <c r="O113" s="18">
        <f t="shared" si="11"/>
        <v>7362127.9730656464</v>
      </c>
      <c r="P113" s="18">
        <f t="shared" si="12"/>
        <v>-111623.22460751422</v>
      </c>
      <c r="Q113" s="279">
        <f t="shared" si="13"/>
        <v>1.4935368017370771E-2</v>
      </c>
    </row>
    <row r="114" spans="1:17" x14ac:dyDescent="0.25">
      <c r="A114" s="3">
        <f>'Monthly Data'!A114</f>
        <v>45413</v>
      </c>
      <c r="B114" s="1">
        <f t="shared" si="7"/>
        <v>2024</v>
      </c>
      <c r="C114" s="1">
        <f t="shared" si="8"/>
        <v>5</v>
      </c>
      <c r="D114" s="24">
        <f>'Monthly Data'!S114</f>
        <v>7987544.2864649398</v>
      </c>
      <c r="E114" s="278">
        <f>'Monthly Data'!BE114</f>
        <v>27.287500000000005</v>
      </c>
      <c r="F114" s="278">
        <f>'Monthly Data'!CG114</f>
        <v>0</v>
      </c>
      <c r="G114" s="278">
        <f>'Monthly Data'!AQ114</f>
        <v>232.8</v>
      </c>
      <c r="H114" s="278">
        <f>'Monthly Data'!CD114</f>
        <v>31</v>
      </c>
      <c r="J114" s="18">
        <f>'GS 1k-4,999 Predicted Monthly'!$T$10</f>
        <v>1142088.9328922699</v>
      </c>
      <c r="K114" s="18">
        <f>E114*'GS 1k-4,999 Predicted Monthly'!$T$11</f>
        <v>244079.25458971632</v>
      </c>
      <c r="L114" s="18">
        <f>F114*'GS 1k-4,999 Predicted Monthly'!$T$12</f>
        <v>0</v>
      </c>
      <c r="M114" s="18">
        <f>G114*'GS 1k-4,999 Predicted Monthly'!$T$13</f>
        <v>2808964.0900094938</v>
      </c>
      <c r="N114" s="18">
        <f>H114*'GS 1k-4,999 Predicted Monthly'!$T$14</f>
        <v>3521036.9894481138</v>
      </c>
      <c r="O114" s="18">
        <f t="shared" si="11"/>
        <v>7716169.2669395935</v>
      </c>
      <c r="P114" s="18">
        <f t="shared" si="12"/>
        <v>-271375.01952534635</v>
      </c>
      <c r="Q114" s="279">
        <f t="shared" si="13"/>
        <v>3.3974774948690674E-2</v>
      </c>
    </row>
    <row r="115" spans="1:17" x14ac:dyDescent="0.25">
      <c r="A115" s="3">
        <f>'Monthly Data'!A115</f>
        <v>45444</v>
      </c>
      <c r="B115" s="1">
        <f t="shared" si="7"/>
        <v>2024</v>
      </c>
      <c r="C115" s="1">
        <f t="shared" si="8"/>
        <v>6</v>
      </c>
      <c r="D115" s="24">
        <f>'Monthly Data'!S115</f>
        <v>8767993.3752567191</v>
      </c>
      <c r="E115" s="278">
        <f>'Monthly Data'!BE115</f>
        <v>94.466666666666669</v>
      </c>
      <c r="F115" s="278">
        <f>'Monthly Data'!CG115</f>
        <v>0</v>
      </c>
      <c r="G115" s="278">
        <f>'Monthly Data'!AQ115</f>
        <v>230.6</v>
      </c>
      <c r="H115" s="278">
        <f>'Monthly Data'!CD115</f>
        <v>30</v>
      </c>
      <c r="J115" s="18">
        <f>'GS 1k-4,999 Predicted Monthly'!$T$10</f>
        <v>1142088.9328922699</v>
      </c>
      <c r="K115" s="18">
        <f>E115*'GS 1k-4,999 Predicted Monthly'!$T$11</f>
        <v>844978.60132204113</v>
      </c>
      <c r="L115" s="18">
        <f>F115*'GS 1k-4,999 Predicted Monthly'!$T$12</f>
        <v>0</v>
      </c>
      <c r="M115" s="18">
        <f>G115*'GS 1k-4,999 Predicted Monthly'!$T$13</f>
        <v>2782418.8967190254</v>
      </c>
      <c r="N115" s="18">
        <f>H115*'GS 1k-4,999 Predicted Monthly'!$T$14</f>
        <v>3407455.1510788198</v>
      </c>
      <c r="O115" s="18">
        <f t="shared" si="11"/>
        <v>8176941.582012156</v>
      </c>
      <c r="P115" s="18">
        <f t="shared" si="12"/>
        <v>-591051.79324456304</v>
      </c>
      <c r="Q115" s="279">
        <f t="shared" si="13"/>
        <v>6.7410155088906826E-2</v>
      </c>
    </row>
    <row r="116" spans="1:17" x14ac:dyDescent="0.25">
      <c r="A116" s="3">
        <f>'Monthly Data'!A116</f>
        <v>45474</v>
      </c>
      <c r="B116" s="1">
        <f t="shared" si="7"/>
        <v>2024</v>
      </c>
      <c r="C116" s="1">
        <f t="shared" si="8"/>
        <v>7</v>
      </c>
      <c r="D116" s="24">
        <f>'Monthly Data'!S116</f>
        <v>9613834.4640484992</v>
      </c>
      <c r="E116" s="278">
        <f>'Monthly Data'!BE116</f>
        <v>179.14166666666668</v>
      </c>
      <c r="F116" s="278">
        <f>'Monthly Data'!CG116</f>
        <v>0</v>
      </c>
      <c r="G116" s="278">
        <f>'Monthly Data'!AQ116</f>
        <v>227.5</v>
      </c>
      <c r="H116" s="278">
        <f>'Monthly Data'!CD116</f>
        <v>31</v>
      </c>
      <c r="J116" s="18">
        <f>'GS 1k-4,999 Predicted Monthly'!$T$10</f>
        <v>1142088.9328922699</v>
      </c>
      <c r="K116" s="18">
        <f>E116*'GS 1k-4,999 Predicted Monthly'!$T$11</f>
        <v>1602373.4114872902</v>
      </c>
      <c r="L116" s="18">
        <f>F116*'GS 1k-4,999 Predicted Monthly'!$T$12</f>
        <v>0</v>
      </c>
      <c r="M116" s="18">
        <f>G116*'GS 1k-4,999 Predicted Monthly'!$T$13</f>
        <v>2745014.3061733665</v>
      </c>
      <c r="N116" s="18">
        <f>H116*'GS 1k-4,999 Predicted Monthly'!$T$14</f>
        <v>3521036.9894481138</v>
      </c>
      <c r="O116" s="18">
        <f t="shared" si="11"/>
        <v>9010513.64000104</v>
      </c>
      <c r="P116" s="18">
        <f t="shared" si="12"/>
        <v>-603320.82404745929</v>
      </c>
      <c r="Q116" s="279">
        <f t="shared" si="13"/>
        <v>6.2755482872480603E-2</v>
      </c>
    </row>
    <row r="117" spans="1:17" x14ac:dyDescent="0.25">
      <c r="A117" s="3">
        <f>'Monthly Data'!A117</f>
        <v>45505</v>
      </c>
      <c r="B117" s="1">
        <f t="shared" si="7"/>
        <v>2024</v>
      </c>
      <c r="C117" s="1">
        <f t="shared" si="8"/>
        <v>8</v>
      </c>
      <c r="D117" s="24">
        <f>'Monthly Data'!S117</f>
        <v>9361267.5528402776</v>
      </c>
      <c r="E117" s="278">
        <f>'Monthly Data'!BE117</f>
        <v>140.625</v>
      </c>
      <c r="F117" s="278">
        <f>'Monthly Data'!CG117</f>
        <v>0</v>
      </c>
      <c r="G117" s="278">
        <f>'Monthly Data'!AQ117</f>
        <v>225.1</v>
      </c>
      <c r="H117" s="278">
        <f>'Monthly Data'!CD117</f>
        <v>31</v>
      </c>
      <c r="J117" s="18">
        <f>'GS 1k-4,999 Predicted Monthly'!$T$10</f>
        <v>1142088.9328922699</v>
      </c>
      <c r="K117" s="18">
        <f>E117*'GS 1k-4,999 Predicted Monthly'!$T$11</f>
        <v>1257852.319804997</v>
      </c>
      <c r="L117" s="18">
        <f>F117*'GS 1k-4,999 Predicted Monthly'!$T$12</f>
        <v>0</v>
      </c>
      <c r="M117" s="18">
        <f>G117*'GS 1k-4,999 Predicted Monthly'!$T$13</f>
        <v>2716055.9134928561</v>
      </c>
      <c r="N117" s="18">
        <f>H117*'GS 1k-4,999 Predicted Monthly'!$T$14</f>
        <v>3521036.9894481138</v>
      </c>
      <c r="O117" s="18">
        <f t="shared" si="11"/>
        <v>8637034.1556382366</v>
      </c>
      <c r="P117" s="18">
        <f t="shared" si="12"/>
        <v>-724233.397202041</v>
      </c>
      <c r="Q117" s="279">
        <f t="shared" si="13"/>
        <v>7.7364886017204287E-2</v>
      </c>
    </row>
    <row r="118" spans="1:17" x14ac:dyDescent="0.25">
      <c r="A118" s="3">
        <f>'Monthly Data'!A118</f>
        <v>45536</v>
      </c>
      <c r="B118" s="1">
        <f t="shared" si="7"/>
        <v>2024</v>
      </c>
      <c r="C118" s="1">
        <f t="shared" si="8"/>
        <v>9</v>
      </c>
      <c r="D118" s="24">
        <f>'Monthly Data'!S118</f>
        <v>8188581.6416320577</v>
      </c>
      <c r="E118" s="278">
        <f>'Monthly Data'!BE118</f>
        <v>62.220833333333331</v>
      </c>
      <c r="F118" s="278">
        <f>'Monthly Data'!CG118</f>
        <v>0</v>
      </c>
      <c r="G118" s="278">
        <f>'Monthly Data'!AQ118</f>
        <v>226.9</v>
      </c>
      <c r="H118" s="278">
        <f>'Monthly Data'!CD118</f>
        <v>30</v>
      </c>
      <c r="J118" s="18">
        <f>'GS 1k-4,999 Predicted Monthly'!$T$10</f>
        <v>1142088.9328922699</v>
      </c>
      <c r="K118" s="18">
        <f>E118*'GS 1k-4,999 Predicted Monthly'!$T$11</f>
        <v>556548.40567845979</v>
      </c>
      <c r="L118" s="18">
        <f>F118*'GS 1k-4,999 Predicted Monthly'!$T$12</f>
        <v>0</v>
      </c>
      <c r="M118" s="18">
        <f>G118*'GS 1k-4,999 Predicted Monthly'!$T$13</f>
        <v>2737774.7080032392</v>
      </c>
      <c r="N118" s="18">
        <f>H118*'GS 1k-4,999 Predicted Monthly'!$T$14</f>
        <v>3407455.1510788198</v>
      </c>
      <c r="O118" s="18">
        <f t="shared" si="11"/>
        <v>7843867.1976527888</v>
      </c>
      <c r="P118" s="18">
        <f t="shared" si="12"/>
        <v>-344714.44397926889</v>
      </c>
      <c r="Q118" s="279">
        <f t="shared" si="13"/>
        <v>4.2096966124961811E-2</v>
      </c>
    </row>
    <row r="119" spans="1:17" x14ac:dyDescent="0.25">
      <c r="A119" s="3">
        <f>'Monthly Data'!A119</f>
        <v>45566</v>
      </c>
      <c r="B119" s="1">
        <f t="shared" si="7"/>
        <v>2024</v>
      </c>
      <c r="C119" s="1">
        <f t="shared" si="8"/>
        <v>10</v>
      </c>
      <c r="D119" s="24">
        <f>'Monthly Data'!S119</f>
        <v>7540474.730423837</v>
      </c>
      <c r="E119" s="278">
        <f>'Monthly Data'!BE119</f>
        <v>3.0458333333333378</v>
      </c>
      <c r="F119" s="278">
        <f>'Monthly Data'!CG119</f>
        <v>0</v>
      </c>
      <c r="G119" s="278">
        <f>'Monthly Data'!AQ119</f>
        <v>228.7</v>
      </c>
      <c r="H119" s="278">
        <f>'Monthly Data'!CD119</f>
        <v>31</v>
      </c>
      <c r="J119" s="18">
        <f>'GS 1k-4,999 Predicted Monthly'!$T$10</f>
        <v>1142088.9328922699</v>
      </c>
      <c r="K119" s="18">
        <f>E119*'GS 1k-4,999 Predicted Monthly'!$T$11</f>
        <v>27244.149504517158</v>
      </c>
      <c r="L119" s="18">
        <f>F119*'GS 1k-4,999 Predicted Monthly'!$T$12</f>
        <v>0</v>
      </c>
      <c r="M119" s="18">
        <f>G119*'GS 1k-4,999 Predicted Monthly'!$T$13</f>
        <v>2759493.5025136215</v>
      </c>
      <c r="N119" s="18">
        <f>H119*'GS 1k-4,999 Predicted Monthly'!$T$14</f>
        <v>3521036.9894481138</v>
      </c>
      <c r="O119" s="18">
        <f t="shared" si="11"/>
        <v>7449863.5743585229</v>
      </c>
      <c r="P119" s="18">
        <f t="shared" si="12"/>
        <v>-90611.156065314077</v>
      </c>
      <c r="Q119" s="279">
        <f t="shared" si="13"/>
        <v>1.2016638116924102E-2</v>
      </c>
    </row>
    <row r="120" spans="1:17" x14ac:dyDescent="0.25">
      <c r="A120" s="3">
        <f>'Monthly Data'!A120</f>
        <v>45597</v>
      </c>
      <c r="B120" s="1">
        <f t="shared" si="7"/>
        <v>2024</v>
      </c>
      <c r="C120" s="1">
        <f t="shared" si="8"/>
        <v>11</v>
      </c>
      <c r="D120" s="24">
        <f>'Monthly Data'!S120</f>
        <v>7124288.8192156162</v>
      </c>
      <c r="E120" s="278">
        <f>'Monthly Data'!BE120</f>
        <v>1.5041666666666629</v>
      </c>
      <c r="F120" s="278">
        <f>'Monthly Data'!CG120</f>
        <v>0</v>
      </c>
      <c r="G120" s="278">
        <f>'Monthly Data'!AQ120</f>
        <v>228.7</v>
      </c>
      <c r="H120" s="278">
        <f>'Monthly Data'!CD120</f>
        <v>30</v>
      </c>
      <c r="J120" s="18">
        <f>'GS 1k-4,999 Predicted Monthly'!$T$10</f>
        <v>1142088.9328922699</v>
      </c>
      <c r="K120" s="18">
        <f>E120*'GS 1k-4,999 Predicted Monthly'!$T$11</f>
        <v>13454.361109617859</v>
      </c>
      <c r="L120" s="18">
        <f>F120*'GS 1k-4,999 Predicted Monthly'!$T$12</f>
        <v>0</v>
      </c>
      <c r="M120" s="18">
        <f>G120*'GS 1k-4,999 Predicted Monthly'!$T$13</f>
        <v>2759493.5025136215</v>
      </c>
      <c r="N120" s="18">
        <f>H120*'GS 1k-4,999 Predicted Monthly'!$T$14</f>
        <v>3407455.1510788198</v>
      </c>
      <c r="O120" s="18">
        <f t="shared" si="11"/>
        <v>7322491.9475943297</v>
      </c>
      <c r="P120" s="18">
        <f t="shared" si="12"/>
        <v>198203.1283787135</v>
      </c>
      <c r="Q120" s="279">
        <f t="shared" si="13"/>
        <v>2.7820759855232212E-2</v>
      </c>
    </row>
    <row r="121" spans="1:17" x14ac:dyDescent="0.25">
      <c r="A121" s="3">
        <f>'Monthly Data'!A121</f>
        <v>45627</v>
      </c>
      <c r="B121" s="1">
        <f t="shared" si="7"/>
        <v>2024</v>
      </c>
      <c r="C121" s="1">
        <f t="shared" si="8"/>
        <v>12</v>
      </c>
      <c r="D121" s="24">
        <f>'Monthly Data'!S121</f>
        <v>7546802.9080073964</v>
      </c>
      <c r="E121" s="278">
        <f>'Monthly Data'!BE121</f>
        <v>0</v>
      </c>
      <c r="F121" s="278">
        <f>'Monthly Data'!CG121</f>
        <v>0</v>
      </c>
      <c r="G121" s="278">
        <f>'Monthly Data'!AQ121</f>
        <v>227</v>
      </c>
      <c r="H121" s="278">
        <f>'Monthly Data'!CD121</f>
        <v>31</v>
      </c>
      <c r="J121" s="18">
        <f>'GS 1k-4,999 Predicted Monthly'!$T$10</f>
        <v>1142088.9328922699</v>
      </c>
      <c r="K121" s="18">
        <f>E121*'GS 1k-4,999 Predicted Monthly'!$T$11</f>
        <v>0</v>
      </c>
      <c r="L121" s="18">
        <f>F121*'GS 1k-4,999 Predicted Monthly'!$T$12</f>
        <v>0</v>
      </c>
      <c r="M121" s="18">
        <f>G121*'GS 1k-4,999 Predicted Monthly'!$T$13</f>
        <v>2738981.3076982605</v>
      </c>
      <c r="N121" s="18">
        <f>H121*'GS 1k-4,999 Predicted Monthly'!$T$14</f>
        <v>3521036.9894481138</v>
      </c>
      <c r="O121" s="18">
        <f t="shared" si="11"/>
        <v>7402107.2300386447</v>
      </c>
      <c r="P121" s="18">
        <f t="shared" si="12"/>
        <v>-144695.67796875164</v>
      </c>
      <c r="Q121" s="279">
        <f t="shared" si="13"/>
        <v>1.9173109425611866E-2</v>
      </c>
    </row>
    <row r="122" spans="1:17" x14ac:dyDescent="0.25">
      <c r="A122" s="3"/>
      <c r="Q122" s="404">
        <f>AVERAGE(Q2:Q121)</f>
        <v>4.4195847879944246E-2</v>
      </c>
    </row>
    <row r="123" spans="1:17" x14ac:dyDescent="0.25">
      <c r="A123" s="3"/>
    </row>
    <row r="124" spans="1:17" x14ac:dyDescent="0.25">
      <c r="A124" s="3"/>
    </row>
    <row r="125" spans="1:17" x14ac:dyDescent="0.25">
      <c r="A125" s="3"/>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11" ma:contentTypeDescription="Create a new document." ma:contentTypeScope="" ma:versionID="e7f71cab7805b42e3797bc90a0a9397c">
  <xsd:schema xmlns:xsd="http://www.w3.org/2001/XMLSchema" xmlns:xs="http://www.w3.org/2001/XMLSchema" xmlns:p="http://schemas.microsoft.com/office/2006/metadata/properties" xmlns:ns2="2ce4e09a-ae32-4847-a815-5fa9f01a54e1" xmlns:ns3="4d7f1431-a7a7-47b2-9af7-ceb7500f2f77" targetNamespace="http://schemas.microsoft.com/office/2006/metadata/properties" ma:root="true" ma:fieldsID="733d02bb5508b88af29dbc434c7b82d0" ns2:_="" ns3:_="">
    <xsd:import namespace="2ce4e09a-ae32-4847-a815-5fa9f01a54e1"/>
    <xsd:import namespace="4d7f1431-a7a7-47b2-9af7-ceb7500f2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b6cf180-5fd3-4f6f-9882-60e254dedfa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f1431-a7a7-47b2-9af7-ceb7500f2f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5f20f3d-b76f-4751-a5fb-89b5aaa6554b}" ma:internalName="TaxCatchAll" ma:showField="CatchAllData" ma:web="4d7f1431-a7a7-47b2-9af7-ceb7500f2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e4e09a-ae32-4847-a815-5fa9f01a54e1">
      <Terms xmlns="http://schemas.microsoft.com/office/infopath/2007/PartnerControls"/>
    </lcf76f155ced4ddcb4097134ff3c332f>
    <TaxCatchAll xmlns="4d7f1431-a7a7-47b2-9af7-ceb7500f2f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EFC218-3272-46AE-BCFD-964D4D1C4374}"/>
</file>

<file path=customXml/itemProps2.xml><?xml version="1.0" encoding="utf-8"?>
<ds:datastoreItem xmlns:ds="http://schemas.openxmlformats.org/officeDocument/2006/customXml" ds:itemID="{F9B6EDA7-BDB7-4DB4-B40C-7FE3C7F7DF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5BF261-1556-48B4-B4D7-FDB72C5C14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Load Forecast Summary</vt:lpstr>
      <vt:lpstr>Monthly Data</vt:lpstr>
      <vt:lpstr>Economic</vt:lpstr>
      <vt:lpstr>Weather</vt:lpstr>
      <vt:lpstr>CDM</vt:lpstr>
      <vt:lpstr>Res Predicted Monthly</vt:lpstr>
      <vt:lpstr>GS&lt;50 Predicted Monthly</vt:lpstr>
      <vt:lpstr>GS 50-999 Predicted Monthly</vt:lpstr>
      <vt:lpstr>GS 1k-4,999 Predicted Monthly</vt:lpstr>
      <vt:lpstr>Large Use Predicted Monthly</vt:lpstr>
      <vt:lpstr>EV Data</vt:lpstr>
      <vt:lpstr>EV Forecast</vt:lpstr>
      <vt:lpstr>Heating</vt:lpstr>
      <vt:lpstr>Total Additional-Lost Loads</vt:lpstr>
      <vt:lpstr>Model Summary</vt:lpstr>
      <vt:lpstr>Res Normalized Monthly</vt:lpstr>
      <vt:lpstr>GS&lt;50 Normalized Monthly</vt:lpstr>
      <vt:lpstr>GS 50-999 Normalized Monthly</vt:lpstr>
      <vt:lpstr>GS 1k-4,999 Normalized Monthly</vt:lpstr>
      <vt:lpstr>Large Use Normalized Monthly</vt:lpstr>
      <vt:lpstr>Normalized Annual Summary</vt:lpstr>
      <vt:lpstr>Customer Count</vt:lpstr>
      <vt:lpstr>kW Forecast</vt:lpstr>
      <vt:lpstr>kW Forecast (Weather Normal)</vt:lpstr>
      <vt:lpstr>CDM Framework</vt:lpstr>
      <vt:lpstr>CDM Adjustment</vt:lpstr>
      <vt:lpstr>Summary Tables</vt:lpstr>
      <vt:lpstr>Res Normalized Monthly WN</vt:lpstr>
      <vt:lpstr>GS&lt;50 Normalized Monthly WN</vt:lpstr>
      <vt:lpstr>GS50-999 Normalized Monthly WN</vt:lpstr>
      <vt:lpstr>GS 1k-4,999 Normalized Mont WN</vt:lpstr>
      <vt:lpstr>Large Use Normalized Monthl WN</vt:lpstr>
      <vt:lpstr>Summary Tables (Weather Normal)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Andrew Blair</cp:lastModifiedBy>
  <cp:revision/>
  <dcterms:created xsi:type="dcterms:W3CDTF">2018-12-19T20:07:02Z</dcterms:created>
  <dcterms:modified xsi:type="dcterms:W3CDTF">2025-07-17T19:01:37Z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0x010100167F7894191A4349AFFBDB0ED3014EF7</vt:lpwstr>
  </property>
</Properties>
</file>